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N17" i="5"/>
  <c r="M17"/>
  <c r="L17"/>
  <c r="AF15"/>
  <c r="AF14"/>
  <c r="AF17" s="1"/>
  <c r="AF13"/>
  <c r="R17"/>
  <c r="Q17"/>
  <c r="P17"/>
  <c r="AF36"/>
  <c r="AI36"/>
  <c r="AQ27"/>
  <c r="AQ28"/>
  <c r="AQ29"/>
  <c r="AQ30"/>
  <c r="AQ31"/>
  <c r="AQ32"/>
  <c r="AQ33"/>
  <c r="AQ34"/>
  <c r="AQ35"/>
  <c r="AQ26"/>
  <c r="AQ36" l="1"/>
  <c r="AJ16"/>
  <c r="AJ15"/>
  <c r="AJ14"/>
  <c r="AJ13"/>
  <c r="N13" i="1"/>
  <c r="N14"/>
  <c r="N15"/>
  <c r="N16"/>
  <c r="J14"/>
  <c r="J15"/>
  <c r="J16"/>
  <c r="I14"/>
  <c r="I15"/>
  <c r="I16"/>
  <c r="H14"/>
  <c r="H15"/>
  <c r="H16"/>
  <c r="G14"/>
  <c r="G15"/>
  <c r="G16"/>
  <c r="F14"/>
  <c r="F15"/>
  <c r="F16"/>
  <c r="E14"/>
  <c r="E15"/>
  <c r="E16"/>
  <c r="N28" i="9"/>
  <c r="K16"/>
  <c r="T16" i="20"/>
  <c r="T15"/>
  <c r="T14"/>
  <c r="S14"/>
  <c r="T13"/>
  <c r="S16"/>
  <c r="S15"/>
  <c r="S13"/>
  <c r="O16" i="4"/>
  <c r="E16"/>
  <c r="F16" s="1"/>
  <c r="H16" s="1"/>
  <c r="O15"/>
  <c r="E15"/>
  <c r="F15" s="1"/>
  <c r="H15" s="1"/>
  <c r="O14"/>
  <c r="H14"/>
  <c r="F14"/>
  <c r="O13"/>
  <c r="F13"/>
  <c r="H13" s="1"/>
  <c r="E13"/>
  <c r="S15" i="16"/>
  <c r="R15"/>
  <c r="S14"/>
  <c r="R14"/>
  <c r="S13"/>
  <c r="R13"/>
  <c r="H36"/>
  <c r="H35"/>
  <c r="H31"/>
  <c r="F16" i="12"/>
  <c r="G13"/>
  <c r="F13"/>
  <c r="H12" i="13"/>
  <c r="K11" i="25"/>
  <c r="X11" i="5"/>
  <c r="X10"/>
  <c r="X9"/>
  <c r="X8"/>
  <c r="K9" i="9"/>
  <c r="K10"/>
  <c r="K11"/>
  <c r="BT11" i="24"/>
  <c r="BN11"/>
  <c r="BB11"/>
  <c r="AX11"/>
  <c r="AR11"/>
  <c r="AC11"/>
  <c r="BT10"/>
  <c r="BN10"/>
  <c r="BB10"/>
  <c r="AX10"/>
  <c r="AR10"/>
  <c r="AC10"/>
  <c r="BT9"/>
  <c r="BN9"/>
  <c r="BB9"/>
  <c r="AX9"/>
  <c r="AR9"/>
  <c r="AC9"/>
  <c r="BT8"/>
  <c r="BP8"/>
  <c r="BN8"/>
  <c r="BB8"/>
  <c r="AX8"/>
  <c r="AU8"/>
  <c r="AS8"/>
  <c r="AR8"/>
  <c r="AC8"/>
  <c r="T11" i="20"/>
  <c r="S11"/>
  <c r="P11"/>
  <c r="O11"/>
  <c r="O8"/>
  <c r="T8"/>
  <c r="S8"/>
  <c r="P8"/>
  <c r="O11" i="4"/>
  <c r="E11"/>
  <c r="F11" s="1"/>
  <c r="H11" s="1"/>
  <c r="O10"/>
  <c r="H10"/>
  <c r="F10"/>
  <c r="O9"/>
  <c r="O8"/>
  <c r="E8"/>
  <c r="F8" s="1"/>
  <c r="H8" s="1"/>
  <c r="S8" i="16"/>
  <c r="R8"/>
  <c r="P8" i="14" l="1"/>
  <c r="F11" i="12"/>
  <c r="F11" i="1" s="1"/>
  <c r="F10" i="12"/>
  <c r="K6" i="25"/>
  <c r="K5"/>
  <c r="G6" i="12"/>
  <c r="G5"/>
  <c r="F5"/>
  <c r="K4" i="25"/>
  <c r="G4" i="12"/>
  <c r="F4"/>
  <c r="K3" i="25"/>
  <c r="G3" i="12"/>
  <c r="F3"/>
  <c r="B4" i="5"/>
  <c r="B5"/>
  <c r="B6"/>
  <c r="B7"/>
  <c r="B8"/>
  <c r="B12"/>
  <c r="B13"/>
  <c r="B14"/>
  <c r="AQ16"/>
  <c r="AL16"/>
  <c r="E16"/>
  <c r="D16"/>
  <c r="C16"/>
  <c r="A16"/>
  <c r="AQ15"/>
  <c r="AL15"/>
  <c r="E15"/>
  <c r="D15"/>
  <c r="C15"/>
  <c r="B15"/>
  <c r="A15"/>
  <c r="AQ14"/>
  <c r="AL14"/>
  <c r="W14" s="1"/>
  <c r="X14" s="1"/>
  <c r="E14"/>
  <c r="D14"/>
  <c r="C14"/>
  <c r="A14"/>
  <c r="AQ11"/>
  <c r="AL11"/>
  <c r="AM11" s="1"/>
  <c r="E11"/>
  <c r="D11"/>
  <c r="C11"/>
  <c r="A11"/>
  <c r="AQ9"/>
  <c r="AL9"/>
  <c r="AM9" s="1"/>
  <c r="E9"/>
  <c r="D9"/>
  <c r="C9"/>
  <c r="A9"/>
  <c r="AQ7"/>
  <c r="AL7"/>
  <c r="AM7" s="1"/>
  <c r="E7"/>
  <c r="D7"/>
  <c r="C7"/>
  <c r="A7"/>
  <c r="C16" i="28"/>
  <c r="B16"/>
  <c r="A16"/>
  <c r="C15"/>
  <c r="B15"/>
  <c r="A15"/>
  <c r="C14"/>
  <c r="B14"/>
  <c r="A14"/>
  <c r="C13"/>
  <c r="B13"/>
  <c r="A13"/>
  <c r="L16" i="10"/>
  <c r="J16"/>
  <c r="H16"/>
  <c r="G16"/>
  <c r="E16"/>
  <c r="C16"/>
  <c r="A16"/>
  <c r="L15"/>
  <c r="J15"/>
  <c r="H15"/>
  <c r="G15"/>
  <c r="E15"/>
  <c r="C15"/>
  <c r="A15"/>
  <c r="L14"/>
  <c r="J14"/>
  <c r="H14"/>
  <c r="G14"/>
  <c r="E14"/>
  <c r="C14"/>
  <c r="A14"/>
  <c r="A9" i="22"/>
  <c r="A10"/>
  <c r="A11"/>
  <c r="A12"/>
  <c r="A13"/>
  <c r="A14"/>
  <c r="A15"/>
  <c r="A16"/>
  <c r="A4" i="8"/>
  <c r="A5"/>
  <c r="A6"/>
  <c r="A7"/>
  <c r="A8"/>
  <c r="A9"/>
  <c r="A10"/>
  <c r="A11"/>
  <c r="A12"/>
  <c r="A13"/>
  <c r="A14"/>
  <c r="A15"/>
  <c r="A16"/>
  <c r="D16" i="9"/>
  <c r="C16"/>
  <c r="B16"/>
  <c r="A16"/>
  <c r="D15"/>
  <c r="C15"/>
  <c r="B15"/>
  <c r="A15"/>
  <c r="D14"/>
  <c r="C14"/>
  <c r="B14"/>
  <c r="A14"/>
  <c r="D11"/>
  <c r="C11"/>
  <c r="B11"/>
  <c r="A11"/>
  <c r="D9"/>
  <c r="C9"/>
  <c r="B9"/>
  <c r="A9"/>
  <c r="D7"/>
  <c r="C7"/>
  <c r="B7"/>
  <c r="A7"/>
  <c r="BT16" i="24"/>
  <c r="BN16"/>
  <c r="BB16"/>
  <c r="AR16"/>
  <c r="AC16"/>
  <c r="I16"/>
  <c r="H16"/>
  <c r="G16"/>
  <c r="F16"/>
  <c r="E16"/>
  <c r="B16"/>
  <c r="A16"/>
  <c r="BT15"/>
  <c r="BN15"/>
  <c r="BB15"/>
  <c r="AR15"/>
  <c r="AC15"/>
  <c r="I15"/>
  <c r="G15"/>
  <c r="F15"/>
  <c r="E15"/>
  <c r="B15"/>
  <c r="A15"/>
  <c r="BT14"/>
  <c r="BN14"/>
  <c r="BB14"/>
  <c r="AX14"/>
  <c r="AU14"/>
  <c r="AS14"/>
  <c r="AR14"/>
  <c r="AC14"/>
  <c r="I14"/>
  <c r="G14"/>
  <c r="F14"/>
  <c r="E14"/>
  <c r="B14"/>
  <c r="A14"/>
  <c r="BT13"/>
  <c r="BN13"/>
  <c r="BB13"/>
  <c r="AX13"/>
  <c r="AR13"/>
  <c r="AC13"/>
  <c r="I13"/>
  <c r="G13"/>
  <c r="F13"/>
  <c r="E13"/>
  <c r="B13"/>
  <c r="A13"/>
  <c r="BT12"/>
  <c r="BN12"/>
  <c r="BB12"/>
  <c r="AX12"/>
  <c r="AR12"/>
  <c r="AC12"/>
  <c r="I12"/>
  <c r="G12"/>
  <c r="F12"/>
  <c r="E12"/>
  <c r="B12"/>
  <c r="A12"/>
  <c r="I11"/>
  <c r="G11"/>
  <c r="F11"/>
  <c r="E11"/>
  <c r="B11"/>
  <c r="A11"/>
  <c r="I10"/>
  <c r="G10"/>
  <c r="F10"/>
  <c r="E10"/>
  <c r="B10"/>
  <c r="A10"/>
  <c r="I9"/>
  <c r="G9"/>
  <c r="F9"/>
  <c r="E9"/>
  <c r="B9"/>
  <c r="A9"/>
  <c r="I8"/>
  <c r="G8"/>
  <c r="F8"/>
  <c r="E8"/>
  <c r="B8"/>
  <c r="A8"/>
  <c r="BT7"/>
  <c r="BN7"/>
  <c r="BB7"/>
  <c r="AX7"/>
  <c r="AR7"/>
  <c r="AC7"/>
  <c r="I7"/>
  <c r="H7"/>
  <c r="G7"/>
  <c r="F7"/>
  <c r="B7"/>
  <c r="A7"/>
  <c r="BT6"/>
  <c r="BN6"/>
  <c r="BB6"/>
  <c r="AX6"/>
  <c r="AR6"/>
  <c r="AC6"/>
  <c r="I6"/>
  <c r="H6"/>
  <c r="G6"/>
  <c r="F6"/>
  <c r="E6"/>
  <c r="B6"/>
  <c r="A6"/>
  <c r="BT5"/>
  <c r="BN5"/>
  <c r="BB5"/>
  <c r="AU5"/>
  <c r="AS5"/>
  <c r="AR5"/>
  <c r="AC5"/>
  <c r="I5"/>
  <c r="G5"/>
  <c r="F5"/>
  <c r="B5"/>
  <c r="A5"/>
  <c r="BT4"/>
  <c r="BN4"/>
  <c r="BB4"/>
  <c r="AU4"/>
  <c r="AS4"/>
  <c r="AR4"/>
  <c r="AC4"/>
  <c r="I4"/>
  <c r="G4"/>
  <c r="F4"/>
  <c r="E4"/>
  <c r="B4"/>
  <c r="A4"/>
  <c r="B16" i="23"/>
  <c r="A16"/>
  <c r="B15"/>
  <c r="A15"/>
  <c r="B14"/>
  <c r="A14"/>
  <c r="B13"/>
  <c r="A13"/>
  <c r="B12"/>
  <c r="A12"/>
  <c r="B11"/>
  <c r="A11"/>
  <c r="B10"/>
  <c r="A10"/>
  <c r="B9"/>
  <c r="A9"/>
  <c r="B8"/>
  <c r="A8"/>
  <c r="B7"/>
  <c r="A7"/>
  <c r="A4" i="15"/>
  <c r="A5"/>
  <c r="A6"/>
  <c r="A7"/>
  <c r="A8"/>
  <c r="A9"/>
  <c r="A10"/>
  <c r="A11"/>
  <c r="A12"/>
  <c r="A13"/>
  <c r="A14"/>
  <c r="A15"/>
  <c r="A16"/>
  <c r="C16"/>
  <c r="B16"/>
  <c r="C15"/>
  <c r="B15"/>
  <c r="C14"/>
  <c r="B14"/>
  <c r="C11"/>
  <c r="B11"/>
  <c r="C9"/>
  <c r="B9"/>
  <c r="C7"/>
  <c r="B7"/>
  <c r="F16" i="27"/>
  <c r="E16"/>
  <c r="D16"/>
  <c r="C16"/>
  <c r="B16"/>
  <c r="X15"/>
  <c r="W15"/>
  <c r="V15"/>
  <c r="J15"/>
  <c r="I15"/>
  <c r="H15"/>
  <c r="G15"/>
  <c r="F15"/>
  <c r="E15"/>
  <c r="D15"/>
  <c r="C15"/>
  <c r="B15"/>
  <c r="A15"/>
  <c r="X14"/>
  <c r="W14"/>
  <c r="V14"/>
  <c r="J14"/>
  <c r="I14"/>
  <c r="H14"/>
  <c r="G14"/>
  <c r="F14"/>
  <c r="E14"/>
  <c r="D14"/>
  <c r="C14"/>
  <c r="B14"/>
  <c r="A14"/>
  <c r="X13"/>
  <c r="W13"/>
  <c r="V13"/>
  <c r="J13"/>
  <c r="I13"/>
  <c r="H13"/>
  <c r="G13"/>
  <c r="F13"/>
  <c r="E13"/>
  <c r="D13"/>
  <c r="C13"/>
  <c r="B13"/>
  <c r="A13"/>
  <c r="A4"/>
  <c r="A5"/>
  <c r="A6"/>
  <c r="A7"/>
  <c r="A8"/>
  <c r="A12"/>
  <c r="D9" i="26"/>
  <c r="A4"/>
  <c r="A5"/>
  <c r="A6"/>
  <c r="A7"/>
  <c r="A8"/>
  <c r="A9"/>
  <c r="A10"/>
  <c r="A11"/>
  <c r="A12"/>
  <c r="A13"/>
  <c r="A14"/>
  <c r="A15"/>
  <c r="A16"/>
  <c r="C16"/>
  <c r="M16" s="1"/>
  <c r="B16"/>
  <c r="C15"/>
  <c r="M15" s="1"/>
  <c r="B15"/>
  <c r="C14"/>
  <c r="V14" s="1"/>
  <c r="B14"/>
  <c r="AE11"/>
  <c r="AG11" s="1"/>
  <c r="P11" i="9" s="1"/>
  <c r="C11" i="26"/>
  <c r="B11"/>
  <c r="C9"/>
  <c r="B9"/>
  <c r="AE7"/>
  <c r="AG7" s="1"/>
  <c r="P7" i="9" s="1"/>
  <c r="C7" i="26"/>
  <c r="B7"/>
  <c r="C3"/>
  <c r="M3" s="1"/>
  <c r="B3"/>
  <c r="A3"/>
  <c r="A4" i="20"/>
  <c r="A5"/>
  <c r="A6"/>
  <c r="A7"/>
  <c r="A8"/>
  <c r="A9"/>
  <c r="A10"/>
  <c r="A11"/>
  <c r="A12"/>
  <c r="A13"/>
  <c r="A14"/>
  <c r="A15"/>
  <c r="A16"/>
  <c r="U16"/>
  <c r="D16"/>
  <c r="C16"/>
  <c r="B16"/>
  <c r="U15"/>
  <c r="H15" i="24" s="1"/>
  <c r="D15" i="20"/>
  <c r="C15"/>
  <c r="B15"/>
  <c r="U14"/>
  <c r="H14" i="24" s="1"/>
  <c r="D14" i="20"/>
  <c r="C14"/>
  <c r="B14"/>
  <c r="U11"/>
  <c r="H11" i="24" s="1"/>
  <c r="D11" i="20"/>
  <c r="C11"/>
  <c r="B11"/>
  <c r="U9"/>
  <c r="H9" i="24" s="1"/>
  <c r="D9" i="20"/>
  <c r="C9"/>
  <c r="B9"/>
  <c r="U7"/>
  <c r="D7"/>
  <c r="C7"/>
  <c r="B7"/>
  <c r="A4" i="4"/>
  <c r="A5"/>
  <c r="A6"/>
  <c r="A7"/>
  <c r="A8"/>
  <c r="A9"/>
  <c r="A10"/>
  <c r="A11"/>
  <c r="A12"/>
  <c r="A13"/>
  <c r="A14"/>
  <c r="A15"/>
  <c r="A16"/>
  <c r="D16"/>
  <c r="C16"/>
  <c r="B16"/>
  <c r="D15"/>
  <c r="C15"/>
  <c r="B15"/>
  <c r="D14"/>
  <c r="C14"/>
  <c r="B14"/>
  <c r="I11" i="1"/>
  <c r="D11" i="4"/>
  <c r="C11"/>
  <c r="B11"/>
  <c r="I9" i="1"/>
  <c r="D9" i="4"/>
  <c r="C9"/>
  <c r="B9"/>
  <c r="O7"/>
  <c r="E7" i="24" s="1"/>
  <c r="I7" i="1"/>
  <c r="D7" i="4"/>
  <c r="C7"/>
  <c r="B7"/>
  <c r="A4" i="16"/>
  <c r="A5"/>
  <c r="A6"/>
  <c r="A7"/>
  <c r="A8"/>
  <c r="A9"/>
  <c r="A10"/>
  <c r="A11"/>
  <c r="A12"/>
  <c r="A13"/>
  <c r="A14"/>
  <c r="A15"/>
  <c r="A16"/>
  <c r="AM16"/>
  <c r="D16" i="24" s="1"/>
  <c r="E16" i="16"/>
  <c r="I16" s="1"/>
  <c r="N16" s="1"/>
  <c r="D16"/>
  <c r="H16" s="1"/>
  <c r="C16"/>
  <c r="B16"/>
  <c r="AM15"/>
  <c r="D15" i="24" s="1"/>
  <c r="E15" i="16"/>
  <c r="I15" s="1"/>
  <c r="N15" s="1"/>
  <c r="D15"/>
  <c r="H15" s="1"/>
  <c r="C15"/>
  <c r="B15"/>
  <c r="AM14"/>
  <c r="D14" i="24" s="1"/>
  <c r="E14" i="16"/>
  <c r="I14" s="1"/>
  <c r="N14" s="1"/>
  <c r="D14"/>
  <c r="H14" s="1"/>
  <c r="C14"/>
  <c r="B14"/>
  <c r="AM11"/>
  <c r="D11" i="24" s="1"/>
  <c r="E11" i="16"/>
  <c r="I11" s="1"/>
  <c r="N11" s="1"/>
  <c r="D11"/>
  <c r="H11" s="1"/>
  <c r="C11"/>
  <c r="B11"/>
  <c r="AM9"/>
  <c r="AN9" s="1"/>
  <c r="C9" i="24" s="1"/>
  <c r="E9" i="16"/>
  <c r="I9" s="1"/>
  <c r="N9" s="1"/>
  <c r="D9"/>
  <c r="H9" s="1"/>
  <c r="C9"/>
  <c r="B9"/>
  <c r="AM7"/>
  <c r="D7" i="24" s="1"/>
  <c r="E7" i="16"/>
  <c r="I7" s="1"/>
  <c r="D7"/>
  <c r="H7" s="1"/>
  <c r="C7"/>
  <c r="B7"/>
  <c r="A4" i="14"/>
  <c r="A5"/>
  <c r="A6"/>
  <c r="A7"/>
  <c r="A8"/>
  <c r="A9"/>
  <c r="A10"/>
  <c r="A11"/>
  <c r="A12"/>
  <c r="A13"/>
  <c r="A14"/>
  <c r="A15"/>
  <c r="A16"/>
  <c r="P16"/>
  <c r="B16"/>
  <c r="P15"/>
  <c r="B15"/>
  <c r="B14"/>
  <c r="B11"/>
  <c r="P9"/>
  <c r="G9" i="1" s="1"/>
  <c r="B9" i="14"/>
  <c r="B7"/>
  <c r="A4" i="12"/>
  <c r="A5"/>
  <c r="A6"/>
  <c r="A7"/>
  <c r="A8"/>
  <c r="A9"/>
  <c r="A10"/>
  <c r="A11"/>
  <c r="A12"/>
  <c r="A13"/>
  <c r="A14"/>
  <c r="A15"/>
  <c r="C16"/>
  <c r="B16"/>
  <c r="A16"/>
  <c r="G15"/>
  <c r="F15"/>
  <c r="C15"/>
  <c r="B15"/>
  <c r="G14"/>
  <c r="F14"/>
  <c r="P14" i="14" s="1"/>
  <c r="C14" i="12"/>
  <c r="B14"/>
  <c r="C11"/>
  <c r="B11"/>
  <c r="F9"/>
  <c r="C9"/>
  <c r="B9"/>
  <c r="G7"/>
  <c r="F7"/>
  <c r="F7" i="1" s="1"/>
  <c r="C7" i="12"/>
  <c r="B7"/>
  <c r="N6" i="13"/>
  <c r="J6"/>
  <c r="H6"/>
  <c r="C6"/>
  <c r="B6"/>
  <c r="A6"/>
  <c r="N5"/>
  <c r="J5"/>
  <c r="C5"/>
  <c r="H5" s="1"/>
  <c r="B5"/>
  <c r="A5"/>
  <c r="N4"/>
  <c r="J4"/>
  <c r="H4"/>
  <c r="C4"/>
  <c r="B4"/>
  <c r="A4"/>
  <c r="N16"/>
  <c r="J16"/>
  <c r="C16"/>
  <c r="B16"/>
  <c r="A16"/>
  <c r="N15"/>
  <c r="J15"/>
  <c r="C15"/>
  <c r="G15" s="1"/>
  <c r="B15"/>
  <c r="A15"/>
  <c r="N14"/>
  <c r="J14"/>
  <c r="C14"/>
  <c r="G14" s="1"/>
  <c r="B14"/>
  <c r="A14"/>
  <c r="N13"/>
  <c r="J13"/>
  <c r="C13"/>
  <c r="G13" s="1"/>
  <c r="B13"/>
  <c r="A13"/>
  <c r="N12"/>
  <c r="J12"/>
  <c r="C12"/>
  <c r="B12"/>
  <c r="A12"/>
  <c r="N11"/>
  <c r="J11"/>
  <c r="C11"/>
  <c r="B11"/>
  <c r="A11"/>
  <c r="N10"/>
  <c r="J10"/>
  <c r="C10"/>
  <c r="B10"/>
  <c r="A10"/>
  <c r="N9"/>
  <c r="J9"/>
  <c r="C9"/>
  <c r="G9" s="1"/>
  <c r="B9"/>
  <c r="A9"/>
  <c r="N8"/>
  <c r="J8"/>
  <c r="C8"/>
  <c r="G8" s="1"/>
  <c r="B8"/>
  <c r="A8"/>
  <c r="N7"/>
  <c r="J7"/>
  <c r="C7"/>
  <c r="B7"/>
  <c r="A7"/>
  <c r="K15" i="25"/>
  <c r="C15"/>
  <c r="B15"/>
  <c r="A15"/>
  <c r="K14"/>
  <c r="C14"/>
  <c r="B14"/>
  <c r="A14"/>
  <c r="K13"/>
  <c r="C13"/>
  <c r="B13"/>
  <c r="A13"/>
  <c r="K12"/>
  <c r="C12"/>
  <c r="B12"/>
  <c r="A12"/>
  <c r="C11"/>
  <c r="B11"/>
  <c r="A11"/>
  <c r="K10"/>
  <c r="C10"/>
  <c r="B10"/>
  <c r="A10"/>
  <c r="K9"/>
  <c r="C9"/>
  <c r="B9"/>
  <c r="A9"/>
  <c r="K8"/>
  <c r="C8"/>
  <c r="B8"/>
  <c r="A8"/>
  <c r="K7"/>
  <c r="C7"/>
  <c r="B7"/>
  <c r="A7"/>
  <c r="C6"/>
  <c r="B6"/>
  <c r="A6"/>
  <c r="C5"/>
  <c r="B5"/>
  <c r="A5"/>
  <c r="C4"/>
  <c r="B4"/>
  <c r="A4"/>
  <c r="C3"/>
  <c r="B3"/>
  <c r="A3"/>
  <c r="D11" i="23"/>
  <c r="J11" i="1"/>
  <c r="D9" i="23"/>
  <c r="J9" i="1"/>
  <c r="F9"/>
  <c r="N7"/>
  <c r="J7"/>
  <c r="BK17" i="24"/>
  <c r="BL17"/>
  <c r="BO17"/>
  <c r="BQ17"/>
  <c r="BR17"/>
  <c r="BS17"/>
  <c r="AB17" i="5"/>
  <c r="AC17"/>
  <c r="BP17" i="24"/>
  <c r="AU3"/>
  <c r="AS3"/>
  <c r="BN3"/>
  <c r="AR3"/>
  <c r="AC3"/>
  <c r="F3"/>
  <c r="J6" i="1"/>
  <c r="N6"/>
  <c r="U3" i="20"/>
  <c r="U4"/>
  <c r="H4" i="24" s="1"/>
  <c r="U5" i="20"/>
  <c r="H5" i="24" s="1"/>
  <c r="U6" i="20"/>
  <c r="U8"/>
  <c r="H8" i="24" s="1"/>
  <c r="U10" i="20"/>
  <c r="H10" i="24" s="1"/>
  <c r="U12" i="20"/>
  <c r="H12" i="24" s="1"/>
  <c r="U13" i="20"/>
  <c r="H13" i="24" s="1"/>
  <c r="P17" i="20"/>
  <c r="Q17"/>
  <c r="R17"/>
  <c r="S17"/>
  <c r="T17"/>
  <c r="N17" i="4"/>
  <c r="O4"/>
  <c r="O5"/>
  <c r="E5" i="24" s="1"/>
  <c r="O6" i="4"/>
  <c r="O3"/>
  <c r="AM3" i="16"/>
  <c r="AM4"/>
  <c r="AN4" s="1"/>
  <c r="C4" i="24" s="1"/>
  <c r="AM5" i="16"/>
  <c r="AN5" s="1"/>
  <c r="C5" i="24" s="1"/>
  <c r="AM6" i="16"/>
  <c r="D6" i="24" s="1"/>
  <c r="AM8" i="16"/>
  <c r="AM10"/>
  <c r="AN10" s="1"/>
  <c r="AM12"/>
  <c r="D12" i="24" s="1"/>
  <c r="AM13" i="16"/>
  <c r="AN13" s="1"/>
  <c r="C13" i="24" s="1"/>
  <c r="AM16" i="5" l="1"/>
  <c r="W16"/>
  <c r="X16" s="1"/>
  <c r="AM15"/>
  <c r="W15"/>
  <c r="X15" s="1"/>
  <c r="AM14"/>
  <c r="AX4" i="24"/>
  <c r="AX5"/>
  <c r="AX16"/>
  <c r="BV7"/>
  <c r="Q7" i="9" s="1"/>
  <c r="G7" i="5" s="1"/>
  <c r="AX15" i="24"/>
  <c r="BV15"/>
  <c r="Q15" i="9" s="1"/>
  <c r="G15" i="5" s="1"/>
  <c r="D13" i="24"/>
  <c r="BV13" s="1"/>
  <c r="N7" i="16"/>
  <c r="H25"/>
  <c r="D4" i="24"/>
  <c r="BV4" s="1"/>
  <c r="D5"/>
  <c r="BV5" s="1"/>
  <c r="D9"/>
  <c r="BV9" s="1"/>
  <c r="Q9" i="9" s="1"/>
  <c r="G9" i="5" s="1"/>
  <c r="H16" i="27"/>
  <c r="K15" i="9"/>
  <c r="J11" i="5"/>
  <c r="K11" s="1"/>
  <c r="BV11" i="24"/>
  <c r="Q11" i="9" s="1"/>
  <c r="G11" i="5" s="1"/>
  <c r="AN16" i="16"/>
  <c r="C16" i="24" s="1"/>
  <c r="D8"/>
  <c r="BV8" s="1"/>
  <c r="D10"/>
  <c r="BV10" s="1"/>
  <c r="P11" i="14"/>
  <c r="G11" i="1" s="1"/>
  <c r="AN7" i="16"/>
  <c r="P7" i="14"/>
  <c r="G7" i="1" s="1"/>
  <c r="AN6" i="16"/>
  <c r="C6" i="24" s="1"/>
  <c r="BU6" s="1"/>
  <c r="J7" i="5"/>
  <c r="K7" s="1"/>
  <c r="K7" i="9"/>
  <c r="BU9" i="24"/>
  <c r="R9" i="9" s="1"/>
  <c r="BU13" i="24"/>
  <c r="BV6"/>
  <c r="BV12"/>
  <c r="BV14"/>
  <c r="Q14" i="9" s="1"/>
  <c r="G14" i="5" s="1"/>
  <c r="BV16" i="24"/>
  <c r="Q16" i="9" s="1"/>
  <c r="G16" i="5" s="1"/>
  <c r="BU5" i="24"/>
  <c r="BU4"/>
  <c r="V16" i="26"/>
  <c r="AE16" s="1"/>
  <c r="AG16" s="1"/>
  <c r="V3"/>
  <c r="AE3" s="1"/>
  <c r="AG3" s="1"/>
  <c r="AE9"/>
  <c r="AG9" s="1"/>
  <c r="V15"/>
  <c r="AE15" s="1"/>
  <c r="AG15" s="1"/>
  <c r="M14"/>
  <c r="AE14"/>
  <c r="AG14" s="1"/>
  <c r="C7" i="24"/>
  <c r="BU7" s="1"/>
  <c r="R7" i="9" s="1"/>
  <c r="AN11" i="16"/>
  <c r="C11" i="24" s="1"/>
  <c r="BU11" s="1"/>
  <c r="R11" i="9" s="1"/>
  <c r="U11" i="5" s="1"/>
  <c r="V11" s="1"/>
  <c r="AN15" i="16"/>
  <c r="C15" i="24" s="1"/>
  <c r="AN14" i="16"/>
  <c r="C14" i="24" s="1"/>
  <c r="BU14" s="1"/>
  <c r="R14" i="9" s="1"/>
  <c r="U14" i="5" s="1"/>
  <c r="V14" s="1"/>
  <c r="K14" i="16"/>
  <c r="L14"/>
  <c r="J14"/>
  <c r="K15"/>
  <c r="J15"/>
  <c r="L15"/>
  <c r="K16"/>
  <c r="L16"/>
  <c r="J16"/>
  <c r="L11"/>
  <c r="J11"/>
  <c r="K11"/>
  <c r="K9"/>
  <c r="L9"/>
  <c r="J9"/>
  <c r="K7"/>
  <c r="L7"/>
  <c r="J7"/>
  <c r="L16" i="1"/>
  <c r="L4" i="13"/>
  <c r="K4"/>
  <c r="L6"/>
  <c r="K6"/>
  <c r="L5"/>
  <c r="K5"/>
  <c r="I4"/>
  <c r="I5"/>
  <c r="I6"/>
  <c r="H9"/>
  <c r="I9"/>
  <c r="H13"/>
  <c r="I13"/>
  <c r="I8"/>
  <c r="H8"/>
  <c r="I12"/>
  <c r="H16"/>
  <c r="I16"/>
  <c r="G16" i="27" s="1"/>
  <c r="H7" i="13"/>
  <c r="I7"/>
  <c r="I11"/>
  <c r="H11"/>
  <c r="H15"/>
  <c r="I15"/>
  <c r="H10"/>
  <c r="I10"/>
  <c r="H14"/>
  <c r="I14"/>
  <c r="L15" i="1"/>
  <c r="AI17" i="5"/>
  <c r="Y17"/>
  <c r="BU15" i="24" l="1"/>
  <c r="R15" i="9" s="1"/>
  <c r="U15" i="5" s="1"/>
  <c r="V15" s="1"/>
  <c r="BU16" i="24"/>
  <c r="R16" i="9" s="1"/>
  <c r="U16" i="5" s="1"/>
  <c r="V16" s="1"/>
  <c r="O9" i="16"/>
  <c r="M9" s="1"/>
  <c r="H9" i="1" s="1"/>
  <c r="O11" i="16"/>
  <c r="Q11" s="1"/>
  <c r="Q9"/>
  <c r="L9" i="9"/>
  <c r="O9" s="1"/>
  <c r="F9" i="5" s="1"/>
  <c r="H9" s="1"/>
  <c r="O15" i="16"/>
  <c r="M15" s="1"/>
  <c r="O16" i="1"/>
  <c r="N16" i="9" s="1"/>
  <c r="E16" i="23"/>
  <c r="O15" i="1"/>
  <c r="N15" i="9" s="1"/>
  <c r="V16" i="27"/>
  <c r="J14" i="5"/>
  <c r="K14" s="1"/>
  <c r="P14" i="9"/>
  <c r="P15"/>
  <c r="J15" i="5"/>
  <c r="K15" s="1"/>
  <c r="J16"/>
  <c r="K16" s="1"/>
  <c r="P16" i="9"/>
  <c r="J9" i="5"/>
  <c r="K9" s="1"/>
  <c r="P9" i="9"/>
  <c r="U9" i="5"/>
  <c r="V9" s="1"/>
  <c r="U7"/>
  <c r="V7" s="1"/>
  <c r="M11" i="16"/>
  <c r="H11" i="1" s="1"/>
  <c r="O16" i="16"/>
  <c r="O14"/>
  <c r="L14" i="9" s="1"/>
  <c r="O14" s="1"/>
  <c r="F14" i="5" s="1"/>
  <c r="H14" s="1"/>
  <c r="O7" i="16"/>
  <c r="O4" i="13"/>
  <c r="M4" s="1"/>
  <c r="O5"/>
  <c r="M5" s="1"/>
  <c r="O6"/>
  <c r="M6" s="1"/>
  <c r="K11"/>
  <c r="L11"/>
  <c r="L8"/>
  <c r="K8"/>
  <c r="O8" s="1"/>
  <c r="M8" s="1"/>
  <c r="L14"/>
  <c r="K14"/>
  <c r="O14" s="1"/>
  <c r="M14" s="1"/>
  <c r="K15"/>
  <c r="L15"/>
  <c r="K7"/>
  <c r="O7" s="1"/>
  <c r="L7"/>
  <c r="L12"/>
  <c r="K12"/>
  <c r="L9"/>
  <c r="K9"/>
  <c r="L10"/>
  <c r="K10"/>
  <c r="K16"/>
  <c r="L16"/>
  <c r="L13"/>
  <c r="O13" s="1"/>
  <c r="M13" s="1"/>
  <c r="K13"/>
  <c r="O15"/>
  <c r="M15" s="1"/>
  <c r="O9"/>
  <c r="M9" s="1"/>
  <c r="E9" i="1" s="1"/>
  <c r="AQ13" i="5"/>
  <c r="AQ17" s="1"/>
  <c r="AL13"/>
  <c r="W13" s="1"/>
  <c r="E13"/>
  <c r="D13"/>
  <c r="C13"/>
  <c r="A13"/>
  <c r="AQ12"/>
  <c r="AL12"/>
  <c r="E12"/>
  <c r="D12"/>
  <c r="C12"/>
  <c r="A12"/>
  <c r="AQ10"/>
  <c r="AL10"/>
  <c r="I9" l="1"/>
  <c r="X13"/>
  <c r="X17" s="1"/>
  <c r="W17"/>
  <c r="I14"/>
  <c r="Q15" i="16"/>
  <c r="R15" i="10" s="1"/>
  <c r="P15" s="1"/>
  <c r="L15" i="9"/>
  <c r="J16" i="27"/>
  <c r="X16"/>
  <c r="W16"/>
  <c r="I16"/>
  <c r="O12" i="13"/>
  <c r="M12" s="1"/>
  <c r="O11"/>
  <c r="L11" i="9" s="1"/>
  <c r="O11" s="1"/>
  <c r="F11" i="5" s="1"/>
  <c r="H11" s="1"/>
  <c r="O10" i="13"/>
  <c r="M10" s="1"/>
  <c r="M7"/>
  <c r="E7" i="1" s="1"/>
  <c r="L7" i="9"/>
  <c r="Q14" i="16"/>
  <c r="R14" i="10" s="1"/>
  <c r="P14" s="1"/>
  <c r="M14" i="16"/>
  <c r="Q16"/>
  <c r="R16" i="10" s="1"/>
  <c r="P16" s="1"/>
  <c r="M16" i="16"/>
  <c r="L9" i="1"/>
  <c r="AJ9" i="5" s="1"/>
  <c r="Q7" i="16"/>
  <c r="M7"/>
  <c r="H7" i="1" s="1"/>
  <c r="O16" i="13"/>
  <c r="E10" i="5"/>
  <c r="D10"/>
  <c r="C10"/>
  <c r="A10"/>
  <c r="I11" l="1"/>
  <c r="O15" i="9"/>
  <c r="M16" i="13"/>
  <c r="L16" i="9"/>
  <c r="O7"/>
  <c r="F7" i="5" s="1"/>
  <c r="H7" s="1"/>
  <c r="O9" i="1"/>
  <c r="N9" i="9" s="1"/>
  <c r="S9" i="5" s="1"/>
  <c r="C9" i="23"/>
  <c r="E9" s="1"/>
  <c r="M11" i="13"/>
  <c r="E11" i="1" s="1"/>
  <c r="L11" s="1"/>
  <c r="AJ11" i="5" s="1"/>
  <c r="L7" i="1"/>
  <c r="AJ7" i="5" s="1"/>
  <c r="AQ8"/>
  <c r="AL8"/>
  <c r="E8"/>
  <c r="D8"/>
  <c r="C8"/>
  <c r="A8"/>
  <c r="AQ6"/>
  <c r="AL6"/>
  <c r="AM6" s="1"/>
  <c r="E6"/>
  <c r="D6"/>
  <c r="C6"/>
  <c r="A6"/>
  <c r="AQ5"/>
  <c r="AL5"/>
  <c r="AM5" s="1"/>
  <c r="E5"/>
  <c r="D5"/>
  <c r="C5"/>
  <c r="A5"/>
  <c r="AQ4"/>
  <c r="AL4"/>
  <c r="AM4" s="1"/>
  <c r="E4"/>
  <c r="D4"/>
  <c r="C4"/>
  <c r="A4"/>
  <c r="AQ3"/>
  <c r="I7" l="1"/>
  <c r="T9"/>
  <c r="AD28"/>
  <c r="AE28" s="1"/>
  <c r="AN15"/>
  <c r="AK15"/>
  <c r="F15"/>
  <c r="H15" s="1"/>
  <c r="S15"/>
  <c r="T15" s="1"/>
  <c r="O16" i="9"/>
  <c r="AK9" i="5"/>
  <c r="AN9"/>
  <c r="C11" i="23"/>
  <c r="E11" s="1"/>
  <c r="O11" i="1"/>
  <c r="N11" i="9" s="1"/>
  <c r="S11" i="5" s="1"/>
  <c r="AK11"/>
  <c r="AN11"/>
  <c r="O7" i="1"/>
  <c r="N7" i="9" s="1"/>
  <c r="S7" i="5" s="1"/>
  <c r="T7" s="1"/>
  <c r="AK7"/>
  <c r="AN7"/>
  <c r="AL3"/>
  <c r="AM3" s="1"/>
  <c r="T11" l="1"/>
  <c r="AD30"/>
  <c r="AE30" s="1"/>
  <c r="AD11"/>
  <c r="AE11" s="1"/>
  <c r="AD9"/>
  <c r="AG28"/>
  <c r="AH28" s="1"/>
  <c r="I15"/>
  <c r="AD34"/>
  <c r="AE34" s="1"/>
  <c r="AD25"/>
  <c r="AE25" s="1"/>
  <c r="AD15"/>
  <c r="AE15" s="1"/>
  <c r="AO15"/>
  <c r="F16"/>
  <c r="H16" s="1"/>
  <c r="S16"/>
  <c r="T16" s="1"/>
  <c r="AK16"/>
  <c r="AN16"/>
  <c r="AE9"/>
  <c r="AO9"/>
  <c r="AA9" s="1"/>
  <c r="AO11"/>
  <c r="AD7"/>
  <c r="AE7" s="1"/>
  <c r="AO7"/>
  <c r="AA7" s="1"/>
  <c r="E3"/>
  <c r="D3"/>
  <c r="C3"/>
  <c r="B3"/>
  <c r="A3"/>
  <c r="AG25" l="1"/>
  <c r="AH25" s="1"/>
  <c r="AG30"/>
  <c r="AH30" s="1"/>
  <c r="I16"/>
  <c r="AD35"/>
  <c r="AE35" s="1"/>
  <c r="AG34"/>
  <c r="AH34" s="1"/>
  <c r="AD16"/>
  <c r="AE16" s="1"/>
  <c r="AO16"/>
  <c r="AL17"/>
  <c r="AG35" l="1"/>
  <c r="AH35" s="1"/>
  <c r="C12" i="28"/>
  <c r="B12"/>
  <c r="A12"/>
  <c r="C11"/>
  <c r="B11"/>
  <c r="A1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S17" i="10"/>
  <c r="Q17" l="1"/>
  <c r="O17"/>
  <c r="L13" l="1"/>
  <c r="J13"/>
  <c r="H13"/>
  <c r="G13"/>
  <c r="E13"/>
  <c r="C13"/>
  <c r="A13"/>
  <c r="L12"/>
  <c r="J12"/>
  <c r="H12"/>
  <c r="G12"/>
  <c r="E12"/>
  <c r="C12"/>
  <c r="A12"/>
  <c r="R11"/>
  <c r="P11" s="1"/>
  <c r="L11"/>
  <c r="J11"/>
  <c r="H11"/>
  <c r="G11"/>
  <c r="E11"/>
  <c r="C11"/>
  <c r="A11"/>
  <c r="L10"/>
  <c r="J10"/>
  <c r="H10"/>
  <c r="G10"/>
  <c r="E10"/>
  <c r="C10"/>
  <c r="A10"/>
  <c r="R9"/>
  <c r="P9" s="1"/>
  <c r="L9"/>
  <c r="J9"/>
  <c r="H9"/>
  <c r="G9"/>
  <c r="E9"/>
  <c r="C9"/>
  <c r="A9"/>
  <c r="L8"/>
  <c r="J8"/>
  <c r="H8"/>
  <c r="G8"/>
  <c r="E8"/>
  <c r="C8"/>
  <c r="A8"/>
  <c r="R7"/>
  <c r="P7" s="1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A8" i="22"/>
  <c r="A7"/>
  <c r="A6"/>
  <c r="A5"/>
  <c r="A4"/>
  <c r="A3"/>
  <c r="A3" i="8"/>
  <c r="X17" i="9"/>
  <c r="W17"/>
  <c r="V17"/>
  <c r="U17"/>
  <c r="L17" i="10" l="1"/>
  <c r="T17" i="9"/>
  <c r="S17"/>
  <c r="M17"/>
  <c r="K14" l="1"/>
  <c r="J17"/>
  <c r="I17"/>
  <c r="H17"/>
  <c r="G17"/>
  <c r="F17"/>
  <c r="E17"/>
  <c r="D13" l="1"/>
  <c r="C13"/>
  <c r="B13"/>
  <c r="A13"/>
  <c r="D12"/>
  <c r="C12"/>
  <c r="B12"/>
  <c r="A12"/>
  <c r="D10"/>
  <c r="C10"/>
  <c r="B10"/>
  <c r="A10"/>
  <c r="D8"/>
  <c r="C8"/>
  <c r="B8"/>
  <c r="A8"/>
  <c r="K6"/>
  <c r="D6"/>
  <c r="C6"/>
  <c r="B6"/>
  <c r="A6"/>
  <c r="D5"/>
  <c r="C5"/>
  <c r="B5"/>
  <c r="A5"/>
  <c r="D4"/>
  <c r="C4"/>
  <c r="B4"/>
  <c r="A4"/>
  <c r="D3"/>
  <c r="C3"/>
  <c r="B3"/>
  <c r="A3"/>
  <c r="BM17" i="24" l="1"/>
  <c r="BJ17"/>
  <c r="BI17"/>
  <c r="BH17"/>
  <c r="BG17"/>
  <c r="BF17"/>
  <c r="BE17"/>
  <c r="BD17"/>
  <c r="BC17"/>
  <c r="BA17"/>
  <c r="AZ17"/>
  <c r="AY17"/>
  <c r="AW17"/>
  <c r="AV17"/>
  <c r="AU17"/>
  <c r="AT17"/>
  <c r="AS17"/>
  <c r="AQ17"/>
  <c r="AP17"/>
  <c r="AO17"/>
  <c r="AN17"/>
  <c r="AM17"/>
  <c r="AL17"/>
  <c r="AK17"/>
  <c r="AJ17"/>
  <c r="AI17"/>
  <c r="AH17"/>
  <c r="AG17"/>
  <c r="AF17"/>
  <c r="AE17"/>
  <c r="AB17"/>
  <c r="AA17"/>
  <c r="Z17"/>
  <c r="Y17"/>
  <c r="X17"/>
  <c r="W17"/>
  <c r="V17"/>
  <c r="U17"/>
  <c r="T17"/>
  <c r="S17"/>
  <c r="R17"/>
  <c r="Q17"/>
  <c r="P17"/>
  <c r="O17" l="1"/>
  <c r="N17"/>
  <c r="M17"/>
  <c r="L17"/>
  <c r="K17"/>
  <c r="J17"/>
  <c r="AR17"/>
  <c r="BT3"/>
  <c r="BT17" s="1"/>
  <c r="BB3"/>
  <c r="AX3"/>
  <c r="I3"/>
  <c r="G3"/>
  <c r="B3"/>
  <c r="A3"/>
  <c r="BB17" l="1"/>
  <c r="AC17"/>
  <c r="BN17"/>
  <c r="AX17"/>
  <c r="G17"/>
  <c r="C26" i="23"/>
  <c r="T17"/>
  <c r="S17"/>
  <c r="R17"/>
  <c r="Q17"/>
  <c r="P17"/>
  <c r="O17"/>
  <c r="N17"/>
  <c r="M17"/>
  <c r="L17"/>
  <c r="K17"/>
  <c r="J17"/>
  <c r="I17"/>
  <c r="F17" i="24" l="1"/>
  <c r="I17"/>
  <c r="B6" i="23"/>
  <c r="A6"/>
  <c r="B5"/>
  <c r="A5"/>
  <c r="B4"/>
  <c r="A4"/>
  <c r="B3"/>
  <c r="A3"/>
  <c r="L17" i="15"/>
  <c r="J17" l="1"/>
  <c r="I17"/>
  <c r="H17"/>
  <c r="G17"/>
  <c r="F17"/>
  <c r="E17"/>
  <c r="D17" l="1"/>
  <c r="C13"/>
  <c r="B13"/>
  <c r="C12"/>
  <c r="B12"/>
  <c r="C10" l="1"/>
  <c r="B10"/>
  <c r="C8"/>
  <c r="B8"/>
  <c r="C6"/>
  <c r="B6"/>
  <c r="C5"/>
  <c r="B5"/>
  <c r="C4"/>
  <c r="B4"/>
  <c r="C3"/>
  <c r="B3"/>
  <c r="A3"/>
  <c r="K17" l="1"/>
  <c r="A17" i="27"/>
  <c r="D12" l="1"/>
  <c r="C12"/>
  <c r="B12"/>
  <c r="X11"/>
  <c r="W11"/>
  <c r="V11"/>
  <c r="J11"/>
  <c r="I11"/>
  <c r="H11"/>
  <c r="G11"/>
  <c r="F11"/>
  <c r="E11"/>
  <c r="D11"/>
  <c r="C11"/>
  <c r="B11"/>
  <c r="D10"/>
  <c r="C10"/>
  <c r="B10"/>
  <c r="X9"/>
  <c r="W9"/>
  <c r="V9"/>
  <c r="J9"/>
  <c r="I9"/>
  <c r="H9"/>
  <c r="G9"/>
  <c r="F9"/>
  <c r="E9"/>
  <c r="D9"/>
  <c r="C9"/>
  <c r="B9"/>
  <c r="D8"/>
  <c r="C8"/>
  <c r="B8"/>
  <c r="X7"/>
  <c r="W7"/>
  <c r="V7"/>
  <c r="J7"/>
  <c r="I7"/>
  <c r="H7"/>
  <c r="G7"/>
  <c r="F7"/>
  <c r="E7"/>
  <c r="D7"/>
  <c r="C7"/>
  <c r="B7"/>
  <c r="F6"/>
  <c r="E6"/>
  <c r="C6"/>
  <c r="B6"/>
  <c r="X5"/>
  <c r="J5"/>
  <c r="F5"/>
  <c r="E5"/>
  <c r="C5"/>
  <c r="B5"/>
  <c r="F4"/>
  <c r="E4"/>
  <c r="C4"/>
  <c r="B4"/>
  <c r="F3"/>
  <c r="E3"/>
  <c r="D3"/>
  <c r="C3"/>
  <c r="B3"/>
  <c r="A3"/>
  <c r="AH17" i="26" l="1"/>
  <c r="A17"/>
  <c r="C13" l="1"/>
  <c r="B13"/>
  <c r="C12"/>
  <c r="V12" s="1"/>
  <c r="M12" s="1"/>
  <c r="AE12" s="1"/>
  <c r="B12"/>
  <c r="C10"/>
  <c r="E10" i="27" s="1"/>
  <c r="B10" i="26"/>
  <c r="C8"/>
  <c r="B8"/>
  <c r="AG6"/>
  <c r="C6"/>
  <c r="D6" s="1"/>
  <c r="D6" i="27" s="1"/>
  <c r="B6" i="26"/>
  <c r="AG5"/>
  <c r="C5"/>
  <c r="D5" s="1"/>
  <c r="D5" i="27" s="1"/>
  <c r="B5" i="26"/>
  <c r="C4"/>
  <c r="B4"/>
  <c r="V17" i="20"/>
  <c r="O17"/>
  <c r="N17"/>
  <c r="M17"/>
  <c r="L17"/>
  <c r="K17"/>
  <c r="J17"/>
  <c r="I17"/>
  <c r="E17"/>
  <c r="D13"/>
  <c r="C13"/>
  <c r="B13"/>
  <c r="D12"/>
  <c r="C12"/>
  <c r="B12"/>
  <c r="D10"/>
  <c r="C10"/>
  <c r="B10"/>
  <c r="D8"/>
  <c r="C8"/>
  <c r="B8"/>
  <c r="D6"/>
  <c r="C6"/>
  <c r="B6"/>
  <c r="D5"/>
  <c r="C5"/>
  <c r="B5"/>
  <c r="D4"/>
  <c r="C4"/>
  <c r="B4"/>
  <c r="H3" i="24"/>
  <c r="D3" i="20"/>
  <c r="C3"/>
  <c r="B3"/>
  <c r="A3"/>
  <c r="BD17" i="4"/>
  <c r="BC17"/>
  <c r="BB17"/>
  <c r="BA17"/>
  <c r="AZ17"/>
  <c r="AY17"/>
  <c r="AX17"/>
  <c r="AW17"/>
  <c r="AV17"/>
  <c r="AU17"/>
  <c r="AT17"/>
  <c r="AS17"/>
  <c r="AR17"/>
  <c r="AQ17"/>
  <c r="AP17"/>
  <c r="AN17"/>
  <c r="AM17"/>
  <c r="AL17"/>
  <c r="AJ17"/>
  <c r="AI17"/>
  <c r="AC17"/>
  <c r="AB17"/>
  <c r="AA17"/>
  <c r="Z17"/>
  <c r="Y17"/>
  <c r="W17"/>
  <c r="U17"/>
  <c r="R17"/>
  <c r="Q17"/>
  <c r="P17"/>
  <c r="M17"/>
  <c r="L17"/>
  <c r="K17"/>
  <c r="G17"/>
  <c r="E17"/>
  <c r="D13"/>
  <c r="C13"/>
  <c r="B13"/>
  <c r="D12"/>
  <c r="C12"/>
  <c r="B12"/>
  <c r="D10"/>
  <c r="C10"/>
  <c r="B10"/>
  <c r="D8"/>
  <c r="C8"/>
  <c r="B8"/>
  <c r="I6" i="1"/>
  <c r="D6" i="4"/>
  <c r="C6"/>
  <c r="B6"/>
  <c r="D5"/>
  <c r="C5"/>
  <c r="B5"/>
  <c r="D4"/>
  <c r="C4"/>
  <c r="B4"/>
  <c r="E3" i="24"/>
  <c r="D3" i="4"/>
  <c r="C3"/>
  <c r="B3"/>
  <c r="A3"/>
  <c r="AL17" i="16"/>
  <c r="AK17"/>
  <c r="AJ17"/>
  <c r="AI17"/>
  <c r="AH17"/>
  <c r="AF17"/>
  <c r="AE17"/>
  <c r="P3" i="9" l="1"/>
  <c r="AF17" i="26"/>
  <c r="F10" i="27"/>
  <c r="M13" i="26"/>
  <c r="J3" i="5"/>
  <c r="J6"/>
  <c r="P6" i="9"/>
  <c r="J5" i="5"/>
  <c r="P5" i="9"/>
  <c r="H17" i="24"/>
  <c r="U17" i="20"/>
  <c r="F17" i="4"/>
  <c r="E17" i="24"/>
  <c r="O17" i="4"/>
  <c r="H17"/>
  <c r="AE8" i="26"/>
  <c r="AG8" s="1"/>
  <c r="F8" i="27"/>
  <c r="AE10" i="26"/>
  <c r="AG10" s="1"/>
  <c r="AG12"/>
  <c r="AC17" i="16"/>
  <c r="J8" i="5" l="1"/>
  <c r="P8" i="9"/>
  <c r="E8" i="27"/>
  <c r="M17" i="26"/>
  <c r="J10" i="5"/>
  <c r="P10" i="9"/>
  <c r="J12" i="5"/>
  <c r="P12" i="9"/>
  <c r="AB17" i="16"/>
  <c r="AA17"/>
  <c r="W17"/>
  <c r="V17"/>
  <c r="U17"/>
  <c r="S17"/>
  <c r="R17"/>
  <c r="E13" l="1"/>
  <c r="D13"/>
  <c r="C13"/>
  <c r="B13"/>
  <c r="E12"/>
  <c r="I12" s="1"/>
  <c r="D12"/>
  <c r="H12" s="1"/>
  <c r="C12"/>
  <c r="B12"/>
  <c r="E10"/>
  <c r="I10" s="1"/>
  <c r="D10"/>
  <c r="C10"/>
  <c r="B10"/>
  <c r="E8"/>
  <c r="I8" s="1"/>
  <c r="D8"/>
  <c r="C8"/>
  <c r="B8"/>
  <c r="E6"/>
  <c r="I6" s="1"/>
  <c r="D6"/>
  <c r="C6"/>
  <c r="B6"/>
  <c r="E5"/>
  <c r="I5" s="1"/>
  <c r="D5"/>
  <c r="C5"/>
  <c r="B5"/>
  <c r="E4"/>
  <c r="I4" s="1"/>
  <c r="D4"/>
  <c r="C4"/>
  <c r="B4"/>
  <c r="E3"/>
  <c r="I3" s="1"/>
  <c r="N3" s="1"/>
  <c r="D3"/>
  <c r="C3"/>
  <c r="B3"/>
  <c r="A3"/>
  <c r="H5" l="1"/>
  <c r="H8"/>
  <c r="H26" s="1"/>
  <c r="Q8" i="9"/>
  <c r="Q12"/>
  <c r="Q10"/>
  <c r="H10" i="16"/>
  <c r="L10" s="1"/>
  <c r="N10"/>
  <c r="N5"/>
  <c r="D3" i="24"/>
  <c r="BV3" s="1"/>
  <c r="AM17" i="16"/>
  <c r="R13" i="9"/>
  <c r="U13" i="5" s="1"/>
  <c r="Q13" i="9"/>
  <c r="R5"/>
  <c r="U5" i="5" s="1"/>
  <c r="Q5" i="9"/>
  <c r="R6"/>
  <c r="U6" i="5" s="1"/>
  <c r="Q6" i="9"/>
  <c r="R4"/>
  <c r="U4" i="5" s="1"/>
  <c r="Q4" i="9"/>
  <c r="H4" i="16"/>
  <c r="H22" s="1"/>
  <c r="N4"/>
  <c r="H6"/>
  <c r="H24" s="1"/>
  <c r="N6"/>
  <c r="H3"/>
  <c r="H21" s="1"/>
  <c r="N8"/>
  <c r="B13" i="14"/>
  <c r="B12"/>
  <c r="B10"/>
  <c r="B8"/>
  <c r="T8" i="16" l="1"/>
  <c r="K5"/>
  <c r="H23"/>
  <c r="L5"/>
  <c r="J5"/>
  <c r="L8"/>
  <c r="J8"/>
  <c r="K8"/>
  <c r="K10"/>
  <c r="J10"/>
  <c r="D17" i="24"/>
  <c r="L3" i="16"/>
  <c r="J3"/>
  <c r="K3"/>
  <c r="L4"/>
  <c r="J4"/>
  <c r="K4"/>
  <c r="L6"/>
  <c r="J6"/>
  <c r="K6"/>
  <c r="B6" i="14"/>
  <c r="B5"/>
  <c r="B4"/>
  <c r="B3"/>
  <c r="A3"/>
  <c r="AN8" i="16" l="1"/>
  <c r="C8" i="24" s="1"/>
  <c r="BU8" s="1"/>
  <c r="R8" i="9" s="1"/>
  <c r="U8" i="5" s="1"/>
  <c r="O5" i="16"/>
  <c r="M5" s="1"/>
  <c r="O8"/>
  <c r="M8" s="1"/>
  <c r="O10"/>
  <c r="Q10" s="1"/>
  <c r="R10" i="10" s="1"/>
  <c r="P10" s="1"/>
  <c r="O4" i="16"/>
  <c r="Q4" s="1"/>
  <c r="R4" i="10" s="1"/>
  <c r="P4" s="1"/>
  <c r="O6" i="16"/>
  <c r="M6" s="1"/>
  <c r="H6" i="1" s="1"/>
  <c r="Q3" i="9"/>
  <c r="BV17" i="24"/>
  <c r="O3" i="16"/>
  <c r="C13" i="12"/>
  <c r="B13"/>
  <c r="G12"/>
  <c r="F12"/>
  <c r="C12"/>
  <c r="B12"/>
  <c r="C10"/>
  <c r="B10"/>
  <c r="G8"/>
  <c r="F8"/>
  <c r="C8"/>
  <c r="B8"/>
  <c r="F6"/>
  <c r="F6" i="1" s="1"/>
  <c r="C6" i="12"/>
  <c r="B6"/>
  <c r="C5"/>
  <c r="B5"/>
  <c r="C4"/>
  <c r="B4"/>
  <c r="C3"/>
  <c r="B3"/>
  <c r="A3"/>
  <c r="F17" i="13"/>
  <c r="E17"/>
  <c r="D17"/>
  <c r="Q5" i="16" l="1"/>
  <c r="R5" i="10" s="1"/>
  <c r="P5" s="1"/>
  <c r="Q8" i="16"/>
  <c r="R8" i="10" s="1"/>
  <c r="P8" s="1"/>
  <c r="Q6" i="16"/>
  <c r="R6" i="10" s="1"/>
  <c r="P6" s="1"/>
  <c r="M4" i="16"/>
  <c r="M10"/>
  <c r="AN3"/>
  <c r="G17" i="12"/>
  <c r="F17"/>
  <c r="G3" i="5"/>
  <c r="Q17" i="9"/>
  <c r="Q3" i="16"/>
  <c r="R3" i="10" s="1"/>
  <c r="P3" s="1"/>
  <c r="M3" i="16"/>
  <c r="C3" i="24" l="1"/>
  <c r="BU3" l="1"/>
  <c r="R3" i="9" l="1"/>
  <c r="P12" i="14" l="1"/>
  <c r="P13" l="1"/>
  <c r="H12" i="27"/>
  <c r="P10" i="14"/>
  <c r="H10" i="27"/>
  <c r="H8"/>
  <c r="P6" i="14"/>
  <c r="G6" i="1" s="1"/>
  <c r="H6" i="27"/>
  <c r="V6" l="1"/>
  <c r="G6"/>
  <c r="P5" i="14"/>
  <c r="H5" i="27"/>
  <c r="G5"/>
  <c r="P4" i="14"/>
  <c r="H4" i="27"/>
  <c r="N3" i="13"/>
  <c r="J3"/>
  <c r="C3"/>
  <c r="B3"/>
  <c r="A3"/>
  <c r="I5" i="27" l="1"/>
  <c r="W5"/>
  <c r="V5" s="1"/>
  <c r="H3"/>
  <c r="J17" i="13"/>
  <c r="N17"/>
  <c r="P3" i="14"/>
  <c r="P17" s="1"/>
  <c r="I3" i="13"/>
  <c r="V3" i="27" s="1"/>
  <c r="H3" i="13"/>
  <c r="L3" s="1"/>
  <c r="J16" i="25"/>
  <c r="I16"/>
  <c r="H16"/>
  <c r="G16"/>
  <c r="F16"/>
  <c r="E16"/>
  <c r="D16"/>
  <c r="A16"/>
  <c r="K2"/>
  <c r="K16" s="1"/>
  <c r="C2"/>
  <c r="B2"/>
  <c r="A2"/>
  <c r="M78" i="1"/>
  <c r="L78"/>
  <c r="J78"/>
  <c r="I78"/>
  <c r="H78"/>
  <c r="L65"/>
  <c r="J65"/>
  <c r="I65"/>
  <c r="H65"/>
  <c r="L52"/>
  <c r="J52"/>
  <c r="I52"/>
  <c r="H52"/>
  <c r="O40"/>
  <c r="N40"/>
  <c r="M40"/>
  <c r="L40"/>
  <c r="J40"/>
  <c r="I40"/>
  <c r="H40"/>
  <c r="M17"/>
  <c r="K17"/>
  <c r="J6" i="27" l="1"/>
  <c r="X6"/>
  <c r="W6"/>
  <c r="I6"/>
  <c r="H41" i="1"/>
  <c r="P40" s="1"/>
  <c r="H66"/>
  <c r="G3" i="27"/>
  <c r="N78" i="1"/>
  <c r="H53"/>
  <c r="H79"/>
  <c r="V4" i="27"/>
  <c r="G4"/>
  <c r="K3" i="13"/>
  <c r="J3" i="27"/>
  <c r="X3"/>
  <c r="L6" i="9" l="1"/>
  <c r="O6" s="1"/>
  <c r="E6" i="1"/>
  <c r="L6" s="1"/>
  <c r="W3" i="27"/>
  <c r="I3"/>
  <c r="O3" i="13"/>
  <c r="J4" i="27"/>
  <c r="X4"/>
  <c r="AJ6" i="5" l="1"/>
  <c r="O6" i="1"/>
  <c r="N6" i="9" s="1"/>
  <c r="I4" i="27"/>
  <c r="W4"/>
  <c r="L3" i="9"/>
  <c r="O3" s="1"/>
  <c r="M3" i="13"/>
  <c r="F3" i="5" l="1"/>
  <c r="J13" i="1" l="1"/>
  <c r="I13"/>
  <c r="F13"/>
  <c r="E13" s="1"/>
  <c r="N12"/>
  <c r="J12"/>
  <c r="I12"/>
  <c r="D10" i="23"/>
  <c r="J10" i="1"/>
  <c r="I10"/>
  <c r="H10" s="1"/>
  <c r="G10" s="1"/>
  <c r="F10" s="1"/>
  <c r="N8"/>
  <c r="J8"/>
  <c r="I8"/>
  <c r="H8" s="1"/>
  <c r="G8" s="1"/>
  <c r="F8" s="1"/>
  <c r="N5"/>
  <c r="J5"/>
  <c r="I5"/>
  <c r="H5" s="1"/>
  <c r="K8" i="9" l="1"/>
  <c r="K12"/>
  <c r="K13"/>
  <c r="G5" i="1"/>
  <c r="F5"/>
  <c r="E5" s="1"/>
  <c r="N4"/>
  <c r="J4"/>
  <c r="I4"/>
  <c r="H4" s="1"/>
  <c r="G4"/>
  <c r="L5" l="1"/>
  <c r="F4"/>
  <c r="E4" s="1"/>
  <c r="L4" s="1"/>
  <c r="N3"/>
  <c r="J3"/>
  <c r="I3"/>
  <c r="H3" s="1"/>
  <c r="G3"/>
  <c r="F3" s="1"/>
  <c r="E3" s="1"/>
  <c r="O5" l="1"/>
  <c r="O4"/>
  <c r="N17"/>
  <c r="J17"/>
  <c r="I17"/>
  <c r="L3"/>
  <c r="AJ3" i="5" s="1"/>
  <c r="K3" i="9"/>
  <c r="O3" i="1" l="1"/>
  <c r="N3" i="9" s="1"/>
  <c r="AN3" i="5" l="1"/>
  <c r="AK3"/>
  <c r="F12" i="1"/>
  <c r="G12"/>
  <c r="G13"/>
  <c r="H13" i="16"/>
  <c r="D17" i="23"/>
  <c r="H3" i="5"/>
  <c r="S3"/>
  <c r="U3"/>
  <c r="K4" i="9"/>
  <c r="K5"/>
  <c r="H17" i="27"/>
  <c r="N12" i="16"/>
  <c r="I13"/>
  <c r="N13" s="1"/>
  <c r="E12" i="27"/>
  <c r="F12"/>
  <c r="V13" i="26"/>
  <c r="AE13" s="1"/>
  <c r="AG13" s="1"/>
  <c r="D4"/>
  <c r="AE4" s="1"/>
  <c r="K3" i="5"/>
  <c r="K10"/>
  <c r="K12"/>
  <c r="K8"/>
  <c r="N4" i="9"/>
  <c r="L4"/>
  <c r="S6" i="5"/>
  <c r="T6" s="1"/>
  <c r="K6"/>
  <c r="N5" i="9"/>
  <c r="L5"/>
  <c r="AJ5" i="5" s="1"/>
  <c r="K5"/>
  <c r="G4"/>
  <c r="G8"/>
  <c r="AM8"/>
  <c r="V4"/>
  <c r="G5"/>
  <c r="V5"/>
  <c r="AN6"/>
  <c r="F6"/>
  <c r="G6"/>
  <c r="V6"/>
  <c r="V8"/>
  <c r="G12"/>
  <c r="AM12"/>
  <c r="G13"/>
  <c r="AM13"/>
  <c r="G10"/>
  <c r="AM10"/>
  <c r="V13"/>
  <c r="AD6" l="1"/>
  <c r="AE6" s="1"/>
  <c r="AD3"/>
  <c r="I3"/>
  <c r="AD21"/>
  <c r="L13" i="16"/>
  <c r="O4" i="9"/>
  <c r="F4" i="5" s="1"/>
  <c r="H4" s="1"/>
  <c r="AJ4"/>
  <c r="AK4" s="1"/>
  <c r="H17" i="16"/>
  <c r="J13"/>
  <c r="J12"/>
  <c r="K13"/>
  <c r="K12"/>
  <c r="D17" i="26"/>
  <c r="K17" i="9"/>
  <c r="D4" i="27"/>
  <c r="D17" s="1"/>
  <c r="N17" i="16"/>
  <c r="P17"/>
  <c r="I17"/>
  <c r="L12"/>
  <c r="G17" i="1"/>
  <c r="G17" i="13"/>
  <c r="G10" i="27"/>
  <c r="V10"/>
  <c r="AK5" i="5"/>
  <c r="O5" i="9"/>
  <c r="F5" i="5" s="1"/>
  <c r="H5" s="1"/>
  <c r="AO3"/>
  <c r="AA3" s="1"/>
  <c r="AO6"/>
  <c r="AA6" s="1"/>
  <c r="V17" i="26"/>
  <c r="F17" i="1"/>
  <c r="H6" i="5"/>
  <c r="E17" i="27"/>
  <c r="AM17" i="5"/>
  <c r="P13" i="9"/>
  <c r="J13" i="5"/>
  <c r="K13" s="1"/>
  <c r="AG4" i="26"/>
  <c r="G17" i="5"/>
  <c r="T3"/>
  <c r="V3"/>
  <c r="AK6"/>
  <c r="AE21" l="1"/>
  <c r="I6"/>
  <c r="AD24"/>
  <c r="I5"/>
  <c r="I4"/>
  <c r="AG21"/>
  <c r="L17" i="16"/>
  <c r="S4" i="5"/>
  <c r="T4" s="1"/>
  <c r="K17" i="16"/>
  <c r="O13"/>
  <c r="L13" i="9" s="1"/>
  <c r="J17" i="16"/>
  <c r="H17" i="13"/>
  <c r="AD17" i="16"/>
  <c r="AN12"/>
  <c r="O12"/>
  <c r="C10" i="24"/>
  <c r="BU10" s="1"/>
  <c r="T17" i="16"/>
  <c r="X10" i="27"/>
  <c r="G8"/>
  <c r="I17" i="13"/>
  <c r="I10" i="27"/>
  <c r="V8"/>
  <c r="W8"/>
  <c r="I8"/>
  <c r="AN4" i="5"/>
  <c r="AN5"/>
  <c r="S5"/>
  <c r="T5" s="1"/>
  <c r="G12" i="27"/>
  <c r="V12"/>
  <c r="X8"/>
  <c r="J8"/>
  <c r="P4" i="9"/>
  <c r="J4" i="5"/>
  <c r="AG17" i="26"/>
  <c r="F17" i="27"/>
  <c r="AE17" i="26"/>
  <c r="AE3" i="5"/>
  <c r="AD22" l="1"/>
  <c r="AD23"/>
  <c r="AE23" s="1"/>
  <c r="AH21"/>
  <c r="AD5"/>
  <c r="AE5" s="1"/>
  <c r="AD4"/>
  <c r="AE24"/>
  <c r="AG24"/>
  <c r="AH24" s="1"/>
  <c r="O13" i="9"/>
  <c r="F13" i="5" s="1"/>
  <c r="H13" s="1"/>
  <c r="C12" i="24"/>
  <c r="BU12" s="1"/>
  <c r="R12" i="9" s="1"/>
  <c r="U12" i="5" s="1"/>
  <c r="V12" s="1"/>
  <c r="O17" i="16"/>
  <c r="Q13"/>
  <c r="R13" i="10" s="1"/>
  <c r="P13" s="1"/>
  <c r="M13" i="16"/>
  <c r="H13" i="1" s="1"/>
  <c r="L13" s="1"/>
  <c r="J10" i="27"/>
  <c r="L12" i="9"/>
  <c r="G17" i="27"/>
  <c r="AN17" i="16"/>
  <c r="Q12"/>
  <c r="R12" i="10" s="1"/>
  <c r="P12" s="1"/>
  <c r="M12" i="16"/>
  <c r="H12" i="1" s="1"/>
  <c r="K17" i="13"/>
  <c r="W10" i="27"/>
  <c r="L17" i="13"/>
  <c r="L8" i="9"/>
  <c r="O8" s="1"/>
  <c r="F8" i="5" s="1"/>
  <c r="H8" s="1"/>
  <c r="W12" i="27"/>
  <c r="I12"/>
  <c r="I17" s="1"/>
  <c r="AO4" i="5"/>
  <c r="AA4" s="1"/>
  <c r="X12" i="27"/>
  <c r="J12"/>
  <c r="AO5" i="5"/>
  <c r="AA5" s="1"/>
  <c r="P17" i="9"/>
  <c r="K4" i="5"/>
  <c r="AD26" l="1"/>
  <c r="AG22"/>
  <c r="AH22" s="1"/>
  <c r="AE22"/>
  <c r="AE26" s="1"/>
  <c r="AG23"/>
  <c r="AH23" s="1"/>
  <c r="I13"/>
  <c r="I8"/>
  <c r="AK13"/>
  <c r="H17" i="1"/>
  <c r="O12" i="9"/>
  <c r="F12" i="5" s="1"/>
  <c r="H12" s="1"/>
  <c r="O13" i="1"/>
  <c r="N13" i="9" s="1"/>
  <c r="S13" i="5" s="1"/>
  <c r="T13" s="1"/>
  <c r="J17" i="27"/>
  <c r="O17" i="13"/>
  <c r="E12" i="1"/>
  <c r="L12" s="1"/>
  <c r="L10" i="9"/>
  <c r="O10" s="1"/>
  <c r="F10" i="5" s="1"/>
  <c r="H10" s="1"/>
  <c r="E10" i="1"/>
  <c r="L10" s="1"/>
  <c r="M17" i="16"/>
  <c r="Q17"/>
  <c r="P17" i="10"/>
  <c r="R17"/>
  <c r="BU17" i="24"/>
  <c r="C17"/>
  <c r="E8" i="1"/>
  <c r="AE4" i="5"/>
  <c r="K17"/>
  <c r="J17"/>
  <c r="AH26" l="1"/>
  <c r="AG26"/>
  <c r="I10"/>
  <c r="I12"/>
  <c r="AD32"/>
  <c r="AE32" s="1"/>
  <c r="AN13"/>
  <c r="O12" i="1"/>
  <c r="N12" i="9" s="1"/>
  <c r="S12" i="5" s="1"/>
  <c r="T12" s="1"/>
  <c r="AJ12"/>
  <c r="AK12" s="1"/>
  <c r="O10" i="1"/>
  <c r="N10" i="9" s="1"/>
  <c r="C10" i="23"/>
  <c r="E10" s="1"/>
  <c r="E17" i="1"/>
  <c r="M17" i="13"/>
  <c r="L14" i="1" s="1"/>
  <c r="O17" i="9"/>
  <c r="L8" i="1"/>
  <c r="AJ8" i="5" s="1"/>
  <c r="L17" i="9"/>
  <c r="F17" i="5"/>
  <c r="R10" i="9"/>
  <c r="AJ10" i="5" s="1"/>
  <c r="AD31" l="1"/>
  <c r="AE31" s="1"/>
  <c r="AD13"/>
  <c r="AE13" s="1"/>
  <c r="AG32"/>
  <c r="AH32" s="1"/>
  <c r="AO13"/>
  <c r="O8" i="1"/>
  <c r="O17" s="1"/>
  <c r="AK8" i="5"/>
  <c r="S10"/>
  <c r="O14" i="1"/>
  <c r="L17"/>
  <c r="AN12" i="5"/>
  <c r="I17"/>
  <c r="H17"/>
  <c r="U10"/>
  <c r="R17" i="9"/>
  <c r="AG31" i="5" l="1"/>
  <c r="AH31" s="1"/>
  <c r="T10"/>
  <c r="AD29"/>
  <c r="AE29" s="1"/>
  <c r="N14" i="9"/>
  <c r="S14" i="5" s="1"/>
  <c r="N8" i="9"/>
  <c r="N17" s="1"/>
  <c r="E17" i="23"/>
  <c r="C17"/>
  <c r="AD12" i="5"/>
  <c r="AE12" s="1"/>
  <c r="AK14"/>
  <c r="AN14"/>
  <c r="AO12"/>
  <c r="AA12" s="1"/>
  <c r="AJ17"/>
  <c r="AN8"/>
  <c r="AN10"/>
  <c r="AK10"/>
  <c r="AK17" s="1"/>
  <c r="V10"/>
  <c r="V17" s="1"/>
  <c r="U17"/>
  <c r="AG17"/>
  <c r="AH17"/>
  <c r="T14" l="1"/>
  <c r="AD33"/>
  <c r="AE33" s="1"/>
  <c r="AD8"/>
  <c r="AE8" s="1"/>
  <c r="AD10"/>
  <c r="AE10" s="1"/>
  <c r="AG29"/>
  <c r="AH29" s="1"/>
  <c r="AD14"/>
  <c r="AE14" s="1"/>
  <c r="S8"/>
  <c r="AO8"/>
  <c r="AN17"/>
  <c r="AO14"/>
  <c r="AO10"/>
  <c r="AA10" s="1"/>
  <c r="AA17" s="1"/>
  <c r="T8" l="1"/>
  <c r="T17" s="1"/>
  <c r="AD27"/>
  <c r="AG33"/>
  <c r="AH33" s="1"/>
  <c r="S17"/>
  <c r="AO17"/>
  <c r="AE17"/>
  <c r="AD17"/>
  <c r="AE27" l="1"/>
  <c r="AG27"/>
  <c r="AH27" s="1"/>
</calcChain>
</file>

<file path=xl/sharedStrings.xml><?xml version="1.0" encoding="utf-8"?>
<sst xmlns="http://schemas.openxmlformats.org/spreadsheetml/2006/main" count="1317" uniqueCount="606">
  <si>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</si>
  <si>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</si>
  <si>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</si>
  <si>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</si>
  <si>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</si>
  <si>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</si>
  <si>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</si>
  <si>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</si>
  <si>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</si>
  <si>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</si>
  <si>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</si>
  <si>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</si>
  <si>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</si>
  <si>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</si>
  <si>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</si>
  <si>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</si>
  <si>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</si>
  <si>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</si>
  <si>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</si>
  <si>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</si>
  <si>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</si>
  <si>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</si>
  <si>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</si>
  <si>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</si>
  <si>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</si>
  <si>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</si>
  <si>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</si>
  <si>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</si>
  <si>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</si>
  <si>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</si>
  <si>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</si>
  <si>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</si>
  <si>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</si>
  <si>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</si>
  <si>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</si>
  <si>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</si>
  <si>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</si>
  <si>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</si>
  <si>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</si>
  <si>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</si>
  <si>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</si>
  <si>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</si>
  <si>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</si>
  <si>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</si>
  <si>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</si>
  <si>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</si>
  <si>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</si>
  <si>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</si>
  <si>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</si>
  <si>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</si>
  <si>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</si>
  <si>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</si>
  <si>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</si>
  <si>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</si>
  <si>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</si>
  <si>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</si>
  <si>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</si>
  <si>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</si>
  <si>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</si>
  <si>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</si>
  <si>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</si>
  <si>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</si>
  <si>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</si>
  <si>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</si>
  <si>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</si>
  <si>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</si>
  <si>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</si>
  <si>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</si>
  <si>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</si>
  <si>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</si>
  <si>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</si>
  <si>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</si>
  <si>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</si>
  <si>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</si>
  <si>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</si>
  <si>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</si>
  <si>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</si>
  <si>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</si>
  <si>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</si>
  <si>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</si>
  <si>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</si>
  <si>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</si>
  <si>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</si>
  <si>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</si>
  <si>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</si>
  <si>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</si>
  <si>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</si>
  <si>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</si>
  <si>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</si>
  <si>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</si>
  <si>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</si>
  <si>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</si>
  <si>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</si>
  <si>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</si>
  <si>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</si>
  <si>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</si>
  <si>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</si>
  <si>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</si>
  <si>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</si>
  <si>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</si>
  <si>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</si>
  <si>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</si>
  <si>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</si>
  <si>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</si>
  <si>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</si>
  <si>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</si>
  <si>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</si>
  <si>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</si>
  <si>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</si>
  <si>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</si>
  <si>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</si>
  <si>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</si>
  <si>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</si>
  <si>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</si>
  <si>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</si>
  <si>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</si>
  <si>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</si>
  <si>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</si>
  <si>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</si>
  <si>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</si>
  <si>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</si>
  <si>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</si>
  <si>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</si>
  <si>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</si>
  <si>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</si>
  <si>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</si>
  <si>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</si>
  <si>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</si>
  <si>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</si>
  <si>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</si>
  <si>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</si>
  <si>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</si>
  <si>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</si>
  <si>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</si>
  <si>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</si>
  <si>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</si>
  <si>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</si>
  <si>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</si>
  <si>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</si>
  <si>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</si>
  <si>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</si>
  <si>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</si>
  <si>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</si>
  <si>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</si>
  <si>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</si>
  <si>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</si>
  <si>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</si>
  <si>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</si>
  <si>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</si>
  <si>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</si>
  <si>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</si>
  <si>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*5β*</t>
  </si>
  <si>
    <t>*5α*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</si>
  <si>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</si>
  <si>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</si>
  <si>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</si>
  <si>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</si>
  <si>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</si>
  <si>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</si>
  <si>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</si>
  <si>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</si>
  <si>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</si>
  <si>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</si>
  <si>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</si>
  <si>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</si>
  <si>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</si>
  <si>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</si>
  <si>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</si>
  <si>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</si>
  <si>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</si>
  <si>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</si>
  <si>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</si>
  <si>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</si>
  <si>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</si>
  <si>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</si>
  <si>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</si>
  <si>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</si>
  <si>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</si>
  <si>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</si>
  <si>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</si>
  <si>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</si>
  <si>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</si>
  <si>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</si>
  <si>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</si>
  <si>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</si>
  <si>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</si>
  <si>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</si>
  <si>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</si>
  <si>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</si>
  <si>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</si>
  <si>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</si>
  <si>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</si>
  <si>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</si>
  <si>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</si>
  <si>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</si>
  <si>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</si>
  <si>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</si>
  <si>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</si>
  <si>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</si>
  <si>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</si>
  <si>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</si>
  <si>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</si>
  <si>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</si>
  <si>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</si>
  <si>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</si>
  <si>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</si>
  <si>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</si>
  <si>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</si>
  <si>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</si>
  <si>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</si>
  <si>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</si>
  <si>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</si>
  <si>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</si>
  <si>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</si>
  <si>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</si>
  <si>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</si>
  <si>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</si>
  <si>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</si>
  <si>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</si>
  <si>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</si>
  <si>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</si>
  <si>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</si>
  <si>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</si>
  <si>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</si>
  <si>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</si>
  <si>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</si>
  <si>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</si>
  <si>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</si>
  <si>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</si>
  <si>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</si>
  <si>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</si>
  <si>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</si>
  <si>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</si>
  <si>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</si>
  <si>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</si>
  <si>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</si>
  <si>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</si>
  <si>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</si>
  <si>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</si>
  <si>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</si>
  <si>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</si>
  <si>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</si>
  <si>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</si>
  <si>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</si>
  <si>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</si>
  <si>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</si>
  <si>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</si>
  <si>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</si>
  <si>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</si>
  <si>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</si>
  <si>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</si>
  <si>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</si>
  <si>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</si>
  <si>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</si>
  <si>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</si>
  <si>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</si>
  <si>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</si>
  <si>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</si>
  <si>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</si>
  <si>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</si>
  <si>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</si>
  <si>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</si>
  <si>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</si>
  <si>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</si>
  <si>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</si>
  <si>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</si>
  <si>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</si>
  <si>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</si>
  <si>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</si>
  <si>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</si>
  <si>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</si>
  <si>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</si>
  <si>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</si>
  <si>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</si>
  <si>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</si>
  <si>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</si>
  <si>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</si>
  <si>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</si>
  <si>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</si>
  <si>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</si>
  <si>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</si>
  <si>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</si>
  <si>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</si>
  <si>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</si>
  <si>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</si>
  <si>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</si>
  <si>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</si>
  <si>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</si>
  <si>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</si>
  <si>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</si>
  <si>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</si>
  <si>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</si>
  <si>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</si>
  <si>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</si>
  <si>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</si>
  <si>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</si>
  <si>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</si>
  <si>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</si>
  <si>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</si>
  <si>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</si>
  <si>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</si>
  <si>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</si>
  <si>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</si>
  <si>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</si>
  <si>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</si>
  <si>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</si>
  <si>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</si>
  <si>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</si>
  <si>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</si>
  <si>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</si>
  <si>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</si>
  <si>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</si>
  <si>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</si>
  <si>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</si>
  <si>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</si>
  <si>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</si>
  <si>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</si>
  <si>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</si>
  <si>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</si>
  <si>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</si>
  <si>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</si>
  <si>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</si>
  <si>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</si>
  <si>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</si>
  <si>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</si>
  <si>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</si>
  <si>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</si>
  <si>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</si>
  <si>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</si>
  <si>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</si>
  <si>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</si>
  <si>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</si>
  <si>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</si>
  <si>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</si>
  <si>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</si>
  <si>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</si>
  <si>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</si>
  <si>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</si>
  <si>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</si>
  <si>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</si>
  <si>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</si>
  <si>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</si>
  <si>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</si>
  <si>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</si>
  <si>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</si>
  <si>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</si>
  <si>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</si>
  <si>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</si>
  <si>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</si>
  <si>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</si>
  <si>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</si>
  <si>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</si>
  <si>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</si>
  <si>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</si>
  <si>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</si>
  <si>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</si>
  <si>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</si>
  <si>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</si>
  <si>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</si>
  <si>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</si>
  <si>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</si>
  <si>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</si>
  <si>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</si>
  <si>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</si>
  <si>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</si>
  <si>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</si>
  <si>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</si>
  <si>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</si>
  <si>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</si>
  <si>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</si>
  <si>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</si>
  <si>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</si>
  <si>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</si>
  <si>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</si>
  <si>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</si>
  <si>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2.000 + 3.000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</si>
  <si>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</si>
  <si>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</si>
  <si>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</si>
  <si>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</si>
  <si>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</si>
  <si>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</si>
  <si>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</si>
  <si>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</si>
  <si>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</si>
  <si>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</si>
  <si>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</si>
  <si>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</si>
  <si>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</si>
  <si>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</si>
  <si>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</si>
  <si>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</si>
  <si>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</si>
  <si>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</si>
  <si>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</si>
  <si>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</si>
  <si>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</si>
  <si>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ΕΠΙ ΠΑΝΤΟΣ συμβολαιογραφικού εγγράφου ο Συμβολαιογράφος παίρνει ως αμοιβή = 1.000δρχ ( 1997 έως 9/5/2005) </t>
  </si>
  <si>
    <t>120.000δρχ*3% = 3.600 ---+---  υπόλοιπο *1,20% {{{ από 1997 έως 9-5-2005 }}}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</si>
  <si>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</si>
  <si>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</si>
  <si>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</si>
  <si>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</si>
  <si>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διαθηκη</t>
  </si>
  <si>
    <t>πάγιαςΑναλογικής</t>
  </si>
  <si>
    <t>πάγιες</t>
  </si>
  <si>
    <t>αποδοχή</t>
  </si>
  <si>
    <t>σύσταση</t>
  </si>
  <si>
    <t>2 έως 20.000</t>
  </si>
  <si>
    <t>1 έως 10.000</t>
  </si>
  <si>
    <t>1 έως 20.000</t>
  </si>
  <si>
    <t>διαμαρτυρικό</t>
  </si>
  <si>
    <t>πληρΣυνταξης</t>
  </si>
  <si>
    <t>1δ2α</t>
  </si>
  <si>
    <t>ΣΦΡΑΓΙΔΕΣ</t>
  </si>
  <si>
    <t>υπερβάλων</t>
  </si>
  <si>
    <t>σε€</t>
  </si>
  <si>
    <t>1.100 (=2,93</t>
  </si>
  <si>
    <t>αντίγραφα = 1.100</t>
  </si>
  <si>
    <t>πολίτης-200</t>
  </si>
  <si>
    <t>1.100δρχ για κάθε φύλλο {{{ 1997 έως 9/5/2005 }}}</t>
  </si>
  <si>
    <t>αντιγράφων</t>
  </si>
  <si>
    <t>δικαιώματα επί μεταγραφής = 1.100</t>
  </si>
  <si>
    <t>μαντενιωτου</t>
  </si>
  <si>
    <t xml:space="preserve">2.000 + 3.000 </t>
  </si>
  <si>
    <t>1.100/φύλο</t>
  </si>
  <si>
    <t>1.100 ανά φύλλο</t>
  </si>
  <si>
    <t>πληρωμηΑναΣυμβόλαιο</t>
  </si>
  <si>
    <t>*α1*=ΝΑαναζητηθεί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</si>
  <si>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</si>
  <si>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</si>
  <si>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</si>
  <si>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</si>
  <si>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</si>
  <si>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</si>
  <si>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</si>
  <si>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</si>
  <si>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</si>
  <si>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</si>
  <si>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</si>
  <si>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</si>
  <si>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</si>
  <si>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</si>
  <si>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</si>
  <si>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</si>
  <si>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</si>
  <si>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</si>
  <si>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</si>
  <si>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</si>
  <si>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</si>
  <si>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</si>
  <si>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</si>
  <si>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</si>
  <si>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</si>
  <si>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</si>
  <si>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</si>
  <si>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</si>
  <si>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</si>
  <si>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</si>
  <si>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</si>
  <si>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</si>
  <si>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</si>
  <si>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???</t>
  </si>
  <si>
    <t>ταμεία + χαρτόσημα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</si>
  <si>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</si>
  <si>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</si>
  <si>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</si>
  <si>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</si>
  <si>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</si>
  <si>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</si>
  <si>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</si>
  <si>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</si>
  <si>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</si>
  <si>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</si>
  <si>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</si>
  <si>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</si>
  <si>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</si>
  <si>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</si>
  <si>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</si>
  <si>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</si>
  <si>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</si>
  <si>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</si>
  <si>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</si>
  <si>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</si>
  <si>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</si>
  <si>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</si>
  <si>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</si>
  <si>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</si>
  <si>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</si>
  <si>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</si>
  <si>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</si>
  <si>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</si>
  <si>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</si>
  <si>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</si>
  <si>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</si>
  <si>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</si>
  <si>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</si>
  <si>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</si>
  <si>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</si>
  <si>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</si>
  <si>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</si>
  <si>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</si>
  <si>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</si>
  <si>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**7α** = αντίγραφα συμβολαίων = από αρχείο φωτοτυπία = 500δρχ/φυλλο &amp; ΑΤΕΛΩΣ</t>
  </si>
  <si>
    <t>φόρος εισοδήματος</t>
  </si>
  <si>
    <t>ΔΟΛΟΣ</t>
  </si>
  <si>
    <t>χρέωσε</t>
  </si>
  <si>
    <t>έπρεπε ΝΑ χρεώσει</t>
  </si>
  <si>
    <t>παγιοΑναλ</t>
  </si>
  <si>
    <t>'3600''</t>
  </si>
  <si>
    <t>δικαιωματαΑναλ</t>
  </si>
  <si>
    <t>2α φυλα</t>
  </si>
  <si>
    <t>΄πρεπεΒασειΑΓΑΠΕ</t>
  </si>
  <si>
    <t>έπρεπεΒασειΖηλ</t>
  </si>
  <si>
    <t>**7αα**=σφραγίδα - υπογραφή στα ΑΤΕΛΩΣ</t>
  </si>
  <si>
    <t>**7γ**=συν (+) 1 για Δ.Ο.Υ. = ΑΤΕΛΩΣ</t>
  </si>
  <si>
    <t>χαρτοσημα</t>
  </si>
  <si>
    <t>προς Υποθηκοφυλακείο = ΑΡΧΕΙΟ</t>
  </si>
  <si>
    <t>συνολο</t>
  </si>
  <si>
    <t>ντιΜιΧο χαρτοσημα</t>
  </si>
  <si>
    <t>αίτηση</t>
  </si>
  <si>
    <t>περίληψη</t>
  </si>
  <si>
    <t>κλπ</t>
  </si>
  <si>
    <t>**89β** = υπΔηλ-??? = 1.100</t>
  </si>
  <si>
    <t>**89γ** = υπΔηλ-??? = 1.100</t>
  </si>
  <si>
    <t>δωρεά  ΒΑΣΕΙ 1.114 προσυμφώνου</t>
  </si>
  <si>
    <t>χρήσης ΚΑΝΟΝΙΣΝΟΣ</t>
  </si>
  <si>
    <t>αξίαΠράξης σε €</t>
  </si>
  <si>
    <t>αιτΥποθ = ΤΑΧΔΙΚ[100] , ΤΑΝ[280] , ΤΑΣ[275</t>
  </si>
  <si>
    <t>αναλογικαΔικ</t>
  </si>
  <si>
    <t>συσταση</t>
  </si>
  <si>
    <t>συνταξη</t>
  </si>
  <si>
    <t>μεταγραφη</t>
  </si>
  <si>
    <t>αποΔικαιωματα</t>
  </si>
  <si>
    <t>ΤΑΣΠ</t>
  </si>
  <si>
    <t>ΤΑΣΥ</t>
  </si>
  <si>
    <t>διανομή [34,60% {= 7.480.642δρχ}] &amp; {65,40% {= 14.139.710δρχ}]</t>
  </si>
  <si>
    <t>εξισορόπηση διαφοράς διανεμομένων</t>
  </si>
  <si>
    <t>2'+κλπ φύλλα =1.000 ή 800</t>
  </si>
  <si>
    <t>1000δρχ [2,93] για υπόλοιπα 10 φύλλα + 800δρχ[2,35]  υπόλοιπα φύλλα {{{ από 1/1/1997 έως 9/5/2005 }}}</t>
  </si>
  <si>
    <t>πάγιες = 800δρχ [2,35] για υπόλοιπα 10 φύλλα + 700δρχ [2,05] υπόλοιπα φύλλα {{{ από 1/1/1997 έως 9/5/2005 }}}</t>
  </si>
  <si>
    <t xml:space="preserve">κάθετος ΣΥΣΤΑΣΗ </t>
  </si>
  <si>
    <t xml:space="preserve">οικόπεδο 432,52μ2 ΜΕ </t>
  </si>
  <si>
    <t>1] 2όροφο οικοδομή 66,7μ2 + 66,7μ2</t>
  </si>
  <si>
    <t>2] 2όροφο οικοδομή 72,85μ2 +72,85μ2</t>
  </si>
  <si>
    <t>δωρεα [οικόπεδο42μ2</t>
  </si>
  <si>
    <t>οικόπεδο 283,02μ2 ΜΕ ισόγειο διαμέρισμα 72,85μ2</t>
  </si>
  <si>
    <t>οικόπεδο 146,50μ2 ΜΕ 2ροφη οικοδομή 66,70μ2 + 66,70μ2</t>
  </si>
  <si>
    <t>γονΠροσυμφ</t>
  </si>
  <si>
    <t>πληρεξ</t>
  </si>
  <si>
    <t>εγκρισηΛαγουδ</t>
  </si>
  <si>
    <t>προικοσυμφΛαγουδ</t>
  </si>
  <si>
    <t>οι2</t>
  </si>
  <si>
    <t>1σε1</t>
  </si>
  <si>
    <t>1σε3</t>
  </si>
  <si>
    <t>ο1</t>
  </si>
  <si>
    <t>χαρτόσημα αιτΥποθΑρχειο</t>
  </si>
  <si>
    <t xml:space="preserve">γονική ΒΑΣΕΙ 1.113 προσυμφώνου </t>
  </si>
  <si>
    <t>17έτη &amp; 8μήνες</t>
  </si>
  <si>
    <t>**13η** = φύλλοΥπολογισμούΑξίας (οικία - διαμέρισμα)</t>
  </si>
  <si>
    <t>**13ζ** = φύλλοΥπολογισμούΑξίας (οικόπεδο)</t>
  </si>
  <si>
    <t>13ζ</t>
  </si>
  <si>
    <t>**13ω2** = αντίγραφα εγγράφων προς Δ.Ο.Υ.</t>
  </si>
  <si>
    <t>13ω2</t>
  </si>
  <si>
    <t>13ω1</t>
  </si>
  <si>
    <t>**13ω1** σφραγΥπογρ εγγράφων Κ1-2-3-κλπ</t>
  </si>
  <si>
    <t>**13θ** = φύλλοΥπολογισμούΑξίας (κατάστημα)</t>
  </si>
  <si>
    <t>13θ</t>
  </si>
  <si>
    <t>??? &amp; ??? &amp; 171λ</t>
  </si>
  <si>
    <t>γονικής ΠΡΟΣΥΜΦΩΝΟ</t>
  </si>
  <si>
    <t>πληρεξούσιο</t>
  </si>
  <si>
    <t>1463Α</t>
  </si>
  <si>
    <t>1δ1</t>
  </si>
  <si>
    <t>λέει 4</t>
  </si>
  <si>
    <t>ΤΑΧΔΙΚ λέει 1.100</t>
  </si>
  <si>
    <t>1 σε 1</t>
  </si>
  <si>
    <t>ζημία</t>
  </si>
  <si>
    <t>καθεστώς ΤΟΓΚΑΣ</t>
  </si>
  <si>
    <t>δωρεάς ΠΡΟΣΥΜΦΩΝΟ</t>
  </si>
  <si>
    <t>1 σε 2</t>
  </si>
  <si>
    <t>ΤΑΧΔΙΚ σε 1113-4-5</t>
  </si>
  <si>
    <t>2α φύλλα σε 1113-4-5</t>
  </si>
  <si>
    <t>δωρεάς ΠΡΟΣΥΜΦΩΝΟ [1ο όροφο 55,63μ2</t>
  </si>
  <si>
    <t>1ο όροφο 55,63μ2</t>
  </si>
  <si>
    <t>1 σε1</t>
  </si>
  <si>
    <t>1δ2β</t>
  </si>
  <si>
    <t>1δ3</t>
  </si>
  <si>
    <t>ΔΕΝ</t>
  </si>
  <si>
    <t>ΑΝ όχι ΣΕ καθεστώς ΤΟΓΚΑΣ</t>
  </si>
  <si>
    <t>1113 έως 1321</t>
  </si>
  <si>
    <t>219-120</t>
  </si>
  <si>
    <t>????</t>
  </si>
  <si>
    <t>1ο</t>
  </si>
  <si>
    <t>2ο</t>
  </si>
  <si>
    <t>3ο</t>
  </si>
  <si>
    <t>4ο</t>
  </si>
  <si>
    <t>5ο</t>
  </si>
  <si>
    <t>6ο</t>
  </si>
  <si>
    <t>7ο</t>
  </si>
  <si>
    <t>8ο</t>
  </si>
  <si>
    <t>9ο</t>
  </si>
  <si>
    <t>10ο</t>
  </si>
  <si>
    <t>??/</t>
  </si>
  <si>
    <t>καθεστώς πληρωμής από ΑΓΑΠΕ</t>
  </si>
  <si>
    <t>καθεστώς</t>
  </si>
  <si>
    <t>ΔΕΝ έχω</t>
  </si>
</sst>
</file>

<file path=xl/styles.xml><?xml version="1.0" encoding="utf-8"?>
<styleSheet xmlns="http://schemas.openxmlformats.org/spreadsheetml/2006/main">
  <numFmts count="5">
    <numFmt numFmtId="6" formatCode="#,##0\ &quot;€&quot;;[Red]\-#,##0\ &quot;€&quot;"/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9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sz val="10"/>
      <name val="Arial"/>
      <family val="2"/>
      <charset val="161"/>
    </font>
    <font>
      <sz val="10"/>
      <color rgb="FFFF0000"/>
      <name val="Arial"/>
      <family val="2"/>
      <charset val="161"/>
    </font>
    <font>
      <sz val="8"/>
      <color rgb="FF000000"/>
      <name val="Arial"/>
      <family val="2"/>
      <charset val="161"/>
    </font>
  </fonts>
  <fills count="15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FF"/>
        <bgColor rgb="FF000000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6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</cellStyleXfs>
  <cellXfs count="890">
    <xf numFmtId="0" fontId="0" fillId="0" borderId="0" xfId="0"/>
    <xf numFmtId="43" fontId="19" fillId="0" borderId="1" xfId="0" applyNumberFormat="1" applyFont="1" applyFill="1" applyBorder="1" applyAlignment="1"/>
    <xf numFmtId="43" fontId="21" fillId="0" borderId="0" xfId="1" applyFont="1"/>
    <xf numFmtId="0" fontId="21" fillId="0" borderId="0" xfId="0" applyFont="1"/>
    <xf numFmtId="43" fontId="21" fillId="0" borderId="0" xfId="1" applyFont="1" applyFill="1"/>
    <xf numFmtId="0" fontId="21" fillId="0" borderId="0" xfId="0" applyFont="1" applyFill="1"/>
    <xf numFmtId="0" fontId="21" fillId="0" borderId="0" xfId="0" applyFont="1" applyAlignment="1">
      <alignment wrapText="1"/>
    </xf>
    <xf numFmtId="164" fontId="20" fillId="0" borderId="9" xfId="1" applyNumberFormat="1" applyFont="1" applyBorder="1" applyAlignment="1">
      <alignment horizontal="center" vertical="center" wrapText="1"/>
    </xf>
    <xf numFmtId="164" fontId="21" fillId="0" borderId="0" xfId="1" applyNumberFormat="1" applyFont="1"/>
    <xf numFmtId="0" fontId="21" fillId="0" borderId="0" xfId="0" applyFont="1" applyAlignment="1">
      <alignment horizontal="center"/>
    </xf>
    <xf numFmtId="164" fontId="20" fillId="0" borderId="9" xfId="1" applyNumberFormat="1" applyFont="1" applyFill="1" applyBorder="1" applyAlignment="1">
      <alignment horizontal="center" vertical="center" wrapText="1"/>
    </xf>
    <xf numFmtId="0" fontId="20" fillId="0" borderId="0" xfId="0" applyFont="1"/>
    <xf numFmtId="164" fontId="21" fillId="7" borderId="1" xfId="1" applyNumberFormat="1" applyFont="1" applyFill="1" applyBorder="1"/>
    <xf numFmtId="164" fontId="23" fillId="7" borderId="2" xfId="1" applyNumberFormat="1" applyFont="1" applyFill="1" applyBorder="1" applyAlignment="1">
      <alignment horizontal="center" vertical="center"/>
    </xf>
    <xf numFmtId="0" fontId="18" fillId="7" borderId="1" xfId="0" applyFont="1" applyFill="1" applyBorder="1"/>
    <xf numFmtId="164" fontId="18" fillId="7" borderId="1" xfId="1" applyNumberFormat="1" applyFont="1" applyFill="1" applyBorder="1"/>
    <xf numFmtId="43" fontId="18" fillId="7" borderId="14" xfId="1" applyFont="1" applyFill="1" applyBorder="1" applyAlignment="1">
      <alignment horizontal="right" vertical="center"/>
    </xf>
    <xf numFmtId="43" fontId="18" fillId="7" borderId="1" xfId="1" applyFont="1" applyFill="1" applyBorder="1" applyAlignment="1">
      <alignment horizontal="right" vertical="center"/>
    </xf>
    <xf numFmtId="0" fontId="21" fillId="7" borderId="0" xfId="0" applyFont="1" applyFill="1"/>
    <xf numFmtId="14" fontId="18" fillId="7" borderId="1" xfId="0" applyNumberFormat="1" applyFont="1" applyFill="1" applyBorder="1" applyAlignment="1">
      <alignment horizontal="center" vertical="center"/>
    </xf>
    <xf numFmtId="164" fontId="18" fillId="7" borderId="14" xfId="1" applyNumberFormat="1" applyFont="1" applyFill="1" applyBorder="1"/>
    <xf numFmtId="1" fontId="23" fillId="7" borderId="1" xfId="1" applyNumberFormat="1" applyFont="1" applyFill="1" applyBorder="1" applyAlignment="1">
      <alignment horizontal="center" vertical="center"/>
    </xf>
    <xf numFmtId="43" fontId="23" fillId="7" borderId="1" xfId="0" applyNumberFormat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right" vertical="center"/>
    </xf>
    <xf numFmtId="43" fontId="18" fillId="7" borderId="3" xfId="1" applyFont="1" applyFill="1" applyBorder="1" applyAlignment="1">
      <alignment horizontal="center" vertical="center"/>
    </xf>
    <xf numFmtId="0" fontId="21" fillId="7" borderId="1" xfId="0" applyFont="1" applyFill="1" applyBorder="1"/>
    <xf numFmtId="0" fontId="21" fillId="7" borderId="1" xfId="0" applyFont="1" applyFill="1" applyBorder="1" applyAlignment="1">
      <alignment wrapText="1"/>
    </xf>
    <xf numFmtId="164" fontId="23" fillId="7" borderId="1" xfId="1" applyNumberFormat="1" applyFont="1" applyFill="1" applyBorder="1" applyAlignment="1">
      <alignment horizontal="center" vertical="center"/>
    </xf>
    <xf numFmtId="14" fontId="21" fillId="0" borderId="0" xfId="0" applyNumberFormat="1" applyFont="1"/>
    <xf numFmtId="164" fontId="21" fillId="7" borderId="1" xfId="1" applyNumberFormat="1" applyFont="1" applyFill="1" applyBorder="1" applyAlignment="1">
      <alignment wrapText="1"/>
    </xf>
    <xf numFmtId="14" fontId="21" fillId="7" borderId="1" xfId="1" applyNumberFormat="1" applyFont="1" applyFill="1" applyBorder="1" applyAlignment="1">
      <alignment wrapText="1"/>
    </xf>
    <xf numFmtId="165" fontId="21" fillId="7" borderId="1" xfId="1" applyNumberFormat="1" applyFont="1" applyFill="1" applyBorder="1" applyAlignment="1">
      <alignment wrapText="1"/>
    </xf>
    <xf numFmtId="43" fontId="21" fillId="7" borderId="1" xfId="1" applyFont="1" applyFill="1" applyBorder="1" applyAlignment="1">
      <alignment wrapText="1"/>
    </xf>
    <xf numFmtId="43" fontId="21" fillId="7" borderId="0" xfId="1" applyFont="1" applyFill="1" applyAlignment="1">
      <alignment wrapText="1"/>
    </xf>
    <xf numFmtId="0" fontId="20" fillId="6" borderId="9" xfId="0" applyFont="1" applyFill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4" borderId="9" xfId="1" applyFont="1" applyFill="1" applyBorder="1" applyAlignment="1">
      <alignment horizontal="center" vertical="center" wrapText="1"/>
    </xf>
    <xf numFmtId="43" fontId="20" fillId="5" borderId="9" xfId="1" applyFont="1" applyFill="1" applyBorder="1" applyAlignment="1">
      <alignment horizontal="center" vertical="center" wrapText="1"/>
    </xf>
    <xf numFmtId="43" fontId="19" fillId="0" borderId="1" xfId="1" applyFont="1" applyFill="1" applyBorder="1" applyAlignment="1"/>
    <xf numFmtId="164" fontId="20" fillId="7" borderId="9" xfId="1" applyNumberFormat="1" applyFont="1" applyFill="1" applyBorder="1" applyAlignment="1">
      <alignment horizontal="center" vertical="center" wrapText="1"/>
    </xf>
    <xf numFmtId="164" fontId="20" fillId="6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43" fontId="20" fillId="0" borderId="14" xfId="1" applyFont="1" applyBorder="1"/>
    <xf numFmtId="0" fontId="26" fillId="0" borderId="0" xfId="0" applyFont="1" applyAlignment="1">
      <alignment wrapText="1"/>
    </xf>
    <xf numFmtId="0" fontId="19" fillId="2" borderId="12" xfId="0" applyFont="1" applyFill="1" applyBorder="1" applyAlignment="1">
      <alignment horizontal="right"/>
    </xf>
    <xf numFmtId="0" fontId="20" fillId="0" borderId="10" xfId="0" applyFont="1" applyFill="1" applyBorder="1" applyAlignment="1">
      <alignment horizontal="center" vertical="center" wrapText="1"/>
    </xf>
    <xf numFmtId="0" fontId="20" fillId="6" borderId="10" xfId="0" applyFont="1" applyFill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164" fontId="23" fillId="7" borderId="13" xfId="1" applyNumberFormat="1" applyFont="1" applyFill="1" applyBorder="1" applyAlignment="1">
      <alignment horizontal="center" vertical="center"/>
    </xf>
    <xf numFmtId="0" fontId="20" fillId="7" borderId="17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vertical="center" wrapText="1"/>
    </xf>
    <xf numFmtId="0" fontId="20" fillId="7" borderId="9" xfId="0" applyFont="1" applyFill="1" applyBorder="1" applyAlignment="1">
      <alignment horizontal="center" vertical="center" wrapText="1"/>
    </xf>
    <xf numFmtId="14" fontId="20" fillId="2" borderId="10" xfId="0" applyNumberFormat="1" applyFont="1" applyFill="1" applyBorder="1" applyAlignment="1">
      <alignment horizontal="center" vertical="center" wrapText="1"/>
    </xf>
    <xf numFmtId="14" fontId="20" fillId="0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/>
    </xf>
    <xf numFmtId="14" fontId="20" fillId="0" borderId="9" xfId="1" applyNumberFormat="1" applyFont="1" applyFill="1" applyBorder="1" applyAlignment="1">
      <alignment horizontal="center"/>
    </xf>
    <xf numFmtId="164" fontId="21" fillId="0" borderId="0" xfId="1" applyNumberFormat="1" applyFont="1" applyFill="1"/>
    <xf numFmtId="164" fontId="20" fillId="2" borderId="10" xfId="1" applyNumberFormat="1" applyFont="1" applyFill="1" applyBorder="1" applyAlignment="1">
      <alignment horizontal="center" vertical="center" wrapText="1"/>
    </xf>
    <xf numFmtId="43" fontId="20" fillId="0" borderId="10" xfId="1" applyFont="1" applyBorder="1" applyAlignment="1">
      <alignment horizontal="center" vertical="center" wrapText="1"/>
    </xf>
    <xf numFmtId="43" fontId="27" fillId="0" borderId="0" xfId="1" applyFont="1" applyFill="1" applyAlignment="1"/>
    <xf numFmtId="43" fontId="19" fillId="0" borderId="9" xfId="1" applyFont="1" applyFill="1" applyBorder="1" applyAlignment="1">
      <alignment horizontal="center" wrapText="1"/>
    </xf>
    <xf numFmtId="43" fontId="19" fillId="6" borderId="9" xfId="1" applyFont="1" applyFill="1" applyBorder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43" fontId="14" fillId="0" borderId="0" xfId="1" applyFont="1" applyFill="1"/>
    <xf numFmtId="14" fontId="26" fillId="0" borderId="9" xfId="1" applyNumberFormat="1" applyFont="1" applyFill="1" applyBorder="1" applyAlignment="1">
      <alignment horizontal="center" vertical="center" wrapText="1"/>
    </xf>
    <xf numFmtId="14" fontId="26" fillId="7" borderId="9" xfId="1" applyNumberFormat="1" applyFont="1" applyFill="1" applyBorder="1" applyAlignment="1">
      <alignment horizontal="center" vertical="center" wrapText="1"/>
    </xf>
    <xf numFmtId="43" fontId="20" fillId="0" borderId="13" xfId="1" applyFont="1" applyFill="1" applyBorder="1" applyAlignment="1">
      <alignment horizontal="right"/>
    </xf>
    <xf numFmtId="0" fontId="26" fillId="0" borderId="1" xfId="0" applyFont="1" applyBorder="1" applyAlignment="1">
      <alignment horizontal="center" wrapText="1"/>
    </xf>
    <xf numFmtId="43" fontId="30" fillId="0" borderId="10" xfId="1" applyFont="1" applyFill="1" applyBorder="1" applyAlignment="1">
      <alignment horizontal="center" vertical="center" wrapText="1"/>
    </xf>
    <xf numFmtId="164" fontId="20" fillId="5" borderId="9" xfId="1" applyNumberFormat="1" applyFont="1" applyFill="1" applyBorder="1" applyAlignment="1">
      <alignment horizontal="center" vertical="center" wrapText="1"/>
    </xf>
    <xf numFmtId="164" fontId="20" fillId="0" borderId="13" xfId="1" applyNumberFormat="1" applyFont="1" applyFill="1" applyBorder="1" applyAlignment="1">
      <alignment horizontal="right"/>
    </xf>
    <xf numFmtId="0" fontId="20" fillId="0" borderId="10" xfId="0" applyFont="1" applyBorder="1" applyAlignment="1">
      <alignment horizontal="center" vertical="center" wrapText="1"/>
    </xf>
    <xf numFmtId="0" fontId="21" fillId="0" borderId="1" xfId="0" applyFont="1" applyFill="1" applyBorder="1"/>
    <xf numFmtId="0" fontId="21" fillId="0" borderId="10" xfId="1" applyNumberFormat="1" applyFont="1" applyFill="1" applyBorder="1" applyAlignment="1">
      <alignment horizontal="center" vertical="center" wrapText="1"/>
    </xf>
    <xf numFmtId="0" fontId="21" fillId="0" borderId="0" xfId="1" applyNumberFormat="1" applyFont="1"/>
    <xf numFmtId="0" fontId="21" fillId="0" borderId="1" xfId="0" applyFont="1" applyBorder="1"/>
    <xf numFmtId="164" fontId="21" fillId="0" borderId="0" xfId="1" applyNumberFormat="1" applyFont="1" applyAlignment="1">
      <alignment horizontal="center"/>
    </xf>
    <xf numFmtId="164" fontId="26" fillId="0" borderId="9" xfId="1" applyNumberFormat="1" applyFont="1" applyFill="1" applyBorder="1" applyAlignment="1">
      <alignment horizontal="center" vertical="center" wrapText="1"/>
    </xf>
    <xf numFmtId="164" fontId="18" fillId="7" borderId="1" xfId="1" applyNumberFormat="1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wrapText="1"/>
    </xf>
    <xf numFmtId="0" fontId="21" fillId="0" borderId="0" xfId="0" applyFont="1" applyAlignment="1">
      <alignment horizontal="center" wrapText="1"/>
    </xf>
    <xf numFmtId="164" fontId="21" fillId="0" borderId="0" xfId="1" applyNumberFormat="1" applyFont="1" applyAlignment="1">
      <alignment horizontal="center" wrapText="1"/>
    </xf>
    <xf numFmtId="164" fontId="20" fillId="0" borderId="10" xfId="1" applyNumberFormat="1" applyFont="1" applyBorder="1" applyAlignment="1">
      <alignment vertical="center" wrapText="1"/>
    </xf>
    <xf numFmtId="43" fontId="18" fillId="7" borderId="1" xfId="1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0" fontId="26" fillId="0" borderId="9" xfId="1" applyNumberFormat="1" applyFont="1" applyFill="1" applyBorder="1" applyAlignment="1">
      <alignment horizontal="center" vertical="center" wrapText="1"/>
    </xf>
    <xf numFmtId="0" fontId="21" fillId="0" borderId="0" xfId="0" applyNumberFormat="1" applyFont="1" applyAlignment="1">
      <alignment horizontal="left"/>
    </xf>
    <xf numFmtId="0" fontId="18" fillId="7" borderId="1" xfId="0" applyFont="1" applyFill="1" applyBorder="1" applyAlignment="1">
      <alignment horizontal="left"/>
    </xf>
    <xf numFmtId="0" fontId="21" fillId="0" borderId="0" xfId="0" applyFont="1" applyAlignment="1">
      <alignment horizontal="left"/>
    </xf>
    <xf numFmtId="0" fontId="21" fillId="0" borderId="0" xfId="0" applyFont="1" applyFill="1" applyAlignment="1">
      <alignment horizontal="left"/>
    </xf>
    <xf numFmtId="14" fontId="34" fillId="0" borderId="9" xfId="1" applyNumberFormat="1" applyFont="1" applyFill="1" applyBorder="1" applyAlignment="1">
      <alignment horizontal="center" vertical="center" wrapText="1"/>
    </xf>
    <xf numFmtId="164" fontId="20" fillId="0" borderId="27" xfId="1" applyNumberFormat="1" applyFont="1" applyBorder="1" applyAlignment="1">
      <alignment vertical="center" wrapText="1"/>
    </xf>
    <xf numFmtId="0" fontId="20" fillId="0" borderId="10" xfId="0" applyFont="1" applyFill="1" applyBorder="1" applyAlignment="1">
      <alignment horizontal="left" vertical="center" wrapText="1"/>
    </xf>
    <xf numFmtId="43" fontId="21" fillId="3" borderId="9" xfId="1" applyFont="1" applyFill="1" applyBorder="1" applyAlignment="1">
      <alignment horizontal="center" vertical="center" wrapText="1"/>
    </xf>
    <xf numFmtId="43" fontId="21" fillId="3" borderId="10" xfId="1" applyFont="1" applyFill="1" applyBorder="1" applyAlignment="1">
      <alignment horizontal="center" vertical="center" wrapText="1"/>
    </xf>
    <xf numFmtId="0" fontId="12" fillId="0" borderId="0" xfId="0" applyFont="1"/>
    <xf numFmtId="6" fontId="26" fillId="0" borderId="10" xfId="1" applyNumberFormat="1" applyFont="1" applyFill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43" fontId="26" fillId="0" borderId="21" xfId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164" fontId="12" fillId="0" borderId="0" xfId="1" applyNumberFormat="1" applyFont="1"/>
    <xf numFmtId="0" fontId="12" fillId="0" borderId="0" xfId="0" applyNumberFormat="1" applyFont="1"/>
    <xf numFmtId="43" fontId="12" fillId="0" borderId="0" xfId="1" applyFont="1"/>
    <xf numFmtId="43" fontId="29" fillId="0" borderId="9" xfId="1" applyFont="1" applyFill="1" applyBorder="1" applyAlignment="1">
      <alignment horizontal="center" vertical="center" wrapText="1"/>
    </xf>
    <xf numFmtId="164" fontId="28" fillId="0" borderId="1" xfId="1" applyNumberFormat="1" applyFont="1" applyFill="1" applyBorder="1" applyAlignment="1"/>
    <xf numFmtId="43" fontId="38" fillId="0" borderId="1" xfId="1" applyFont="1" applyFill="1" applyBorder="1" applyAlignment="1"/>
    <xf numFmtId="43" fontId="29" fillId="6" borderId="9" xfId="1" applyFont="1" applyFill="1" applyBorder="1" applyAlignment="1">
      <alignment horizontal="center" vertical="center" wrapText="1"/>
    </xf>
    <xf numFmtId="14" fontId="21" fillId="0" borderId="0" xfId="1" applyNumberFormat="1" applyFont="1" applyFill="1"/>
    <xf numFmtId="0" fontId="21" fillId="0" borderId="0" xfId="0" applyNumberFormat="1" applyFont="1" applyFill="1" applyAlignment="1">
      <alignment horizontal="left"/>
    </xf>
    <xf numFmtId="164" fontId="21" fillId="0" borderId="0" xfId="1" applyNumberFormat="1" applyFont="1" applyFill="1" applyAlignment="1">
      <alignment horizontal="center" wrapText="1"/>
    </xf>
    <xf numFmtId="14" fontId="34" fillId="2" borderId="9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42" fillId="0" borderId="0" xfId="0" applyFont="1"/>
    <xf numFmtId="0" fontId="21" fillId="0" borderId="0" xfId="0" applyFont="1" applyAlignment="1"/>
    <xf numFmtId="0" fontId="34" fillId="0" borderId="0" xfId="0" applyFont="1" applyFill="1" applyAlignment="1"/>
    <xf numFmtId="0" fontId="12" fillId="0" borderId="0" xfId="0" applyFont="1" applyFill="1" applyAlignment="1">
      <alignment horizontal="center" wrapText="1"/>
    </xf>
    <xf numFmtId="0" fontId="27" fillId="0" borderId="0" xfId="0" applyFont="1" applyFill="1" applyBorder="1" applyAlignment="1">
      <alignment wrapText="1"/>
    </xf>
    <xf numFmtId="0" fontId="10" fillId="0" borderId="0" xfId="0" applyFont="1" applyFill="1"/>
    <xf numFmtId="0" fontId="21" fillId="0" borderId="0" xfId="0" applyFont="1" applyFill="1" applyAlignment="1">
      <alignment horizontal="center"/>
    </xf>
    <xf numFmtId="0" fontId="21" fillId="7" borderId="14" xfId="0" applyFont="1" applyFill="1" applyBorder="1"/>
    <xf numFmtId="0" fontId="9" fillId="0" borderId="0" xfId="0" applyFont="1"/>
    <xf numFmtId="0" fontId="28" fillId="0" borderId="0" xfId="0" applyFont="1" applyFill="1" applyAlignment="1"/>
    <xf numFmtId="0" fontId="26" fillId="0" borderId="0" xfId="0" applyFont="1" applyAlignment="1">
      <alignment horizontal="left"/>
    </xf>
    <xf numFmtId="0" fontId="26" fillId="0" borderId="0" xfId="0" applyFont="1" applyAlignment="1"/>
    <xf numFmtId="0" fontId="42" fillId="0" borderId="0" xfId="0" applyFont="1" applyAlignment="1"/>
    <xf numFmtId="0" fontId="18" fillId="0" borderId="0" xfId="0" applyFont="1"/>
    <xf numFmtId="43" fontId="21" fillId="0" borderId="0" xfId="1" applyFont="1" applyAlignment="1">
      <alignment horizontal="left"/>
    </xf>
    <xf numFmtId="43" fontId="34" fillId="0" borderId="0" xfId="1" applyFont="1" applyAlignment="1">
      <alignment horizontal="right"/>
    </xf>
    <xf numFmtId="43" fontId="24" fillId="0" borderId="0" xfId="1" applyFont="1" applyAlignment="1">
      <alignment horizontal="right"/>
    </xf>
    <xf numFmtId="43" fontId="34" fillId="0" borderId="0" xfId="1" applyFont="1"/>
    <xf numFmtId="43" fontId="21" fillId="0" borderId="0" xfId="1" applyFont="1" applyAlignment="1">
      <alignment horizontal="right"/>
    </xf>
    <xf numFmtId="14" fontId="20" fillId="0" borderId="13" xfId="1" applyNumberFormat="1" applyFont="1" applyFill="1" applyBorder="1" applyAlignment="1">
      <alignment horizontal="right"/>
    </xf>
    <xf numFmtId="14" fontId="21" fillId="0" borderId="0" xfId="1" applyNumberFormat="1" applyFont="1"/>
    <xf numFmtId="0" fontId="12" fillId="0" borderId="0" xfId="0" applyFont="1" applyFill="1"/>
    <xf numFmtId="0" fontId="42" fillId="0" borderId="0" xfId="0" applyFont="1" applyAlignment="1">
      <alignment horizontal="left"/>
    </xf>
    <xf numFmtId="0" fontId="27" fillId="7" borderId="0" xfId="0" applyFont="1" applyFill="1" applyAlignment="1"/>
    <xf numFmtId="0" fontId="27" fillId="0" borderId="0" xfId="0" applyFont="1" applyFill="1" applyAlignment="1"/>
    <xf numFmtId="43" fontId="21" fillId="7" borderId="1" xfId="1" applyFont="1" applyFill="1" applyBorder="1" applyAlignment="1">
      <alignment horizontal="center" wrapText="1"/>
    </xf>
    <xf numFmtId="0" fontId="21" fillId="0" borderId="0" xfId="0" applyNumberFormat="1" applyFont="1"/>
    <xf numFmtId="43" fontId="20" fillId="7" borderId="9" xfId="1" applyFont="1" applyFill="1" applyBorder="1" applyAlignment="1">
      <alignment vertical="center" wrapText="1"/>
    </xf>
    <xf numFmtId="43" fontId="21" fillId="7" borderId="9" xfId="1" applyFont="1" applyFill="1" applyBorder="1" applyAlignment="1">
      <alignment vertical="center" wrapText="1"/>
    </xf>
    <xf numFmtId="43" fontId="20" fillId="0" borderId="9" xfId="1" applyFont="1" applyFill="1" applyBorder="1" applyAlignment="1">
      <alignment vertical="center" wrapText="1"/>
    </xf>
    <xf numFmtId="43" fontId="20" fillId="2" borderId="9" xfId="1" applyFont="1" applyFill="1" applyBorder="1" applyAlignment="1">
      <alignment vertical="center" wrapText="1"/>
    </xf>
    <xf numFmtId="0" fontId="20" fillId="7" borderId="10" xfId="0" applyFont="1" applyFill="1" applyBorder="1" applyAlignment="1">
      <alignment horizontal="center" vertical="center" wrapText="1"/>
    </xf>
    <xf numFmtId="43" fontId="20" fillId="6" borderId="9" xfId="1" applyFont="1" applyFill="1" applyBorder="1" applyAlignment="1">
      <alignment vertical="center" wrapText="1"/>
    </xf>
    <xf numFmtId="43" fontId="21" fillId="7" borderId="0" xfId="1" applyFont="1" applyFill="1"/>
    <xf numFmtId="43" fontId="21" fillId="2" borderId="10" xfId="1" applyFont="1" applyFill="1" applyBorder="1" applyAlignment="1">
      <alignment vertical="center" wrapText="1"/>
    </xf>
    <xf numFmtId="164" fontId="19" fillId="0" borderId="1" xfId="1" applyNumberFormat="1" applyFont="1" applyFill="1" applyBorder="1" applyAlignment="1"/>
    <xf numFmtId="0" fontId="21" fillId="0" borderId="9" xfId="0" applyFont="1" applyFill="1" applyBorder="1" applyAlignment="1">
      <alignment wrapText="1"/>
    </xf>
    <xf numFmtId="0" fontId="21" fillId="6" borderId="9" xfId="0" applyFont="1" applyFill="1" applyBorder="1" applyAlignment="1">
      <alignment wrapText="1"/>
    </xf>
    <xf numFmtId="0" fontId="28" fillId="7" borderId="0" xfId="0" applyFont="1" applyFill="1" applyAlignment="1"/>
    <xf numFmtId="0" fontId="19" fillId="7" borderId="0" xfId="0" applyFont="1" applyFill="1" applyAlignment="1"/>
    <xf numFmtId="0" fontId="18" fillId="7" borderId="0" xfId="0" applyFont="1" applyFill="1" applyAlignment="1"/>
    <xf numFmtId="0" fontId="18" fillId="7" borderId="0" xfId="0" applyFont="1" applyFill="1"/>
    <xf numFmtId="0" fontId="42" fillId="0" borderId="0" xfId="0" applyFont="1" applyFill="1"/>
    <xf numFmtId="0" fontId="41" fillId="0" borderId="0" xfId="0" applyFont="1"/>
    <xf numFmtId="0" fontId="20" fillId="0" borderId="10" xfId="0" applyFont="1" applyBorder="1" applyAlignment="1">
      <alignment vertical="center" wrapText="1"/>
    </xf>
    <xf numFmtId="164" fontId="21" fillId="0" borderId="10" xfId="1" applyNumberFormat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vertical="center" wrapText="1"/>
    </xf>
    <xf numFmtId="0" fontId="20" fillId="0" borderId="9" xfId="0" applyFont="1" applyFill="1" applyBorder="1" applyAlignment="1">
      <alignment wrapText="1"/>
    </xf>
    <xf numFmtId="43" fontId="42" fillId="0" borderId="0" xfId="1" applyFont="1" applyAlignment="1"/>
    <xf numFmtId="43" fontId="18" fillId="7" borderId="0" xfId="1" applyFont="1" applyFill="1" applyAlignment="1"/>
    <xf numFmtId="0" fontId="18" fillId="0" borderId="0" xfId="0" applyFont="1" applyFill="1" applyAlignment="1"/>
    <xf numFmtId="0" fontId="18" fillId="0" borderId="0" xfId="0" applyFont="1" applyFill="1" applyAlignment="1">
      <alignment horizontal="center" wrapText="1"/>
    </xf>
    <xf numFmtId="43" fontId="42" fillId="0" borderId="0" xfId="1" applyFont="1" applyFill="1" applyAlignment="1"/>
    <xf numFmtId="43" fontId="18" fillId="0" borderId="0" xfId="1" applyFont="1" applyFill="1" applyAlignment="1"/>
    <xf numFmtId="43" fontId="42" fillId="0" borderId="0" xfId="1" applyFont="1"/>
    <xf numFmtId="43" fontId="18" fillId="7" borderId="0" xfId="1" applyFont="1" applyFill="1"/>
    <xf numFmtId="43" fontId="42" fillId="0" borderId="0" xfId="1" applyFont="1" applyFill="1"/>
    <xf numFmtId="43" fontId="26" fillId="0" borderId="9" xfId="1" applyFont="1" applyFill="1" applyBorder="1" applyAlignment="1">
      <alignment vertical="center" wrapText="1"/>
    </xf>
    <xf numFmtId="43" fontId="20" fillId="7" borderId="10" xfId="1" applyFont="1" applyFill="1" applyBorder="1" applyAlignment="1">
      <alignment horizontal="center" vertical="center" wrapText="1"/>
    </xf>
    <xf numFmtId="0" fontId="21" fillId="7" borderId="0" xfId="0" applyFont="1" applyFill="1" applyAlignment="1">
      <alignment horizontal="center" wrapText="1"/>
    </xf>
    <xf numFmtId="0" fontId="42" fillId="0" borderId="0" xfId="0" applyFont="1" applyFill="1" applyAlignment="1">
      <alignment horizontal="center" wrapText="1"/>
    </xf>
    <xf numFmtId="43" fontId="21" fillId="0" borderId="21" xfId="1" applyFont="1" applyFill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vertical="center" wrapText="1"/>
    </xf>
    <xf numFmtId="0" fontId="43" fillId="0" borderId="0" xfId="0" applyFont="1" applyAlignment="1">
      <alignment horizontal="center"/>
    </xf>
    <xf numFmtId="0" fontId="21" fillId="5" borderId="15" xfId="0" applyFont="1" applyFill="1" applyBorder="1"/>
    <xf numFmtId="0" fontId="0" fillId="0" borderId="10" xfId="0" applyBorder="1" applyAlignment="1"/>
    <xf numFmtId="43" fontId="20" fillId="6" borderId="21" xfId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0" fillId="6" borderId="10" xfId="1" applyFont="1" applyFill="1" applyBorder="1" applyAlignment="1">
      <alignment horizontal="center" vertical="center" wrapText="1"/>
    </xf>
    <xf numFmtId="14" fontId="20" fillId="0" borderId="1" xfId="1" applyNumberFormat="1" applyFont="1" applyFill="1" applyBorder="1" applyAlignment="1">
      <alignment horizontal="center" vertical="center" wrapText="1"/>
    </xf>
    <xf numFmtId="14" fontId="20" fillId="0" borderId="15" xfId="1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wrapText="1"/>
    </xf>
    <xf numFmtId="43" fontId="20" fillId="6" borderId="15" xfId="1" applyFont="1" applyFill="1" applyBorder="1" applyAlignment="1">
      <alignment horizontal="center" wrapText="1"/>
    </xf>
    <xf numFmtId="43" fontId="20" fillId="0" borderId="15" xfId="1" applyFont="1" applyFill="1" applyBorder="1" applyAlignment="1">
      <alignment horizontal="center"/>
    </xf>
    <xf numFmtId="43" fontId="20" fillId="7" borderId="15" xfId="1" applyFont="1" applyFill="1" applyBorder="1" applyAlignment="1">
      <alignment horizontal="center" wrapText="1"/>
    </xf>
    <xf numFmtId="43" fontId="20" fillId="2" borderId="15" xfId="1" applyFont="1" applyFill="1" applyBorder="1" applyAlignment="1">
      <alignment horizontal="center" wrapText="1"/>
    </xf>
    <xf numFmtId="0" fontId="21" fillId="7" borderId="1" xfId="0" applyFont="1" applyFill="1" applyBorder="1" applyAlignment="1">
      <alignment horizontal="center"/>
    </xf>
    <xf numFmtId="43" fontId="21" fillId="0" borderId="0" xfId="1" applyFont="1" applyFill="1" applyAlignment="1">
      <alignment wrapText="1"/>
    </xf>
    <xf numFmtId="0" fontId="21" fillId="0" borderId="15" xfId="0" applyFont="1" applyBorder="1"/>
    <xf numFmtId="0" fontId="21" fillId="6" borderId="15" xfId="0" applyFont="1" applyFill="1" applyBorder="1"/>
    <xf numFmtId="0" fontId="21" fillId="2" borderId="15" xfId="0" applyFont="1" applyFill="1" applyBorder="1"/>
    <xf numFmtId="164" fontId="21" fillId="0" borderId="1" xfId="1" applyNumberFormat="1" applyFont="1" applyBorder="1"/>
    <xf numFmtId="43" fontId="21" fillId="0" borderId="1" xfId="0" applyNumberFormat="1" applyFont="1" applyBorder="1"/>
    <xf numFmtId="0" fontId="20" fillId="0" borderId="17" xfId="0" applyFont="1" applyBorder="1" applyAlignment="1">
      <alignment horizontal="center" vertical="center" wrapText="1"/>
    </xf>
    <xf numFmtId="164" fontId="42" fillId="0" borderId="0" xfId="1" applyNumberFormat="1" applyFont="1" applyAlignment="1"/>
    <xf numFmtId="164" fontId="34" fillId="7" borderId="0" xfId="1" applyNumberFormat="1" applyFont="1" applyFill="1" applyAlignment="1"/>
    <xf numFmtId="43" fontId="42" fillId="3" borderId="0" xfId="1" applyFont="1" applyFill="1"/>
    <xf numFmtId="43" fontId="21" fillId="3" borderId="0" xfId="1" applyFont="1" applyFill="1"/>
    <xf numFmtId="43" fontId="34" fillId="7" borderId="0" xfId="1" applyFont="1" applyFill="1" applyAlignment="1"/>
    <xf numFmtId="43" fontId="18" fillId="5" borderId="0" xfId="1" applyFont="1" applyFill="1" applyAlignment="1"/>
    <xf numFmtId="43" fontId="21" fillId="11" borderId="0" xfId="1" applyFont="1" applyFill="1"/>
    <xf numFmtId="43" fontId="21" fillId="6" borderId="0" xfId="1" applyFont="1" applyFill="1"/>
    <xf numFmtId="43" fontId="20" fillId="0" borderId="9" xfId="1" applyFont="1" applyBorder="1" applyAlignment="1">
      <alignment vertical="center" wrapText="1"/>
    </xf>
    <xf numFmtId="43" fontId="21" fillId="0" borderId="9" xfId="1" applyFont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164" fontId="21" fillId="7" borderId="14" xfId="1" applyNumberFormat="1" applyFont="1" applyFill="1" applyBorder="1"/>
    <xf numFmtId="0" fontId="19" fillId="5" borderId="0" xfId="0" applyFont="1" applyFill="1" applyAlignment="1"/>
    <xf numFmtId="164" fontId="34" fillId="6" borderId="0" xfId="1" applyNumberFormat="1" applyFont="1" applyFill="1"/>
    <xf numFmtId="0" fontId="43" fillId="0" borderId="0" xfId="0" applyFont="1" applyFill="1" applyAlignment="1">
      <alignment horizontal="left"/>
    </xf>
    <xf numFmtId="43" fontId="20" fillId="0" borderId="17" xfId="1" applyFont="1" applyBorder="1" applyAlignment="1">
      <alignment horizontal="center" vertical="center" wrapText="1"/>
    </xf>
    <xf numFmtId="43" fontId="20" fillId="6" borderId="17" xfId="1" applyFont="1" applyFill="1" applyBorder="1" applyAlignment="1">
      <alignment horizontal="center" vertical="center" wrapText="1"/>
    </xf>
    <xf numFmtId="43" fontId="34" fillId="0" borderId="0" xfId="1" applyFont="1" applyFill="1" applyAlignment="1"/>
    <xf numFmtId="43" fontId="19" fillId="0" borderId="0" xfId="1" applyFont="1" applyFill="1" applyAlignment="1"/>
    <xf numFmtId="43" fontId="19" fillId="7" borderId="17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5" fillId="0" borderId="0" xfId="1" applyFont="1"/>
    <xf numFmtId="43" fontId="37" fillId="2" borderId="0" xfId="1" applyFont="1" applyFill="1" applyAlignment="1"/>
    <xf numFmtId="43" fontId="37" fillId="6" borderId="0" xfId="1" applyFont="1" applyFill="1" applyAlignment="1"/>
    <xf numFmtId="43" fontId="28" fillId="12" borderId="0" xfId="1" applyFont="1" applyFill="1" applyAlignment="1"/>
    <xf numFmtId="164" fontId="42" fillId="0" borderId="0" xfId="1" applyNumberFormat="1" applyFont="1"/>
    <xf numFmtId="0" fontId="41" fillId="0" borderId="0" xfId="0" applyFont="1" applyFill="1"/>
    <xf numFmtId="0" fontId="5" fillId="0" borderId="0" xfId="0" applyFont="1" applyFill="1"/>
    <xf numFmtId="0" fontId="5" fillId="0" borderId="0" xfId="0" applyFont="1"/>
    <xf numFmtId="3" fontId="5" fillId="0" borderId="0" xfId="0" applyNumberFormat="1" applyFont="1" applyFill="1"/>
    <xf numFmtId="3" fontId="21" fillId="0" borderId="0" xfId="0" applyNumberFormat="1" applyFont="1" applyFill="1"/>
    <xf numFmtId="3" fontId="21" fillId="0" borderId="0" xfId="0" applyNumberFormat="1" applyFont="1"/>
    <xf numFmtId="164" fontId="28" fillId="5" borderId="0" xfId="1" applyNumberFormat="1" applyFont="1" applyFill="1" applyAlignment="1"/>
    <xf numFmtId="164" fontId="21" fillId="0" borderId="10" xfId="1" applyNumberFormat="1" applyFont="1" applyFill="1" applyBorder="1" applyAlignment="1">
      <alignment vertical="center" wrapText="1"/>
    </xf>
    <xf numFmtId="43" fontId="20" fillId="0" borderId="10" xfId="1" applyFont="1" applyFill="1" applyBorder="1" applyAlignment="1">
      <alignment horizontal="center" vertical="center" wrapText="1"/>
    </xf>
    <xf numFmtId="0" fontId="27" fillId="0" borderId="0" xfId="0" applyFont="1" applyFill="1" applyAlignment="1">
      <alignment horizontal="left"/>
    </xf>
    <xf numFmtId="43" fontId="29" fillId="2" borderId="10" xfId="1" applyFont="1" applyFill="1" applyBorder="1" applyAlignment="1">
      <alignment horizontal="center" vertical="center" wrapText="1"/>
    </xf>
    <xf numFmtId="43" fontId="28" fillId="12" borderId="0" xfId="1" applyFont="1" applyFill="1" applyAlignment="1">
      <alignment horizontal="left"/>
    </xf>
    <xf numFmtId="43" fontId="29" fillId="0" borderId="10" xfId="1" applyFont="1" applyFill="1" applyBorder="1" applyAlignment="1">
      <alignment vertical="center" wrapText="1"/>
    </xf>
    <xf numFmtId="43" fontId="29" fillId="0" borderId="10" xfId="1" applyFont="1" applyFill="1" applyBorder="1" applyAlignment="1">
      <alignment horizontal="center" vertical="center" wrapText="1"/>
    </xf>
    <xf numFmtId="43" fontId="20" fillId="3" borderId="9" xfId="1" applyFont="1" applyFill="1" applyBorder="1" applyAlignment="1">
      <alignment horizontal="center" vertical="center" wrapText="1"/>
    </xf>
    <xf numFmtId="164" fontId="37" fillId="0" borderId="1" xfId="1" applyNumberFormat="1" applyFont="1" applyFill="1" applyBorder="1" applyAlignment="1"/>
    <xf numFmtId="0" fontId="4" fillId="0" borderId="0" xfId="0" applyFont="1"/>
    <xf numFmtId="0" fontId="4" fillId="0" borderId="0" xfId="0" applyFont="1" applyFill="1"/>
    <xf numFmtId="0" fontId="26" fillId="0" borderId="0" xfId="0" applyFont="1" applyFill="1" applyAlignment="1"/>
    <xf numFmtId="43" fontId="20" fillId="0" borderId="10" xfId="1" applyFont="1" applyFill="1" applyBorder="1" applyAlignment="1">
      <alignment horizontal="center" vertical="center" wrapText="1"/>
    </xf>
    <xf numFmtId="0" fontId="28" fillId="0" borderId="0" xfId="0" applyFont="1" applyFill="1" applyBorder="1" applyAlignment="1">
      <alignment horizontal="left" wrapText="1"/>
    </xf>
    <xf numFmtId="0" fontId="42" fillId="9" borderId="0" xfId="0" applyFont="1" applyFill="1"/>
    <xf numFmtId="43" fontId="21" fillId="9" borderId="0" xfId="1" applyFont="1" applyFill="1"/>
    <xf numFmtId="43" fontId="42" fillId="9" borderId="0" xfId="1" applyFont="1" applyFill="1"/>
    <xf numFmtId="0" fontId="20" fillId="2" borderId="10" xfId="0" applyFont="1" applyFill="1" applyBorder="1" applyAlignment="1">
      <alignment horizontal="center" vertical="center" wrapText="1"/>
    </xf>
    <xf numFmtId="164" fontId="19" fillId="0" borderId="1" xfId="1" applyNumberFormat="1" applyFont="1" applyBorder="1"/>
    <xf numFmtId="0" fontId="21" fillId="0" borderId="0" xfId="0" applyFont="1" applyFill="1" applyAlignment="1">
      <alignment wrapText="1"/>
    </xf>
    <xf numFmtId="0" fontId="27" fillId="0" borderId="0" xfId="0" applyFont="1" applyFill="1" applyBorder="1" applyAlignment="1">
      <alignment horizontal="left" wrapText="1"/>
    </xf>
    <xf numFmtId="164" fontId="26" fillId="0" borderId="9" xfId="1" applyNumberFormat="1" applyFont="1" applyFill="1" applyBorder="1" applyAlignment="1">
      <alignment horizontal="center"/>
    </xf>
    <xf numFmtId="0" fontId="26" fillId="0" borderId="9" xfId="0" applyFont="1" applyBorder="1" applyAlignment="1">
      <alignment horizontal="center" wrapText="1"/>
    </xf>
    <xf numFmtId="0" fontId="20" fillId="3" borderId="17" xfId="0" applyFont="1" applyFill="1" applyBorder="1" applyAlignment="1">
      <alignment wrapText="1"/>
    </xf>
    <xf numFmtId="0" fontId="20" fillId="3" borderId="9" xfId="0" applyFont="1" applyFill="1" applyBorder="1" applyAlignment="1">
      <alignment wrapText="1"/>
    </xf>
    <xf numFmtId="164" fontId="20" fillId="0" borderId="14" xfId="1" applyNumberFormat="1" applyFont="1" applyBorder="1"/>
    <xf numFmtId="164" fontId="33" fillId="0" borderId="10" xfId="1" applyNumberFormat="1" applyFont="1" applyFill="1" applyBorder="1" applyAlignment="1">
      <alignment horizontal="center" vertical="center" wrapText="1"/>
    </xf>
    <xf numFmtId="0" fontId="6" fillId="0" borderId="20" xfId="0" applyFont="1" applyBorder="1"/>
    <xf numFmtId="0" fontId="6" fillId="0" borderId="0" xfId="0" applyFont="1" applyBorder="1"/>
    <xf numFmtId="0" fontId="21" fillId="0" borderId="0" xfId="0" applyFont="1" applyBorder="1"/>
    <xf numFmtId="0" fontId="34" fillId="0" borderId="21" xfId="0" applyFont="1" applyBorder="1" applyAlignment="1">
      <alignment horizontal="center"/>
    </xf>
    <xf numFmtId="0" fontId="34" fillId="0" borderId="30" xfId="0" applyFont="1" applyBorder="1" applyAlignment="1">
      <alignment horizontal="center"/>
    </xf>
    <xf numFmtId="0" fontId="21" fillId="0" borderId="9" xfId="0" applyFont="1" applyBorder="1"/>
    <xf numFmtId="0" fontId="21" fillId="0" borderId="10" xfId="0" applyFont="1" applyBorder="1" applyAlignment="1"/>
    <xf numFmtId="10" fontId="21" fillId="0" borderId="9" xfId="0" applyNumberFormat="1" applyFont="1" applyBorder="1" applyAlignment="1">
      <alignment horizontal="center"/>
    </xf>
    <xf numFmtId="166" fontId="21" fillId="0" borderId="9" xfId="0" applyNumberFormat="1" applyFont="1" applyBorder="1" applyAlignment="1">
      <alignment horizontal="center"/>
    </xf>
    <xf numFmtId="0" fontId="21" fillId="0" borderId="30" xfId="0" applyFont="1" applyBorder="1"/>
    <xf numFmtId="0" fontId="21" fillId="0" borderId="9" xfId="0" applyFont="1" applyBorder="1" applyAlignment="1"/>
    <xf numFmtId="0" fontId="21" fillId="0" borderId="9" xfId="0" applyFont="1" applyBorder="1" applyAlignment="1">
      <alignment horizontal="center"/>
    </xf>
    <xf numFmtId="0" fontId="20" fillId="13" borderId="9" xfId="0" applyFont="1" applyFill="1" applyBorder="1" applyAlignment="1">
      <alignment wrapText="1"/>
    </xf>
    <xf numFmtId="43" fontId="18" fillId="13" borderId="0" xfId="1" applyFont="1" applyFill="1" applyAlignment="1"/>
    <xf numFmtId="164" fontId="18" fillId="0" borderId="1" xfId="1" applyNumberFormat="1" applyFont="1" applyFill="1" applyBorder="1"/>
    <xf numFmtId="164" fontId="18" fillId="0" borderId="14" xfId="1" applyNumberFormat="1" applyFont="1" applyFill="1" applyBorder="1" applyAlignment="1">
      <alignment horizontal="right" vertical="center"/>
    </xf>
    <xf numFmtId="164" fontId="21" fillId="0" borderId="14" xfId="1" applyNumberFormat="1" applyFont="1" applyFill="1" applyBorder="1"/>
    <xf numFmtId="164" fontId="42" fillId="0" borderId="1" xfId="1" applyNumberFormat="1" applyFont="1" applyFill="1" applyBorder="1"/>
    <xf numFmtId="0" fontId="21" fillId="0" borderId="1" xfId="0" applyFont="1" applyFill="1" applyBorder="1" applyAlignment="1">
      <alignment horizontal="center" wrapText="1"/>
    </xf>
    <xf numFmtId="0" fontId="11" fillId="0" borderId="0" xfId="0" applyFont="1" applyFill="1"/>
    <xf numFmtId="164" fontId="21" fillId="0" borderId="1" xfId="1" applyNumberFormat="1" applyFont="1" applyFill="1" applyBorder="1"/>
    <xf numFmtId="164" fontId="21" fillId="0" borderId="1" xfId="1" applyNumberFormat="1" applyFont="1" applyFill="1" applyBorder="1" applyAlignment="1">
      <alignment horizontal="center" wrapText="1"/>
    </xf>
    <xf numFmtId="164" fontId="21" fillId="0" borderId="14" xfId="0" applyNumberFormat="1" applyFont="1" applyFill="1" applyBorder="1" applyAlignment="1">
      <alignment horizontal="center" wrapText="1"/>
    </xf>
    <xf numFmtId="164" fontId="21" fillId="0" borderId="14" xfId="1" applyNumberFormat="1" applyFont="1" applyFill="1" applyBorder="1" applyAlignment="1">
      <alignment horizontal="center" wrapText="1"/>
    </xf>
    <xf numFmtId="164" fontId="42" fillId="0" borderId="14" xfId="1" applyNumberFormat="1" applyFont="1" applyFill="1" applyBorder="1" applyAlignment="1">
      <alignment horizontal="center" vertical="center" wrapText="1"/>
    </xf>
    <xf numFmtId="164" fontId="34" fillId="0" borderId="1" xfId="1" applyNumberFormat="1" applyFont="1" applyBorder="1" applyAlignment="1">
      <alignment horizontal="center" wrapText="1"/>
    </xf>
    <xf numFmtId="164" fontId="19" fillId="0" borderId="1" xfId="1" applyNumberFormat="1" applyFont="1" applyBorder="1" applyAlignment="1">
      <alignment horizontal="center" wrapText="1"/>
    </xf>
    <xf numFmtId="43" fontId="26" fillId="7" borderId="1" xfId="1" applyFont="1" applyFill="1" applyBorder="1" applyAlignment="1">
      <alignment vertical="center" wrapText="1"/>
    </xf>
    <xf numFmtId="164" fontId="26" fillId="0" borderId="9" xfId="1" applyNumberFormat="1" applyFont="1" applyFill="1" applyBorder="1" applyAlignment="1">
      <alignment vertical="center" wrapText="1"/>
    </xf>
    <xf numFmtId="164" fontId="26" fillId="3" borderId="9" xfId="1" applyNumberFormat="1" applyFont="1" applyFill="1" applyBorder="1" applyAlignment="1">
      <alignment vertical="center" wrapText="1"/>
    </xf>
    <xf numFmtId="43" fontId="26" fillId="3" borderId="9" xfId="1" applyFont="1" applyFill="1" applyBorder="1" applyAlignment="1">
      <alignment vertical="center" wrapText="1"/>
    </xf>
    <xf numFmtId="164" fontId="26" fillId="7" borderId="9" xfId="1" applyNumberFormat="1" applyFont="1" applyFill="1" applyBorder="1" applyAlignment="1">
      <alignment vertical="center" wrapText="1"/>
    </xf>
    <xf numFmtId="43" fontId="26" fillId="7" borderId="9" xfId="1" applyFont="1" applyFill="1" applyBorder="1" applyAlignment="1">
      <alignment vertical="center" wrapText="1"/>
    </xf>
    <xf numFmtId="0" fontId="2" fillId="0" borderId="0" xfId="0" applyFont="1" applyFill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/>
    <xf numFmtId="0" fontId="41" fillId="0" borderId="0" xfId="0" applyFont="1" applyFill="1" applyAlignment="1">
      <alignment horizontal="center" wrapText="1"/>
    </xf>
    <xf numFmtId="164" fontId="20" fillId="6" borderId="10" xfId="1" applyNumberFormat="1" applyFont="1" applyFill="1" applyBorder="1" applyAlignment="1">
      <alignment horizontal="center" vertical="center" wrapText="1"/>
    </xf>
    <xf numFmtId="0" fontId="18" fillId="0" borderId="1" xfId="0" applyFont="1" applyFill="1" applyBorder="1"/>
    <xf numFmtId="164" fontId="18" fillId="0" borderId="1" xfId="1" applyNumberFormat="1" applyFont="1" applyFill="1" applyBorder="1" applyAlignment="1">
      <alignment horizontal="right" vertical="center"/>
    </xf>
    <xf numFmtId="0" fontId="42" fillId="0" borderId="1" xfId="0" applyFont="1" applyFill="1" applyBorder="1"/>
    <xf numFmtId="14" fontId="18" fillId="0" borderId="1" xfId="1" applyNumberFormat="1" applyFont="1" applyFill="1" applyBorder="1" applyAlignment="1">
      <alignment horizontal="center" vertical="center"/>
    </xf>
    <xf numFmtId="164" fontId="21" fillId="0" borderId="1" xfId="0" applyNumberFormat="1" applyFont="1" applyBorder="1"/>
    <xf numFmtId="0" fontId="21" fillId="0" borderId="0" xfId="0" applyFont="1" applyAlignment="1">
      <alignment horizontal="right"/>
    </xf>
    <xf numFmtId="0" fontId="18" fillId="0" borderId="1" xfId="0" applyFont="1" applyFill="1" applyBorder="1" applyAlignment="1">
      <alignment horizontal="left"/>
    </xf>
    <xf numFmtId="164" fontId="18" fillId="0" borderId="14" xfId="1" applyNumberFormat="1" applyFont="1" applyFill="1" applyBorder="1"/>
    <xf numFmtId="0" fontId="42" fillId="0" borderId="1" xfId="0" applyFont="1" applyFill="1" applyBorder="1" applyAlignment="1">
      <alignment horizontal="center" wrapText="1"/>
    </xf>
    <xf numFmtId="0" fontId="36" fillId="0" borderId="13" xfId="1" applyNumberFormat="1" applyFont="1" applyFill="1" applyBorder="1" applyAlignment="1">
      <alignment horizontal="left" vertical="center"/>
    </xf>
    <xf numFmtId="164" fontId="17" fillId="0" borderId="1" xfId="1" applyNumberFormat="1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center" wrapText="1"/>
    </xf>
    <xf numFmtId="164" fontId="36" fillId="0" borderId="13" xfId="1" applyNumberFormat="1" applyFont="1" applyFill="1" applyBorder="1" applyAlignment="1">
      <alignment horizontal="center" vertical="center"/>
    </xf>
    <xf numFmtId="164" fontId="30" fillId="7" borderId="10" xfId="1" applyNumberFormat="1" applyFont="1" applyFill="1" applyBorder="1" applyAlignment="1">
      <alignment horizontal="center" vertical="center" wrapText="1"/>
    </xf>
    <xf numFmtId="164" fontId="38" fillId="0" borderId="1" xfId="1" applyNumberFormat="1" applyFont="1" applyFill="1" applyBorder="1" applyAlignment="1"/>
    <xf numFmtId="0" fontId="17" fillId="0" borderId="1" xfId="0" applyFont="1" applyFill="1" applyBorder="1" applyAlignment="1">
      <alignment horizontal="left"/>
    </xf>
    <xf numFmtId="164" fontId="17" fillId="0" borderId="1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 wrapText="1"/>
    </xf>
    <xf numFmtId="164" fontId="35" fillId="0" borderId="1" xfId="1" applyNumberFormat="1" applyFont="1" applyFill="1" applyBorder="1"/>
    <xf numFmtId="43" fontId="18" fillId="0" borderId="14" xfId="1" applyFont="1" applyFill="1" applyBorder="1"/>
    <xf numFmtId="164" fontId="23" fillId="0" borderId="1" xfId="1" applyNumberFormat="1" applyFont="1" applyFill="1" applyBorder="1" applyAlignment="1">
      <alignment horizontal="center" vertical="center"/>
    </xf>
    <xf numFmtId="164" fontId="20" fillId="0" borderId="9" xfId="1" applyNumberFormat="1" applyFont="1" applyFill="1" applyBorder="1" applyAlignment="1">
      <alignment vertical="center" wrapText="1"/>
    </xf>
    <xf numFmtId="164" fontId="21" fillId="0" borderId="9" xfId="1" applyNumberFormat="1" applyFont="1" applyBorder="1" applyAlignment="1">
      <alignment horizontal="center" vertical="center" wrapText="1"/>
    </xf>
    <xf numFmtId="164" fontId="21" fillId="2" borderId="9" xfId="1" applyNumberFormat="1" applyFont="1" applyFill="1" applyBorder="1" applyAlignment="1">
      <alignment horizontal="center" vertical="center" wrapText="1"/>
    </xf>
    <xf numFmtId="164" fontId="18" fillId="7" borderId="10" xfId="1" applyNumberFormat="1" applyFont="1" applyFill="1" applyBorder="1" applyAlignment="1">
      <alignment horizontal="center" vertical="center" wrapText="1"/>
    </xf>
    <xf numFmtId="164" fontId="18" fillId="0" borderId="3" xfId="1" applyNumberFormat="1" applyFont="1" applyFill="1" applyBorder="1" applyAlignment="1">
      <alignment horizontal="right" vertical="center"/>
    </xf>
    <xf numFmtId="164" fontId="42" fillId="0" borderId="14" xfId="1" applyNumberFormat="1" applyFont="1" applyFill="1" applyBorder="1" applyAlignment="1">
      <alignment horizontal="center" wrapText="1"/>
    </xf>
    <xf numFmtId="0" fontId="21" fillId="0" borderId="14" xfId="1" applyNumberFormat="1" applyFont="1" applyFill="1" applyBorder="1" applyAlignment="1">
      <alignment horizontal="left" wrapText="1"/>
    </xf>
    <xf numFmtId="14" fontId="21" fillId="0" borderId="1" xfId="0" applyNumberFormat="1" applyFont="1" applyFill="1" applyBorder="1"/>
    <xf numFmtId="165" fontId="21" fillId="0" borderId="1" xfId="1" applyNumberFormat="1" applyFont="1" applyFill="1" applyBorder="1" applyAlignment="1">
      <alignment wrapText="1"/>
    </xf>
    <xf numFmtId="43" fontId="21" fillId="0" borderId="1" xfId="1" applyFont="1" applyFill="1" applyBorder="1"/>
    <xf numFmtId="43" fontId="42" fillId="0" borderId="14" xfId="1" applyFont="1" applyFill="1" applyBorder="1"/>
    <xf numFmtId="164" fontId="21" fillId="0" borderId="14" xfId="0" applyNumberFormat="1" applyFont="1" applyFill="1" applyBorder="1"/>
    <xf numFmtId="0" fontId="40" fillId="0" borderId="1" xfId="0" applyFont="1" applyFill="1" applyBorder="1" applyAlignment="1">
      <alignment horizontal="left"/>
    </xf>
    <xf numFmtId="164" fontId="40" fillId="0" borderId="14" xfId="1" applyNumberFormat="1" applyFont="1" applyFill="1" applyBorder="1"/>
    <xf numFmtId="164" fontId="40" fillId="0" borderId="1" xfId="1" applyNumberFormat="1" applyFont="1" applyFill="1" applyBorder="1" applyAlignment="1">
      <alignment horizontal="center" vertical="center"/>
    </xf>
    <xf numFmtId="164" fontId="35" fillId="0" borderId="14" xfId="1" applyNumberFormat="1" applyFont="1" applyFill="1" applyBorder="1"/>
    <xf numFmtId="0" fontId="35" fillId="0" borderId="0" xfId="0" applyFont="1" applyFill="1"/>
    <xf numFmtId="0" fontId="36" fillId="0" borderId="1" xfId="1" applyNumberFormat="1" applyFont="1" applyFill="1" applyBorder="1" applyAlignment="1">
      <alignment horizontal="left" vertical="center"/>
    </xf>
    <xf numFmtId="164" fontId="17" fillId="0" borderId="14" xfId="1" applyNumberFormat="1" applyFont="1" applyFill="1" applyBorder="1" applyAlignment="1">
      <alignment horizontal="right" vertical="center"/>
    </xf>
    <xf numFmtId="0" fontId="23" fillId="0" borderId="1" xfId="1" applyNumberFormat="1" applyFont="1" applyFill="1" applyBorder="1" applyAlignment="1">
      <alignment horizontal="left" vertical="center"/>
    </xf>
    <xf numFmtId="164" fontId="23" fillId="0" borderId="14" xfId="1" applyNumberFormat="1" applyFont="1" applyFill="1" applyBorder="1" applyAlignment="1">
      <alignment horizontal="center" vertical="center"/>
    </xf>
    <xf numFmtId="164" fontId="23" fillId="0" borderId="1" xfId="1" applyNumberFormat="1" applyFont="1" applyFill="1" applyBorder="1" applyAlignment="1">
      <alignment horizontal="right" vertical="center"/>
    </xf>
    <xf numFmtId="0" fontId="18" fillId="0" borderId="14" xfId="0" applyFont="1" applyFill="1" applyBorder="1" applyAlignment="1">
      <alignment horizontal="left"/>
    </xf>
    <xf numFmtId="43" fontId="21" fillId="0" borderId="14" xfId="1" applyFont="1" applyFill="1" applyBorder="1"/>
    <xf numFmtId="164" fontId="21" fillId="0" borderId="1" xfId="1" applyNumberFormat="1" applyFont="1" applyFill="1" applyBorder="1" applyAlignment="1">
      <alignment horizontal="center"/>
    </xf>
    <xf numFmtId="164" fontId="33" fillId="3" borderId="10" xfId="1" applyNumberFormat="1" applyFont="1" applyFill="1" applyBorder="1" applyAlignment="1">
      <alignment horizontal="center" vertical="center" wrapText="1"/>
    </xf>
    <xf numFmtId="164" fontId="33" fillId="2" borderId="10" xfId="1" applyNumberFormat="1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vertical="center" wrapText="1"/>
    </xf>
    <xf numFmtId="164" fontId="33" fillId="0" borderId="10" xfId="1" applyNumberFormat="1" applyFont="1" applyFill="1" applyBorder="1" applyAlignment="1">
      <alignment vertical="center" wrapText="1"/>
    </xf>
    <xf numFmtId="164" fontId="20" fillId="0" borderId="9" xfId="1" applyNumberFormat="1" applyFont="1" applyBorder="1" applyAlignment="1">
      <alignment horizontal="center" vertical="center" wrapText="1"/>
    </xf>
    <xf numFmtId="164" fontId="24" fillId="0" borderId="0" xfId="1" applyNumberFormat="1" applyFont="1"/>
    <xf numFmtId="164" fontId="23" fillId="0" borderId="2" xfId="1" applyNumberFormat="1" applyFont="1" applyFill="1" applyBorder="1" applyAlignment="1">
      <alignment horizontal="center" vertical="center"/>
    </xf>
    <xf numFmtId="164" fontId="42" fillId="0" borderId="0" xfId="1" applyNumberFormat="1" applyFont="1" applyAlignment="1">
      <alignment horizontal="center"/>
    </xf>
    <xf numFmtId="43" fontId="21" fillId="0" borderId="0" xfId="1" quotePrefix="1" applyFont="1"/>
    <xf numFmtId="164" fontId="18" fillId="0" borderId="0" xfId="1" applyNumberFormat="1" applyFont="1" applyAlignment="1">
      <alignment horizontal="center"/>
    </xf>
    <xf numFmtId="164" fontId="36" fillId="0" borderId="2" xfId="1" applyNumberFormat="1" applyFont="1" applyFill="1" applyBorder="1" applyAlignment="1">
      <alignment horizontal="center" vertical="center"/>
    </xf>
    <xf numFmtId="164" fontId="36" fillId="0" borderId="1" xfId="1" applyNumberFormat="1" applyFont="1" applyFill="1" applyBorder="1" applyAlignment="1">
      <alignment horizontal="center" vertical="center"/>
    </xf>
    <xf numFmtId="164" fontId="20" fillId="7" borderId="9" xfId="1" applyNumberFormat="1" applyFont="1" applyFill="1" applyBorder="1" applyAlignment="1">
      <alignment wrapText="1"/>
    </xf>
    <xf numFmtId="164" fontId="42" fillId="0" borderId="0" xfId="1" applyNumberFormat="1" applyFont="1" applyFill="1" applyAlignment="1"/>
    <xf numFmtId="164" fontId="42" fillId="13" borderId="14" xfId="1" applyNumberFormat="1" applyFont="1" applyFill="1" applyBorder="1" applyAlignment="1">
      <alignment horizontal="center" wrapText="1"/>
    </xf>
    <xf numFmtId="164" fontId="23" fillId="0" borderId="1" xfId="1" applyNumberFormat="1" applyFont="1" applyFill="1" applyBorder="1" applyAlignment="1">
      <alignment horizontal="center" vertical="center" wrapText="1"/>
    </xf>
    <xf numFmtId="0" fontId="26" fillId="0" borderId="0" xfId="0" applyFont="1" applyAlignment="1">
      <alignment horizontal="left"/>
    </xf>
    <xf numFmtId="164" fontId="21" fillId="0" borderId="1" xfId="1" applyNumberFormat="1" applyFont="1" applyFill="1" applyBorder="1" applyAlignment="1">
      <alignment wrapText="1"/>
    </xf>
    <xf numFmtId="14" fontId="21" fillId="0" borderId="1" xfId="1" applyNumberFormat="1" applyFont="1" applyFill="1" applyBorder="1" applyAlignment="1">
      <alignment wrapText="1"/>
    </xf>
    <xf numFmtId="43" fontId="21" fillId="0" borderId="1" xfId="1" applyFont="1" applyFill="1" applyBorder="1" applyAlignment="1">
      <alignment wrapText="1"/>
    </xf>
    <xf numFmtId="164" fontId="39" fillId="0" borderId="2" xfId="1" applyNumberFormat="1" applyFont="1" applyFill="1" applyBorder="1" applyAlignment="1">
      <alignment horizontal="center" vertical="center"/>
    </xf>
    <xf numFmtId="164" fontId="40" fillId="4" borderId="1" xfId="1" applyNumberFormat="1" applyFont="1" applyFill="1" applyBorder="1" applyAlignment="1">
      <alignment horizontal="center" vertical="center"/>
    </xf>
    <xf numFmtId="164" fontId="42" fillId="0" borderId="1" xfId="1" applyNumberFormat="1" applyFont="1" applyFill="1" applyBorder="1" applyAlignment="1">
      <alignment horizontal="center" wrapText="1"/>
    </xf>
    <xf numFmtId="164" fontId="20" fillId="7" borderId="9" xfId="1" applyNumberFormat="1" applyFont="1" applyFill="1" applyBorder="1" applyAlignment="1">
      <alignment vertical="center" wrapText="1"/>
    </xf>
    <xf numFmtId="164" fontId="21" fillId="0" borderId="0" xfId="0" applyNumberFormat="1" applyFont="1" applyFill="1" applyAlignment="1">
      <alignment horizontal="center" wrapText="1"/>
    </xf>
    <xf numFmtId="164" fontId="21" fillId="0" borderId="0" xfId="0" applyNumberFormat="1" applyFont="1" applyAlignment="1">
      <alignment horizontal="center" wrapText="1"/>
    </xf>
    <xf numFmtId="164" fontId="23" fillId="0" borderId="18" xfId="1" applyNumberFormat="1" applyFont="1" applyFill="1" applyBorder="1" applyAlignment="1">
      <alignment horizontal="center" vertical="center"/>
    </xf>
    <xf numFmtId="0" fontId="21" fillId="0" borderId="0" xfId="0" applyFont="1" applyFill="1" applyAlignment="1">
      <alignment horizontal="right"/>
    </xf>
    <xf numFmtId="14" fontId="18" fillId="0" borderId="14" xfId="1" applyNumberFormat="1" applyFont="1" applyFill="1" applyBorder="1" applyAlignment="1">
      <alignment horizontal="center" vertical="center"/>
    </xf>
    <xf numFmtId="164" fontId="23" fillId="2" borderId="2" xfId="1" applyNumberFormat="1" applyFont="1" applyFill="1" applyBorder="1" applyAlignment="1">
      <alignment horizontal="center" vertical="center"/>
    </xf>
    <xf numFmtId="43" fontId="18" fillId="0" borderId="0" xfId="1" applyFont="1" applyAlignment="1">
      <alignment horizontal="left"/>
    </xf>
    <xf numFmtId="164" fontId="21" fillId="0" borderId="15" xfId="1" applyNumberFormat="1" applyFont="1" applyBorder="1"/>
    <xf numFmtId="164" fontId="34" fillId="0" borderId="0" xfId="1" applyNumberFormat="1" applyFont="1" applyFill="1" applyAlignment="1">
      <alignment horizontal="right"/>
    </xf>
    <xf numFmtId="164" fontId="24" fillId="0" borderId="0" xfId="1" applyNumberFormat="1" applyFont="1" applyFill="1" applyAlignment="1">
      <alignment horizontal="right"/>
    </xf>
    <xf numFmtId="0" fontId="21" fillId="4" borderId="1" xfId="0" applyFont="1" applyFill="1" applyBorder="1"/>
    <xf numFmtId="164" fontId="20" fillId="6" borderId="10" xfId="1" applyNumberFormat="1" applyFont="1" applyFill="1" applyBorder="1" applyAlignment="1">
      <alignment horizontal="center" vertical="center" wrapText="1"/>
    </xf>
    <xf numFmtId="43" fontId="42" fillId="7" borderId="0" xfId="1" applyFont="1" applyFill="1"/>
    <xf numFmtId="164" fontId="34" fillId="3" borderId="0" xfId="1" applyNumberFormat="1" applyFont="1" applyFill="1"/>
    <xf numFmtId="164" fontId="34" fillId="3" borderId="0" xfId="0" applyNumberFormat="1" applyFont="1" applyFill="1"/>
    <xf numFmtId="164" fontId="21" fillId="2" borderId="1" xfId="1" applyNumberFormat="1" applyFont="1" applyFill="1" applyBorder="1"/>
    <xf numFmtId="164" fontId="21" fillId="0" borderId="0" xfId="0" applyNumberFormat="1" applyFont="1"/>
    <xf numFmtId="164" fontId="12" fillId="0" borderId="1" xfId="1" applyNumberFormat="1" applyFont="1" applyFill="1" applyBorder="1"/>
    <xf numFmtId="164" fontId="27" fillId="6" borderId="0" xfId="1" applyNumberFormat="1" applyFont="1" applyFill="1" applyAlignment="1">
      <alignment horizontal="left"/>
    </xf>
    <xf numFmtId="43" fontId="21" fillId="0" borderId="1" xfId="0" applyNumberFormat="1" applyFont="1" applyFill="1" applyBorder="1"/>
    <xf numFmtId="164" fontId="20" fillId="0" borderId="27" xfId="1" applyNumberFormat="1" applyFont="1" applyBorder="1" applyAlignment="1">
      <alignment horizontal="center" vertical="center" wrapText="1"/>
    </xf>
    <xf numFmtId="164" fontId="20" fillId="7" borderId="10" xfId="1" applyNumberFormat="1" applyFont="1" applyFill="1" applyBorder="1" applyAlignment="1">
      <alignment vertical="center" wrapText="1"/>
    </xf>
    <xf numFmtId="164" fontId="23" fillId="5" borderId="1" xfId="1" applyNumberFormat="1" applyFont="1" applyFill="1" applyBorder="1" applyAlignment="1">
      <alignment horizontal="center" vertical="center" wrapText="1"/>
    </xf>
    <xf numFmtId="164" fontId="18" fillId="5" borderId="3" xfId="1" applyNumberFormat="1" applyFont="1" applyFill="1" applyBorder="1" applyAlignment="1">
      <alignment horizontal="right" vertical="center"/>
    </xf>
    <xf numFmtId="164" fontId="36" fillId="2" borderId="2" xfId="1" applyNumberFormat="1" applyFont="1" applyFill="1" applyBorder="1" applyAlignment="1">
      <alignment horizontal="center" vertical="center"/>
    </xf>
    <xf numFmtId="164" fontId="21" fillId="0" borderId="0" xfId="1" applyNumberFormat="1" applyFont="1" applyAlignment="1">
      <alignment horizontal="right"/>
    </xf>
    <xf numFmtId="164" fontId="20" fillId="4" borderId="19" xfId="1" applyNumberFormat="1" applyFont="1" applyFill="1" applyBorder="1" applyAlignment="1">
      <alignment vertical="center" wrapText="1"/>
    </xf>
    <xf numFmtId="43" fontId="33" fillId="0" borderId="0" xfId="1" applyFont="1" applyFill="1"/>
    <xf numFmtId="164" fontId="30" fillId="0" borderId="9" xfId="1" applyNumberFormat="1" applyFont="1" applyFill="1" applyBorder="1" applyAlignment="1">
      <alignment horizontal="center" vertical="center" wrapText="1"/>
    </xf>
    <xf numFmtId="0" fontId="30" fillId="0" borderId="9" xfId="1" applyNumberFormat="1" applyFont="1" applyFill="1" applyBorder="1" applyAlignment="1">
      <alignment horizontal="center" vertical="center" wrapText="1"/>
    </xf>
    <xf numFmtId="14" fontId="30" fillId="0" borderId="9" xfId="1" applyNumberFormat="1" applyFont="1" applyFill="1" applyBorder="1" applyAlignment="1">
      <alignment horizontal="center" vertical="center" wrapText="1"/>
    </xf>
    <xf numFmtId="14" fontId="30" fillId="7" borderId="9" xfId="1" applyNumberFormat="1" applyFont="1" applyFill="1" applyBorder="1" applyAlignment="1">
      <alignment horizontal="center" vertical="center" wrapText="1"/>
    </xf>
    <xf numFmtId="43" fontId="30" fillId="0" borderId="9" xfId="1" applyFont="1" applyFill="1" applyBorder="1" applyAlignment="1">
      <alignment horizontal="center" vertical="center" wrapText="1"/>
    </xf>
    <xf numFmtId="43" fontId="33" fillId="0" borderId="0" xfId="1" applyFont="1" applyFill="1" applyAlignment="1">
      <alignment wrapText="1"/>
    </xf>
    <xf numFmtId="0" fontId="33" fillId="0" borderId="0" xfId="0" applyFont="1"/>
    <xf numFmtId="164" fontId="30" fillId="0" borderId="13" xfId="1" applyNumberFormat="1" applyFont="1" applyFill="1" applyBorder="1" applyAlignment="1">
      <alignment horizontal="right"/>
    </xf>
    <xf numFmtId="43" fontId="30" fillId="0" borderId="13" xfId="1" applyFont="1" applyFill="1" applyBorder="1" applyAlignment="1">
      <alignment horizontal="right"/>
    </xf>
    <xf numFmtId="43" fontId="30" fillId="0" borderId="13" xfId="1" applyFont="1" applyFill="1" applyBorder="1" applyAlignment="1">
      <alignment horizontal="center" wrapText="1"/>
    </xf>
    <xf numFmtId="43" fontId="30" fillId="0" borderId="0" xfId="1" applyFont="1" applyFill="1" applyBorder="1" applyAlignment="1">
      <alignment horizontal="center" wrapText="1"/>
    </xf>
    <xf numFmtId="164" fontId="33" fillId="0" borderId="0" xfId="1" applyNumberFormat="1" applyFont="1"/>
    <xf numFmtId="0" fontId="33" fillId="0" borderId="0" xfId="0" applyNumberFormat="1" applyFont="1" applyAlignment="1">
      <alignment horizontal="left"/>
    </xf>
    <xf numFmtId="43" fontId="33" fillId="0" borderId="0" xfId="1" applyFont="1"/>
    <xf numFmtId="43" fontId="45" fillId="0" borderId="0" xfId="1" applyFont="1"/>
    <xf numFmtId="0" fontId="33" fillId="0" borderId="0" xfId="0" applyFont="1" applyAlignment="1">
      <alignment horizontal="center" wrapText="1"/>
    </xf>
    <xf numFmtId="0" fontId="45" fillId="0" borderId="0" xfId="0" applyFont="1" applyFill="1" applyAlignment="1">
      <alignment wrapText="1"/>
    </xf>
    <xf numFmtId="0" fontId="33" fillId="0" borderId="0" xfId="0" applyFont="1" applyFill="1" applyAlignment="1">
      <alignment horizontal="center" wrapText="1"/>
    </xf>
    <xf numFmtId="0" fontId="37" fillId="7" borderId="0" xfId="0" applyFont="1" applyFill="1" applyAlignment="1"/>
    <xf numFmtId="0" fontId="45" fillId="0" borderId="0" xfId="0" applyFont="1" applyFill="1" applyAlignment="1"/>
    <xf numFmtId="43" fontId="46" fillId="7" borderId="0" xfId="1" applyFont="1" applyFill="1"/>
    <xf numFmtId="43" fontId="47" fillId="0" borderId="0" xfId="1" applyFont="1"/>
    <xf numFmtId="43" fontId="33" fillId="7" borderId="0" xfId="1" applyFont="1" applyFill="1"/>
    <xf numFmtId="164" fontId="33" fillId="0" borderId="1" xfId="1" applyNumberFormat="1" applyFont="1" applyFill="1" applyBorder="1" applyAlignment="1">
      <alignment wrapText="1"/>
    </xf>
    <xf numFmtId="0" fontId="33" fillId="0" borderId="14" xfId="1" applyNumberFormat="1" applyFont="1" applyFill="1" applyBorder="1" applyAlignment="1">
      <alignment horizontal="left" wrapText="1"/>
    </xf>
    <xf numFmtId="164" fontId="46" fillId="0" borderId="1" xfId="1" applyNumberFormat="1" applyFont="1" applyFill="1" applyBorder="1"/>
    <xf numFmtId="164" fontId="46" fillId="0" borderId="14" xfId="1" applyNumberFormat="1" applyFont="1" applyFill="1" applyBorder="1"/>
    <xf numFmtId="43" fontId="47" fillId="0" borderId="14" xfId="1" applyFont="1" applyFill="1" applyBorder="1"/>
    <xf numFmtId="43" fontId="46" fillId="0" borderId="14" xfId="1" applyFont="1" applyFill="1" applyBorder="1"/>
    <xf numFmtId="0" fontId="47" fillId="0" borderId="1" xfId="0" applyFont="1" applyFill="1" applyBorder="1" applyAlignment="1">
      <alignment horizontal="center" wrapText="1"/>
    </xf>
    <xf numFmtId="165" fontId="47" fillId="0" borderId="1" xfId="1" applyNumberFormat="1" applyFont="1" applyFill="1" applyBorder="1" applyAlignment="1">
      <alignment horizontal="center" wrapText="1"/>
    </xf>
    <xf numFmtId="164" fontId="33" fillId="0" borderId="1" xfId="1" applyNumberFormat="1" applyFont="1" applyFill="1" applyBorder="1" applyAlignment="1">
      <alignment horizontal="center" wrapText="1"/>
    </xf>
    <xf numFmtId="0" fontId="33" fillId="0" borderId="1" xfId="0" applyFont="1" applyFill="1" applyBorder="1" applyAlignment="1">
      <alignment horizontal="center" wrapText="1"/>
    </xf>
    <xf numFmtId="0" fontId="33" fillId="0" borderId="0" xfId="0" applyFont="1" applyFill="1"/>
    <xf numFmtId="164" fontId="33" fillId="2" borderId="1" xfId="1" applyNumberFormat="1" applyFont="1" applyFill="1" applyBorder="1" applyAlignment="1">
      <alignment wrapText="1"/>
    </xf>
    <xf numFmtId="164" fontId="21" fillId="2" borderId="1" xfId="1" applyNumberFormat="1" applyFont="1" applyFill="1" applyBorder="1" applyAlignment="1">
      <alignment wrapText="1"/>
    </xf>
    <xf numFmtId="43" fontId="47" fillId="0" borderId="0" xfId="1" applyFont="1" applyFill="1"/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164" fontId="39" fillId="2" borderId="2" xfId="1" applyNumberFormat="1" applyFont="1" applyFill="1" applyBorder="1" applyAlignment="1">
      <alignment horizontal="center" vertical="center"/>
    </xf>
    <xf numFmtId="164" fontId="36" fillId="2" borderId="1" xfId="1" applyNumberFormat="1" applyFont="1" applyFill="1" applyBorder="1" applyAlignment="1">
      <alignment horizontal="center" vertical="center"/>
    </xf>
    <xf numFmtId="164" fontId="18" fillId="0" borderId="14" xfId="0" applyNumberFormat="1" applyFont="1" applyFill="1" applyBorder="1" applyAlignment="1">
      <alignment horizontal="center" wrapText="1"/>
    </xf>
    <xf numFmtId="164" fontId="42" fillId="4" borderId="1" xfId="1" applyNumberFormat="1" applyFont="1" applyFill="1" applyBorder="1" applyAlignment="1">
      <alignment horizontal="center"/>
    </xf>
    <xf numFmtId="164" fontId="20" fillId="0" borderId="10" xfId="1" applyNumberFormat="1" applyFont="1" applyFill="1" applyBorder="1" applyAlignment="1">
      <alignment vertical="center" wrapText="1"/>
    </xf>
    <xf numFmtId="164" fontId="20" fillId="0" borderId="19" xfId="1" applyNumberFormat="1" applyFont="1" applyFill="1" applyBorder="1" applyAlignment="1">
      <alignment vertical="center" wrapText="1"/>
    </xf>
    <xf numFmtId="164" fontId="23" fillId="2" borderId="1" xfId="1" applyNumberFormat="1" applyFont="1" applyFill="1" applyBorder="1" applyAlignment="1">
      <alignment horizontal="center" vertical="center"/>
    </xf>
    <xf numFmtId="164" fontId="23" fillId="2" borderId="18" xfId="1" applyNumberFormat="1" applyFont="1" applyFill="1" applyBorder="1" applyAlignment="1">
      <alignment horizontal="center" vertical="center"/>
    </xf>
    <xf numFmtId="164" fontId="21" fillId="13" borderId="14" xfId="1" applyNumberFormat="1" applyFont="1" applyFill="1" applyBorder="1"/>
    <xf numFmtId="43" fontId="30" fillId="10" borderId="0" xfId="1" applyFont="1" applyFill="1" applyBorder="1" applyAlignment="1">
      <alignment horizontal="center" vertical="center" wrapText="1"/>
    </xf>
    <xf numFmtId="164" fontId="20" fillId="9" borderId="10" xfId="1" applyNumberFormat="1" applyFont="1" applyFill="1" applyBorder="1" applyAlignment="1">
      <alignment horizontal="center" vertical="center" wrapText="1"/>
    </xf>
    <xf numFmtId="164" fontId="19" fillId="13" borderId="1" xfId="1" applyNumberFormat="1" applyFont="1" applyFill="1" applyBorder="1" applyAlignment="1"/>
    <xf numFmtId="164" fontId="19" fillId="9" borderId="1" xfId="1" applyNumberFormat="1" applyFont="1" applyFill="1" applyBorder="1" applyAlignment="1"/>
    <xf numFmtId="14" fontId="18" fillId="0" borderId="14" xfId="1" applyNumberFormat="1" applyFont="1" applyFill="1" applyBorder="1" applyAlignment="1">
      <alignment vertical="center"/>
    </xf>
    <xf numFmtId="0" fontId="18" fillId="0" borderId="14" xfId="0" applyFont="1" applyFill="1" applyBorder="1"/>
    <xf numFmtId="164" fontId="42" fillId="0" borderId="14" xfId="1" applyNumberFormat="1" applyFont="1" applyFill="1" applyBorder="1"/>
    <xf numFmtId="0" fontId="42" fillId="0" borderId="14" xfId="0" applyFont="1" applyFill="1" applyBorder="1"/>
    <xf numFmtId="14" fontId="18" fillId="0" borderId="9" xfId="1" applyNumberFormat="1" applyFont="1" applyFill="1" applyBorder="1" applyAlignment="1">
      <alignment horizontal="center" vertical="center"/>
    </xf>
    <xf numFmtId="0" fontId="18" fillId="0" borderId="9" xfId="0" applyFont="1" applyFill="1" applyBorder="1"/>
    <xf numFmtId="164" fontId="18" fillId="0" borderId="9" xfId="1" applyNumberFormat="1" applyFont="1" applyFill="1" applyBorder="1"/>
    <xf numFmtId="164" fontId="18" fillId="0" borderId="9" xfId="1" applyNumberFormat="1" applyFont="1" applyFill="1" applyBorder="1" applyAlignment="1">
      <alignment horizontal="right" vertical="center"/>
    </xf>
    <xf numFmtId="164" fontId="21" fillId="0" borderId="9" xfId="1" applyNumberFormat="1" applyFont="1" applyFill="1" applyBorder="1"/>
    <xf numFmtId="164" fontId="42" fillId="0" borderId="9" xfId="1" applyNumberFormat="1" applyFont="1" applyFill="1" applyBorder="1"/>
    <xf numFmtId="0" fontId="42" fillId="0" borderId="9" xfId="0" applyFont="1" applyFill="1" applyBorder="1"/>
    <xf numFmtId="164" fontId="23" fillId="2" borderId="8" xfId="1" applyNumberFormat="1" applyFont="1" applyFill="1" applyBorder="1" applyAlignment="1">
      <alignment horizontal="center" vertical="center"/>
    </xf>
    <xf numFmtId="0" fontId="21" fillId="0" borderId="14" xfId="0" applyFont="1" applyBorder="1"/>
    <xf numFmtId="164" fontId="21" fillId="0" borderId="14" xfId="1" applyNumberFormat="1" applyFont="1" applyBorder="1"/>
    <xf numFmtId="0" fontId="21" fillId="0" borderId="14" xfId="0" applyFont="1" applyFill="1" applyBorder="1"/>
    <xf numFmtId="164" fontId="21" fillId="0" borderId="9" xfId="1" applyNumberFormat="1" applyFont="1" applyBorder="1"/>
    <xf numFmtId="0" fontId="21" fillId="4" borderId="9" xfId="0" applyFont="1" applyFill="1" applyBorder="1"/>
    <xf numFmtId="14" fontId="21" fillId="0" borderId="9" xfId="0" applyNumberFormat="1" applyFont="1" applyFill="1" applyBorder="1"/>
    <xf numFmtId="0" fontId="21" fillId="0" borderId="9" xfId="0" applyFont="1" applyFill="1" applyBorder="1"/>
    <xf numFmtId="164" fontId="21" fillId="2" borderId="9" xfId="1" applyNumberFormat="1" applyFont="1" applyFill="1" applyBorder="1"/>
    <xf numFmtId="0" fontId="42" fillId="0" borderId="14" xfId="0" applyFont="1" applyFill="1" applyBorder="1" applyAlignment="1">
      <alignment horizontal="center" wrapText="1"/>
    </xf>
    <xf numFmtId="0" fontId="21" fillId="0" borderId="14" xfId="0" applyFont="1" applyFill="1" applyBorder="1" applyAlignment="1">
      <alignment horizontal="center" wrapText="1"/>
    </xf>
    <xf numFmtId="0" fontId="18" fillId="0" borderId="9" xfId="0" applyFont="1" applyFill="1" applyBorder="1" applyAlignment="1">
      <alignment horizontal="left"/>
    </xf>
    <xf numFmtId="0" fontId="42" fillId="0" borderId="9" xfId="0" applyFont="1" applyFill="1" applyBorder="1" applyAlignment="1">
      <alignment horizontal="center" wrapText="1"/>
    </xf>
    <xf numFmtId="0" fontId="21" fillId="0" borderId="9" xfId="0" applyFont="1" applyFill="1" applyBorder="1" applyAlignment="1">
      <alignment horizontal="center" wrapText="1"/>
    </xf>
    <xf numFmtId="164" fontId="36" fillId="0" borderId="18" xfId="1" applyNumberFormat="1" applyFont="1" applyFill="1" applyBorder="1" applyAlignment="1">
      <alignment horizontal="center" vertical="center"/>
    </xf>
    <xf numFmtId="0" fontId="36" fillId="0" borderId="24" xfId="1" applyNumberFormat="1" applyFont="1" applyFill="1" applyBorder="1" applyAlignment="1">
      <alignment horizontal="left" vertical="center"/>
    </xf>
    <xf numFmtId="164" fontId="36" fillId="0" borderId="24" xfId="1" applyNumberFormat="1" applyFont="1" applyFill="1" applyBorder="1" applyAlignment="1">
      <alignment horizontal="center" vertical="center"/>
    </xf>
    <xf numFmtId="164" fontId="12" fillId="0" borderId="14" xfId="1" applyNumberFormat="1" applyFont="1" applyFill="1" applyBorder="1"/>
    <xf numFmtId="0" fontId="12" fillId="0" borderId="14" xfId="0" applyFont="1" applyFill="1" applyBorder="1" applyAlignment="1">
      <alignment horizontal="center" wrapText="1"/>
    </xf>
    <xf numFmtId="164" fontId="36" fillId="2" borderId="8" xfId="1" applyNumberFormat="1" applyFont="1" applyFill="1" applyBorder="1" applyAlignment="1">
      <alignment horizontal="center" vertical="center"/>
    </xf>
    <xf numFmtId="0" fontId="36" fillId="0" borderId="31" xfId="1" applyNumberFormat="1" applyFont="1" applyFill="1" applyBorder="1" applyAlignment="1">
      <alignment horizontal="left" vertical="center"/>
    </xf>
    <xf numFmtId="164" fontId="36" fillId="0" borderId="31" xfId="1" applyNumberFormat="1" applyFont="1" applyFill="1" applyBorder="1" applyAlignment="1">
      <alignment horizontal="center" vertical="center"/>
    </xf>
    <xf numFmtId="164" fontId="36" fillId="0" borderId="9" xfId="1" applyNumberFormat="1" applyFont="1" applyFill="1" applyBorder="1" applyAlignment="1">
      <alignment horizontal="center" vertical="center"/>
    </xf>
    <xf numFmtId="164" fontId="17" fillId="0" borderId="9" xfId="1" applyNumberFormat="1" applyFont="1" applyFill="1" applyBorder="1" applyAlignment="1">
      <alignment horizontal="right" vertical="center"/>
    </xf>
    <xf numFmtId="0" fontId="12" fillId="0" borderId="9" xfId="0" applyFont="1" applyFill="1" applyBorder="1" applyAlignment="1">
      <alignment horizontal="center" wrapText="1"/>
    </xf>
    <xf numFmtId="0" fontId="17" fillId="0" borderId="14" xfId="0" applyFont="1" applyFill="1" applyBorder="1" applyAlignment="1">
      <alignment horizontal="left"/>
    </xf>
    <xf numFmtId="164" fontId="11" fillId="0" borderId="14" xfId="1" applyNumberFormat="1" applyFont="1" applyFill="1" applyBorder="1"/>
    <xf numFmtId="164" fontId="17" fillId="0" borderId="14" xfId="1" applyNumberFormat="1" applyFont="1" applyFill="1" applyBorder="1"/>
    <xf numFmtId="0" fontId="41" fillId="0" borderId="14" xfId="0" applyFont="1" applyFill="1" applyBorder="1" applyAlignment="1">
      <alignment horizontal="center" wrapText="1"/>
    </xf>
    <xf numFmtId="0" fontId="17" fillId="0" borderId="9" xfId="0" applyFont="1" applyFill="1" applyBorder="1" applyAlignment="1">
      <alignment horizontal="left"/>
    </xf>
    <xf numFmtId="164" fontId="17" fillId="0" borderId="9" xfId="1" applyNumberFormat="1" applyFont="1" applyFill="1" applyBorder="1"/>
    <xf numFmtId="0" fontId="41" fillId="0" borderId="9" xfId="0" applyFont="1" applyFill="1" applyBorder="1" applyAlignment="1">
      <alignment horizontal="center" wrapText="1"/>
    </xf>
    <xf numFmtId="164" fontId="18" fillId="0" borderId="22" xfId="1" applyNumberFormat="1" applyFont="1" applyFill="1" applyBorder="1" applyAlignment="1">
      <alignment horizontal="right" vertical="center"/>
    </xf>
    <xf numFmtId="164" fontId="23" fillId="0" borderId="9" xfId="1" applyNumberFormat="1" applyFont="1" applyFill="1" applyBorder="1" applyAlignment="1">
      <alignment horizontal="center" vertical="center"/>
    </xf>
    <xf numFmtId="164" fontId="23" fillId="0" borderId="9" xfId="1" applyNumberFormat="1" applyFont="1" applyFill="1" applyBorder="1" applyAlignment="1">
      <alignment horizontal="center" vertical="center" wrapText="1"/>
    </xf>
    <xf numFmtId="164" fontId="18" fillId="0" borderId="26" xfId="1" applyNumberFormat="1" applyFont="1" applyFill="1" applyBorder="1" applyAlignment="1">
      <alignment horizontal="right" vertical="center"/>
    </xf>
    <xf numFmtId="164" fontId="42" fillId="0" borderId="9" xfId="1" applyNumberFormat="1" applyFont="1" applyFill="1" applyBorder="1" applyAlignment="1">
      <alignment horizontal="center" wrapText="1"/>
    </xf>
    <xf numFmtId="164" fontId="21" fillId="0" borderId="14" xfId="1" applyNumberFormat="1" applyFont="1" applyFill="1" applyBorder="1" applyAlignment="1">
      <alignment wrapText="1"/>
    </xf>
    <xf numFmtId="14" fontId="21" fillId="0" borderId="14" xfId="1" applyNumberFormat="1" applyFont="1" applyFill="1" applyBorder="1" applyAlignment="1">
      <alignment wrapText="1"/>
    </xf>
    <xf numFmtId="165" fontId="21" fillId="0" borderId="14" xfId="1" applyNumberFormat="1" applyFont="1" applyFill="1" applyBorder="1" applyAlignment="1">
      <alignment wrapText="1"/>
    </xf>
    <xf numFmtId="164" fontId="21" fillId="2" borderId="9" xfId="1" applyNumberFormat="1" applyFont="1" applyFill="1" applyBorder="1" applyAlignment="1">
      <alignment wrapText="1"/>
    </xf>
    <xf numFmtId="0" fontId="21" fillId="0" borderId="9" xfId="1" applyNumberFormat="1" applyFont="1" applyFill="1" applyBorder="1" applyAlignment="1">
      <alignment horizontal="left" wrapText="1"/>
    </xf>
    <xf numFmtId="43" fontId="18" fillId="0" borderId="9" xfId="1" applyFont="1" applyFill="1" applyBorder="1"/>
    <xf numFmtId="43" fontId="42" fillId="0" borderId="9" xfId="1" applyFont="1" applyFill="1" applyBorder="1"/>
    <xf numFmtId="14" fontId="21" fillId="0" borderId="9" xfId="1" applyNumberFormat="1" applyFont="1" applyFill="1" applyBorder="1" applyAlignment="1">
      <alignment wrapText="1"/>
    </xf>
    <xf numFmtId="164" fontId="21" fillId="0" borderId="9" xfId="1" applyNumberFormat="1" applyFont="1" applyFill="1" applyBorder="1" applyAlignment="1">
      <alignment wrapText="1"/>
    </xf>
    <xf numFmtId="165" fontId="21" fillId="0" borderId="9" xfId="1" applyNumberFormat="1" applyFont="1" applyFill="1" applyBorder="1" applyAlignment="1">
      <alignment wrapText="1"/>
    </xf>
    <xf numFmtId="164" fontId="33" fillId="0" borderId="14" xfId="1" applyNumberFormat="1" applyFont="1" applyFill="1" applyBorder="1" applyAlignment="1">
      <alignment wrapText="1"/>
    </xf>
    <xf numFmtId="0" fontId="47" fillId="0" borderId="14" xfId="0" applyFont="1" applyFill="1" applyBorder="1" applyAlignment="1">
      <alignment horizontal="center" wrapText="1"/>
    </xf>
    <xf numFmtId="165" fontId="47" fillId="0" borderId="14" xfId="1" applyNumberFormat="1" applyFont="1" applyFill="1" applyBorder="1" applyAlignment="1">
      <alignment horizontal="center" wrapText="1"/>
    </xf>
    <xf numFmtId="0" fontId="33" fillId="0" borderId="14" xfId="0" applyFont="1" applyFill="1" applyBorder="1" applyAlignment="1">
      <alignment horizontal="center" wrapText="1"/>
    </xf>
    <xf numFmtId="164" fontId="33" fillId="2" borderId="9" xfId="1" applyNumberFormat="1" applyFont="1" applyFill="1" applyBorder="1" applyAlignment="1">
      <alignment wrapText="1"/>
    </xf>
    <xf numFmtId="0" fontId="33" fillId="0" borderId="9" xfId="1" applyNumberFormat="1" applyFont="1" applyFill="1" applyBorder="1" applyAlignment="1">
      <alignment horizontal="left" wrapText="1"/>
    </xf>
    <xf numFmtId="164" fontId="46" fillId="0" borderId="9" xfId="1" applyNumberFormat="1" applyFont="1" applyFill="1" applyBorder="1"/>
    <xf numFmtId="43" fontId="47" fillId="0" borderId="9" xfId="1" applyFont="1" applyFill="1" applyBorder="1"/>
    <xf numFmtId="43" fontId="46" fillId="0" borderId="9" xfId="1" applyFont="1" applyFill="1" applyBorder="1"/>
    <xf numFmtId="0" fontId="47" fillId="0" borderId="9" xfId="0" applyFont="1" applyFill="1" applyBorder="1" applyAlignment="1">
      <alignment horizontal="center" wrapText="1"/>
    </xf>
    <xf numFmtId="165" fontId="47" fillId="0" borderId="9" xfId="1" applyNumberFormat="1" applyFont="1" applyFill="1" applyBorder="1" applyAlignment="1">
      <alignment horizontal="center" wrapText="1"/>
    </xf>
    <xf numFmtId="164" fontId="33" fillId="0" borderId="9" xfId="1" applyNumberFormat="1" applyFont="1" applyFill="1" applyBorder="1" applyAlignment="1">
      <alignment horizontal="center" wrapText="1"/>
    </xf>
    <xf numFmtId="43" fontId="21" fillId="0" borderId="14" xfId="0" applyNumberFormat="1" applyFont="1" applyFill="1" applyBorder="1"/>
    <xf numFmtId="43" fontId="21" fillId="0" borderId="9" xfId="0" applyNumberFormat="1" applyFont="1" applyFill="1" applyBorder="1"/>
    <xf numFmtId="164" fontId="39" fillId="0" borderId="18" xfId="1" applyNumberFormat="1" applyFont="1" applyFill="1" applyBorder="1" applyAlignment="1">
      <alignment horizontal="center" vertical="center"/>
    </xf>
    <xf numFmtId="0" fontId="40" fillId="0" borderId="14" xfId="0" applyFont="1" applyFill="1" applyBorder="1" applyAlignment="1">
      <alignment horizontal="left"/>
    </xf>
    <xf numFmtId="164" fontId="39" fillId="2" borderId="8" xfId="1" applyNumberFormat="1" applyFont="1" applyFill="1" applyBorder="1" applyAlignment="1">
      <alignment horizontal="center" vertical="center"/>
    </xf>
    <xf numFmtId="0" fontId="40" fillId="0" borderId="9" xfId="0" applyFont="1" applyFill="1" applyBorder="1" applyAlignment="1">
      <alignment horizontal="left"/>
    </xf>
    <xf numFmtId="164" fontId="40" fillId="0" borderId="9" xfId="1" applyNumberFormat="1" applyFont="1" applyFill="1" applyBorder="1"/>
    <xf numFmtId="164" fontId="40" fillId="4" borderId="9" xfId="1" applyNumberFormat="1" applyFont="1" applyFill="1" applyBorder="1" applyAlignment="1">
      <alignment horizontal="center" vertical="center"/>
    </xf>
    <xf numFmtId="164" fontId="35" fillId="0" borderId="9" xfId="1" applyNumberFormat="1" applyFont="1" applyFill="1" applyBorder="1"/>
    <xf numFmtId="164" fontId="36" fillId="0" borderId="14" xfId="1" applyNumberFormat="1" applyFont="1" applyFill="1" applyBorder="1" applyAlignment="1">
      <alignment horizontal="center" vertical="center"/>
    </xf>
    <xf numFmtId="0" fontId="36" fillId="0" borderId="14" xfId="1" applyNumberFormat="1" applyFont="1" applyFill="1" applyBorder="1" applyAlignment="1">
      <alignment horizontal="left" vertical="center"/>
    </xf>
    <xf numFmtId="164" fontId="8" fillId="0" borderId="14" xfId="1" applyNumberFormat="1" applyFont="1" applyFill="1" applyBorder="1" applyAlignment="1">
      <alignment horizontal="center" wrapText="1"/>
    </xf>
    <xf numFmtId="0" fontId="7" fillId="0" borderId="14" xfId="0" applyFont="1" applyFill="1" applyBorder="1" applyAlignment="1">
      <alignment horizontal="center" wrapText="1"/>
    </xf>
    <xf numFmtId="164" fontId="36" fillId="2" borderId="9" xfId="1" applyNumberFormat="1" applyFont="1" applyFill="1" applyBorder="1" applyAlignment="1">
      <alignment horizontal="center" vertical="center"/>
    </xf>
    <xf numFmtId="0" fontId="36" fillId="0" borderId="9" xfId="1" applyNumberFormat="1" applyFont="1" applyFill="1" applyBorder="1" applyAlignment="1">
      <alignment horizontal="left" vertical="center"/>
    </xf>
    <xf numFmtId="0" fontId="23" fillId="0" borderId="14" xfId="1" applyNumberFormat="1" applyFont="1" applyFill="1" applyBorder="1" applyAlignment="1">
      <alignment horizontal="left" vertical="center"/>
    </xf>
    <xf numFmtId="164" fontId="23" fillId="2" borderId="9" xfId="1" applyNumberFormat="1" applyFont="1" applyFill="1" applyBorder="1" applyAlignment="1">
      <alignment horizontal="center" vertical="center"/>
    </xf>
    <xf numFmtId="0" fontId="23" fillId="0" borderId="9" xfId="1" applyNumberFormat="1" applyFont="1" applyFill="1" applyBorder="1" applyAlignment="1">
      <alignment horizontal="left" vertical="center"/>
    </xf>
    <xf numFmtId="164" fontId="18" fillId="0" borderId="9" xfId="0" applyNumberFormat="1" applyFont="1" applyFill="1" applyBorder="1" applyAlignment="1">
      <alignment horizontal="center" wrapText="1"/>
    </xf>
    <xf numFmtId="164" fontId="21" fillId="0" borderId="9" xfId="0" applyNumberFormat="1" applyFont="1" applyFill="1" applyBorder="1" applyAlignment="1">
      <alignment horizontal="center" wrapText="1"/>
    </xf>
    <xf numFmtId="164" fontId="21" fillId="0" borderId="9" xfId="1" applyNumberFormat="1" applyFont="1" applyFill="1" applyBorder="1" applyAlignment="1">
      <alignment horizontal="center" wrapText="1"/>
    </xf>
    <xf numFmtId="43" fontId="21" fillId="0" borderId="9" xfId="1" applyFont="1" applyFill="1" applyBorder="1"/>
    <xf numFmtId="164" fontId="23" fillId="0" borderId="14" xfId="1" applyNumberFormat="1" applyFont="1" applyFill="1" applyBorder="1" applyAlignment="1">
      <alignment horizontal="right" vertical="center"/>
    </xf>
    <xf numFmtId="164" fontId="23" fillId="0" borderId="9" xfId="1" applyNumberFormat="1" applyFont="1" applyFill="1" applyBorder="1" applyAlignment="1">
      <alignment horizontal="right" vertical="center"/>
    </xf>
    <xf numFmtId="164" fontId="42" fillId="0" borderId="9" xfId="1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wrapText="1"/>
    </xf>
    <xf numFmtId="164" fontId="36" fillId="6" borderId="1" xfId="1" applyNumberFormat="1" applyFont="1" applyFill="1" applyBorder="1" applyAlignment="1">
      <alignment horizontal="center" vertical="center"/>
    </xf>
    <xf numFmtId="164" fontId="17" fillId="6" borderId="1" xfId="1" applyNumberFormat="1" applyFont="1" applyFill="1" applyBorder="1" applyAlignment="1">
      <alignment horizontal="right" vertical="center"/>
    </xf>
    <xf numFmtId="164" fontId="18" fillId="6" borderId="3" xfId="1" applyNumberFormat="1" applyFont="1" applyFill="1" applyBorder="1" applyAlignment="1">
      <alignment horizontal="right" vertical="center"/>
    </xf>
    <xf numFmtId="164" fontId="27" fillId="8" borderId="0" xfId="1" applyNumberFormat="1" applyFont="1" applyFill="1" applyAlignment="1"/>
    <xf numFmtId="164" fontId="27" fillId="0" borderId="0" xfId="1" applyNumberFormat="1" applyFont="1" applyFill="1" applyAlignment="1"/>
    <xf numFmtId="43" fontId="21" fillId="0" borderId="9" xfId="1" applyFont="1" applyFill="1" applyBorder="1" applyAlignment="1">
      <alignment wrapText="1"/>
    </xf>
    <xf numFmtId="164" fontId="1" fillId="0" borderId="1" xfId="1" applyNumberFormat="1" applyFont="1" applyFill="1" applyBorder="1" applyAlignment="1">
      <alignment horizontal="center" wrapText="1"/>
    </xf>
    <xf numFmtId="0" fontId="1" fillId="0" borderId="9" xfId="0" applyFont="1" applyFill="1" applyBorder="1" applyAlignment="1">
      <alignment horizontal="center" wrapText="1"/>
    </xf>
    <xf numFmtId="164" fontId="1" fillId="0" borderId="9" xfId="1" applyNumberFormat="1" applyFont="1" applyFill="1" applyBorder="1" applyAlignment="1">
      <alignment horizontal="center" wrapText="1"/>
    </xf>
    <xf numFmtId="164" fontId="21" fillId="13" borderId="9" xfId="1" applyNumberFormat="1" applyFont="1" applyFill="1" applyBorder="1"/>
    <xf numFmtId="0" fontId="42" fillId="0" borderId="1" xfId="0" applyFont="1" applyBorder="1" applyAlignment="1">
      <alignment horizontal="center"/>
    </xf>
    <xf numFmtId="164" fontId="1" fillId="0" borderId="1" xfId="1" applyNumberFormat="1" applyFont="1" applyFill="1" applyBorder="1"/>
    <xf numFmtId="164" fontId="21" fillId="5" borderId="1" xfId="1" applyNumberFormat="1" applyFont="1" applyFill="1" applyBorder="1"/>
    <xf numFmtId="164" fontId="18" fillId="7" borderId="14" xfId="1" applyNumberFormat="1" applyFont="1" applyFill="1" applyBorder="1" applyAlignment="1">
      <alignment horizontal="right" vertical="center"/>
    </xf>
    <xf numFmtId="0" fontId="18" fillId="0" borderId="0" xfId="0" applyFont="1" applyAlignment="1"/>
    <xf numFmtId="0" fontId="42" fillId="0" borderId="0" xfId="0" applyFont="1" applyFill="1" applyAlignment="1"/>
    <xf numFmtId="0" fontId="19" fillId="0" borderId="0" xfId="0" applyFont="1" applyFill="1" applyAlignment="1"/>
    <xf numFmtId="0" fontId="20" fillId="0" borderId="0" xfId="0" applyFont="1" applyAlignment="1">
      <alignment horizontal="left"/>
    </xf>
    <xf numFmtId="164" fontId="21" fillId="6" borderId="1" xfId="1" applyNumberFormat="1" applyFont="1" applyFill="1" applyBorder="1"/>
    <xf numFmtId="43" fontId="21" fillId="6" borderId="1" xfId="1" applyFont="1" applyFill="1" applyBorder="1"/>
    <xf numFmtId="164" fontId="21" fillId="0" borderId="1" xfId="0" applyNumberFormat="1" applyFont="1" applyFill="1" applyBorder="1"/>
    <xf numFmtId="164" fontId="21" fillId="6" borderId="1" xfId="0" applyNumberFormat="1" applyFont="1" applyFill="1" applyBorder="1"/>
    <xf numFmtId="164" fontId="21" fillId="2" borderId="0" xfId="1" applyNumberFormat="1" applyFont="1" applyFill="1"/>
    <xf numFmtId="164" fontId="20" fillId="0" borderId="0" xfId="1" applyNumberFormat="1" applyFont="1"/>
    <xf numFmtId="164" fontId="24" fillId="0" borderId="0" xfId="1" applyNumberFormat="1" applyFont="1" applyAlignment="1">
      <alignment horizontal="right"/>
    </xf>
    <xf numFmtId="164" fontId="33" fillId="4" borderId="10" xfId="1" applyNumberFormat="1" applyFont="1" applyFill="1" applyBorder="1" applyAlignment="1">
      <alignment horizontal="center" vertical="center" wrapText="1"/>
    </xf>
    <xf numFmtId="164" fontId="23" fillId="0" borderId="8" xfId="1" applyNumberFormat="1" applyFont="1" applyFill="1" applyBorder="1" applyAlignment="1">
      <alignment horizontal="center" vertical="center"/>
    </xf>
    <xf numFmtId="164" fontId="48" fillId="0" borderId="10" xfId="1" applyNumberFormat="1" applyFont="1" applyFill="1" applyBorder="1" applyAlignment="1">
      <alignment horizontal="center" vertical="center" wrapText="1"/>
    </xf>
    <xf numFmtId="164" fontId="48" fillId="14" borderId="10" xfId="1" applyNumberFormat="1" applyFont="1" applyFill="1" applyBorder="1" applyAlignment="1">
      <alignment horizontal="center" vertical="center" wrapText="1"/>
    </xf>
    <xf numFmtId="43" fontId="21" fillId="0" borderId="14" xfId="1" applyFont="1" applyBorder="1"/>
    <xf numFmtId="14" fontId="42" fillId="0" borderId="14" xfId="0" applyNumberFormat="1" applyFont="1" applyBorder="1"/>
    <xf numFmtId="43" fontId="21" fillId="0" borderId="9" xfId="1" applyFont="1" applyBorder="1"/>
    <xf numFmtId="14" fontId="42" fillId="0" borderId="9" xfId="0" applyNumberFormat="1" applyFont="1" applyBorder="1"/>
    <xf numFmtId="43" fontId="21" fillId="0" borderId="6" xfId="1" applyFont="1" applyBorder="1"/>
    <xf numFmtId="164" fontId="21" fillId="0" borderId="6" xfId="1" applyNumberFormat="1" applyFont="1" applyBorder="1"/>
    <xf numFmtId="14" fontId="42" fillId="0" borderId="6" xfId="0" applyNumberFormat="1" applyFont="1" applyBorder="1"/>
    <xf numFmtId="0" fontId="42" fillId="0" borderId="14" xfId="0" applyFont="1" applyBorder="1" applyAlignment="1">
      <alignment horizontal="center"/>
    </xf>
    <xf numFmtId="14" fontId="21" fillId="0" borderId="14" xfId="0" applyNumberFormat="1" applyFont="1" applyFill="1" applyBorder="1"/>
    <xf numFmtId="164" fontId="21" fillId="0" borderId="14" xfId="1" applyNumberFormat="1" applyFont="1" applyFill="1" applyBorder="1" applyAlignment="1">
      <alignment horizontal="center"/>
    </xf>
    <xf numFmtId="164" fontId="21" fillId="0" borderId="9" xfId="0" applyNumberFormat="1" applyFont="1" applyFill="1" applyBorder="1"/>
    <xf numFmtId="164" fontId="21" fillId="0" borderId="9" xfId="1" applyNumberFormat="1" applyFont="1" applyFill="1" applyBorder="1" applyAlignment="1">
      <alignment horizontal="center"/>
    </xf>
    <xf numFmtId="43" fontId="42" fillId="7" borderId="0" xfId="1" applyFont="1" applyFill="1" applyAlignment="1">
      <alignment horizontal="center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0" fontId="21" fillId="6" borderId="25" xfId="0" applyFont="1" applyFill="1" applyBorder="1" applyAlignment="1">
      <alignment horizontal="center" wrapText="1"/>
    </xf>
    <xf numFmtId="0" fontId="21" fillId="6" borderId="28" xfId="0" applyFont="1" applyFill="1" applyBorder="1" applyAlignment="1">
      <alignment horizontal="center" wrapText="1"/>
    </xf>
    <xf numFmtId="0" fontId="21" fillId="6" borderId="29" xfId="0" applyFont="1" applyFill="1" applyBorder="1" applyAlignment="1">
      <alignment horizontal="center" wrapText="1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2" xfId="1" applyFont="1" applyFill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right"/>
    </xf>
    <xf numFmtId="0" fontId="19" fillId="2" borderId="12" xfId="0" applyFont="1" applyFill="1" applyBorder="1" applyAlignment="1">
      <alignment horizontal="right"/>
    </xf>
    <xf numFmtId="164" fontId="20" fillId="0" borderId="5" xfId="1" applyNumberFormat="1" applyFont="1" applyBorder="1" applyAlignment="1">
      <alignment horizontal="center" vertical="center" wrapText="1"/>
    </xf>
    <xf numFmtId="164" fontId="20" fillId="0" borderId="8" xfId="1" applyNumberFormat="1" applyFont="1" applyBorder="1" applyAlignment="1">
      <alignment horizontal="center" vertical="center" wrapText="1"/>
    </xf>
    <xf numFmtId="14" fontId="20" fillId="0" borderId="6" xfId="1" applyNumberFormat="1" applyFont="1" applyBorder="1" applyAlignment="1">
      <alignment horizontal="center" vertical="center" wrapText="1"/>
    </xf>
    <xf numFmtId="14" fontId="20" fillId="0" borderId="9" xfId="1" applyNumberFormat="1" applyFont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43" fontId="20" fillId="0" borderId="4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0" fontId="21" fillId="6" borderId="25" xfId="0" applyFont="1" applyFill="1" applyBorder="1" applyAlignment="1">
      <alignment horizontal="center"/>
    </xf>
    <xf numFmtId="0" fontId="21" fillId="6" borderId="28" xfId="0" applyFont="1" applyFill="1" applyBorder="1" applyAlignment="1">
      <alignment horizontal="center"/>
    </xf>
    <xf numFmtId="0" fontId="21" fillId="6" borderId="29" xfId="0" applyFont="1" applyFill="1" applyBorder="1" applyAlignment="1">
      <alignment horizontal="center"/>
    </xf>
    <xf numFmtId="0" fontId="21" fillId="0" borderId="28" xfId="0" applyFont="1" applyBorder="1" applyAlignment="1">
      <alignment horizontal="center"/>
    </xf>
    <xf numFmtId="0" fontId="21" fillId="0" borderId="29" xfId="0" applyFont="1" applyBorder="1" applyAlignment="1">
      <alignment horizontal="center"/>
    </xf>
    <xf numFmtId="164" fontId="21" fillId="0" borderId="3" xfId="1" applyNumberFormat="1" applyFont="1" applyBorder="1" applyAlignment="1">
      <alignment horizontal="right"/>
    </xf>
    <xf numFmtId="164" fontId="21" fillId="0" borderId="12" xfId="1" applyNumberFormat="1" applyFont="1" applyBorder="1" applyAlignment="1">
      <alignment horizontal="right"/>
    </xf>
    <xf numFmtId="164" fontId="21" fillId="0" borderId="13" xfId="1" applyNumberFormat="1" applyFont="1" applyBorder="1" applyAlignment="1">
      <alignment horizontal="right"/>
    </xf>
    <xf numFmtId="0" fontId="21" fillId="2" borderId="3" xfId="0" applyFont="1" applyFill="1" applyBorder="1" applyAlignment="1">
      <alignment horizontal="center"/>
    </xf>
    <xf numFmtId="0" fontId="21" fillId="2" borderId="12" xfId="0" applyFont="1" applyFill="1" applyBorder="1" applyAlignment="1">
      <alignment horizontal="center"/>
    </xf>
    <xf numFmtId="0" fontId="26" fillId="7" borderId="25" xfId="0" applyFont="1" applyFill="1" applyBorder="1" applyAlignment="1">
      <alignment horizontal="center" wrapText="1"/>
    </xf>
    <xf numFmtId="0" fontId="26" fillId="7" borderId="28" xfId="0" applyFont="1" applyFill="1" applyBorder="1" applyAlignment="1">
      <alignment horizontal="center" wrapText="1"/>
    </xf>
    <xf numFmtId="0" fontId="26" fillId="7" borderId="29" xfId="0" applyFont="1" applyFill="1" applyBorder="1" applyAlignment="1">
      <alignment horizontal="center" wrapText="1"/>
    </xf>
    <xf numFmtId="0" fontId="26" fillId="7" borderId="21" xfId="0" applyFont="1" applyFill="1" applyBorder="1" applyAlignment="1">
      <alignment horizontal="center" wrapText="1"/>
    </xf>
    <xf numFmtId="0" fontId="26" fillId="7" borderId="30" xfId="0" applyFont="1" applyFill="1" applyBorder="1" applyAlignment="1">
      <alignment horizontal="center" wrapText="1"/>
    </xf>
    <xf numFmtId="0" fontId="26" fillId="7" borderId="17" xfId="0" applyFont="1" applyFill="1" applyBorder="1" applyAlignment="1">
      <alignment horizontal="center" wrapText="1"/>
    </xf>
    <xf numFmtId="0" fontId="27" fillId="0" borderId="0" xfId="0" applyFont="1" applyFill="1" applyAlignment="1">
      <alignment horizontal="left"/>
    </xf>
    <xf numFmtId="164" fontId="19" fillId="5" borderId="0" xfId="1" applyNumberFormat="1" applyFont="1" applyFill="1" applyAlignment="1">
      <alignment horizontal="left"/>
    </xf>
    <xf numFmtId="0" fontId="27" fillId="6" borderId="3" xfId="0" applyFont="1" applyFill="1" applyBorder="1" applyAlignment="1">
      <alignment horizontal="center" vertical="center" wrapText="1"/>
    </xf>
    <xf numFmtId="0" fontId="27" fillId="6" borderId="12" xfId="0" applyFont="1" applyFill="1" applyBorder="1" applyAlignment="1">
      <alignment horizontal="center" vertical="center" wrapText="1"/>
    </xf>
    <xf numFmtId="164" fontId="26" fillId="0" borderId="5" xfId="1" applyNumberFormat="1" applyFont="1" applyBorder="1" applyAlignment="1">
      <alignment horizontal="center" vertical="center" wrapText="1"/>
    </xf>
    <xf numFmtId="164" fontId="26" fillId="0" borderId="8" xfId="1" applyNumberFormat="1" applyFont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center" vertical="center" wrapText="1"/>
    </xf>
    <xf numFmtId="43" fontId="26" fillId="0" borderId="4" xfId="1" applyFont="1" applyFill="1" applyBorder="1" applyAlignment="1">
      <alignment horizontal="center" vertical="center" wrapText="1"/>
    </xf>
    <xf numFmtId="43" fontId="26" fillId="0" borderId="10" xfId="1" applyFont="1" applyFill="1" applyBorder="1" applyAlignment="1">
      <alignment horizontal="center" vertical="center" wrapText="1"/>
    </xf>
    <xf numFmtId="0" fontId="28" fillId="7" borderId="12" xfId="0" applyFont="1" applyFill="1" applyBorder="1" applyAlignment="1">
      <alignment horizontal="center" vertical="center" wrapText="1"/>
    </xf>
    <xf numFmtId="0" fontId="28" fillId="7" borderId="13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164" fontId="26" fillId="2" borderId="0" xfId="1" applyNumberFormat="1" applyFont="1" applyFill="1" applyAlignment="1">
      <alignment horizontal="left"/>
    </xf>
    <xf numFmtId="164" fontId="28" fillId="6" borderId="0" xfId="1" applyNumberFormat="1" applyFont="1" applyFill="1" applyAlignment="1">
      <alignment horizontal="center"/>
    </xf>
    <xf numFmtId="0" fontId="26" fillId="6" borderId="25" xfId="0" applyFont="1" applyFill="1" applyBorder="1" applyAlignment="1">
      <alignment horizontal="center" wrapText="1"/>
    </xf>
    <xf numFmtId="0" fontId="26" fillId="6" borderId="28" xfId="0" applyFont="1" applyFill="1" applyBorder="1" applyAlignment="1">
      <alignment horizontal="center" wrapText="1"/>
    </xf>
    <xf numFmtId="0" fontId="26" fillId="6" borderId="29" xfId="0" applyFont="1" applyFill="1" applyBorder="1" applyAlignment="1">
      <alignment horizontal="center" wrapText="1"/>
    </xf>
    <xf numFmtId="0" fontId="26" fillId="6" borderId="21" xfId="0" applyFont="1" applyFill="1" applyBorder="1" applyAlignment="1">
      <alignment horizontal="center" wrapText="1"/>
    </xf>
    <xf numFmtId="0" fontId="26" fillId="6" borderId="30" xfId="0" applyFont="1" applyFill="1" applyBorder="1" applyAlignment="1">
      <alignment horizontal="center" wrapText="1"/>
    </xf>
    <xf numFmtId="0" fontId="26" fillId="6" borderId="17" xfId="0" applyFont="1" applyFill="1" applyBorder="1" applyAlignment="1">
      <alignment horizontal="center" wrapText="1"/>
    </xf>
    <xf numFmtId="0" fontId="28" fillId="2" borderId="3" xfId="0" applyFont="1" applyFill="1" applyBorder="1" applyAlignment="1">
      <alignment horizontal="right"/>
    </xf>
    <xf numFmtId="0" fontId="28" fillId="2" borderId="12" xfId="0" applyFont="1" applyFill="1" applyBorder="1" applyAlignment="1">
      <alignment horizontal="right"/>
    </xf>
    <xf numFmtId="0" fontId="28" fillId="2" borderId="13" xfId="0" applyFont="1" applyFill="1" applyBorder="1" applyAlignment="1">
      <alignment horizontal="right"/>
    </xf>
    <xf numFmtId="0" fontId="20" fillId="0" borderId="5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164" fontId="26" fillId="2" borderId="3" xfId="1" applyNumberFormat="1" applyFont="1" applyFill="1" applyBorder="1" applyAlignment="1">
      <alignment horizontal="center" vertical="center" wrapText="1"/>
    </xf>
    <xf numFmtId="164" fontId="26" fillId="2" borderId="13" xfId="1" applyNumberFormat="1" applyFont="1" applyFill="1" applyBorder="1" applyAlignment="1">
      <alignment horizontal="center" vertical="center" wrapText="1"/>
    </xf>
    <xf numFmtId="43" fontId="32" fillId="7" borderId="3" xfId="1" applyFont="1" applyFill="1" applyBorder="1" applyAlignment="1">
      <alignment horizontal="center" vertical="center" wrapText="1"/>
    </xf>
    <xf numFmtId="43" fontId="32" fillId="7" borderId="12" xfId="1" applyFont="1" applyFill="1" applyBorder="1" applyAlignment="1">
      <alignment horizontal="center" vertical="center" wrapText="1"/>
    </xf>
    <xf numFmtId="0" fontId="26" fillId="0" borderId="19" xfId="0" applyNumberFormat="1" applyFont="1" applyBorder="1" applyAlignment="1">
      <alignment horizontal="center" vertical="center" wrapText="1"/>
    </xf>
    <xf numFmtId="0" fontId="26" fillId="0" borderId="10" xfId="0" applyNumberFormat="1" applyFont="1" applyBorder="1" applyAlignment="1">
      <alignment horizontal="center" vertical="center" wrapText="1"/>
    </xf>
    <xf numFmtId="164" fontId="26" fillId="0" borderId="19" xfId="1" applyNumberFormat="1" applyFont="1" applyBorder="1" applyAlignment="1">
      <alignment horizontal="center" vertical="center" wrapText="1"/>
    </xf>
    <xf numFmtId="164" fontId="26" fillId="0" borderId="10" xfId="1" applyNumberFormat="1" applyFont="1" applyBorder="1" applyAlignment="1">
      <alignment horizontal="center" vertical="center" wrapText="1"/>
    </xf>
    <xf numFmtId="0" fontId="26" fillId="7" borderId="1" xfId="0" applyFont="1" applyFill="1" applyBorder="1" applyAlignment="1">
      <alignment horizontal="center" vertical="center" wrapText="1"/>
    </xf>
    <xf numFmtId="0" fontId="26" fillId="6" borderId="1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20" fillId="7" borderId="4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horizontal="center" vertical="center" wrapText="1"/>
    </xf>
    <xf numFmtId="43" fontId="21" fillId="2" borderId="22" xfId="1" applyFont="1" applyFill="1" applyBorder="1" applyAlignment="1">
      <alignment horizontal="center" vertical="center" wrapText="1"/>
    </xf>
    <xf numFmtId="43" fontId="21" fillId="2" borderId="23" xfId="1" applyFont="1" applyFill="1" applyBorder="1" applyAlignment="1">
      <alignment horizontal="center" vertical="center" wrapText="1"/>
    </xf>
    <xf numFmtId="43" fontId="21" fillId="2" borderId="24" xfId="1" applyFont="1" applyFill="1" applyBorder="1" applyAlignment="1">
      <alignment horizontal="center" vertical="center" wrapText="1"/>
    </xf>
    <xf numFmtId="164" fontId="20" fillId="7" borderId="22" xfId="1" applyNumberFormat="1" applyFont="1" applyFill="1" applyBorder="1" applyAlignment="1">
      <alignment horizontal="center" vertical="center" wrapText="1"/>
    </xf>
    <xf numFmtId="164" fontId="20" fillId="7" borderId="24" xfId="1" applyNumberFormat="1" applyFont="1" applyFill="1" applyBorder="1" applyAlignment="1">
      <alignment horizontal="center" vertical="center" wrapText="1"/>
    </xf>
    <xf numFmtId="164" fontId="20" fillId="6" borderId="22" xfId="1" applyNumberFormat="1" applyFont="1" applyFill="1" applyBorder="1" applyAlignment="1">
      <alignment horizontal="center" vertical="center" wrapText="1"/>
    </xf>
    <xf numFmtId="164" fontId="20" fillId="6" borderId="23" xfId="1" applyNumberFormat="1" applyFont="1" applyFill="1" applyBorder="1" applyAlignment="1">
      <alignment horizontal="center" vertical="center" wrapText="1"/>
    </xf>
    <xf numFmtId="164" fontId="20" fillId="6" borderId="24" xfId="1" applyNumberFormat="1" applyFont="1" applyFill="1" applyBorder="1" applyAlignment="1">
      <alignment horizontal="center" vertical="center" wrapText="1"/>
    </xf>
    <xf numFmtId="0" fontId="20" fillId="7" borderId="1" xfId="0" applyFont="1" applyFill="1" applyBorder="1" applyAlignment="1">
      <alignment horizont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7" borderId="3" xfId="0" applyFont="1" applyFill="1" applyBorder="1" applyAlignment="1">
      <alignment horizontal="center" vertical="center" wrapText="1"/>
    </xf>
    <xf numFmtId="0" fontId="20" fillId="7" borderId="13" xfId="0" applyFont="1" applyFill="1" applyBorder="1" applyAlignment="1">
      <alignment horizontal="center" vertical="center" wrapText="1"/>
    </xf>
    <xf numFmtId="164" fontId="20" fillId="0" borderId="4" xfId="1" applyNumberFormat="1" applyFont="1" applyFill="1" applyBorder="1" applyAlignment="1">
      <alignment horizontal="center"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164" fontId="26" fillId="7" borderId="3" xfId="1" applyNumberFormat="1" applyFont="1" applyFill="1" applyBorder="1" applyAlignment="1">
      <alignment horizontal="center"/>
    </xf>
    <xf numFmtId="164" fontId="26" fillId="7" borderId="12" xfId="1" applyNumberFormat="1" applyFont="1" applyFill="1" applyBorder="1" applyAlignment="1">
      <alignment horizontal="center"/>
    </xf>
    <xf numFmtId="164" fontId="26" fillId="7" borderId="13" xfId="1" applyNumberFormat="1" applyFont="1" applyFill="1" applyBorder="1" applyAlignment="1">
      <alignment horizontal="center"/>
    </xf>
    <xf numFmtId="164" fontId="26" fillId="2" borderId="1" xfId="1" applyNumberFormat="1" applyFont="1" applyFill="1" applyBorder="1" applyAlignment="1">
      <alignment horizontal="center"/>
    </xf>
    <xf numFmtId="43" fontId="29" fillId="7" borderId="3" xfId="1" applyFont="1" applyFill="1" applyBorder="1" applyAlignment="1">
      <alignment horizontal="center"/>
    </xf>
    <xf numFmtId="43" fontId="29" fillId="7" borderId="12" xfId="1" applyFont="1" applyFill="1" applyBorder="1" applyAlignment="1">
      <alignment horizontal="center"/>
    </xf>
    <xf numFmtId="43" fontId="29" fillId="7" borderId="13" xfId="1" applyFont="1" applyFill="1" applyBorder="1" applyAlignment="1">
      <alignment horizontal="center"/>
    </xf>
    <xf numFmtId="43" fontId="20" fillId="7" borderId="26" xfId="1" applyFont="1" applyFill="1" applyBorder="1" applyAlignment="1">
      <alignment horizontal="center" vertical="center" wrapText="1"/>
    </xf>
    <xf numFmtId="43" fontId="20" fillId="7" borderId="31" xfId="1" applyFont="1" applyFill="1" applyBorder="1" applyAlignment="1">
      <alignment horizontal="center" vertical="center" wrapText="1"/>
    </xf>
    <xf numFmtId="43" fontId="20" fillId="2" borderId="3" xfId="1" applyFont="1" applyFill="1" applyBorder="1" applyAlignment="1">
      <alignment horizontal="right"/>
    </xf>
    <xf numFmtId="43" fontId="20" fillId="2" borderId="12" xfId="1" applyFont="1" applyFill="1" applyBorder="1" applyAlignment="1">
      <alignment horizontal="right"/>
    </xf>
    <xf numFmtId="43" fontId="20" fillId="2" borderId="13" xfId="1" applyFont="1" applyFill="1" applyBorder="1" applyAlignment="1">
      <alignment horizontal="right"/>
    </xf>
    <xf numFmtId="164" fontId="26" fillId="6" borderId="1" xfId="1" applyNumberFormat="1" applyFont="1" applyFill="1" applyBorder="1" applyAlignment="1">
      <alignment horizontal="center"/>
    </xf>
    <xf numFmtId="164" fontId="26" fillId="2" borderId="3" xfId="1" applyNumberFormat="1" applyFont="1" applyFill="1" applyBorder="1" applyAlignment="1">
      <alignment horizontal="center"/>
    </xf>
    <xf numFmtId="164" fontId="26" fillId="2" borderId="12" xfId="1" applyNumberFormat="1" applyFont="1" applyFill="1" applyBorder="1" applyAlignment="1">
      <alignment horizontal="center"/>
    </xf>
    <xf numFmtId="164" fontId="20" fillId="4" borderId="19" xfId="1" applyNumberFormat="1" applyFont="1" applyFill="1" applyBorder="1" applyAlignment="1">
      <alignment horizontal="center" vertical="center" wrapText="1"/>
    </xf>
    <xf numFmtId="164" fontId="20" fillId="4" borderId="10" xfId="1" applyNumberFormat="1" applyFont="1" applyFill="1" applyBorder="1" applyAlignment="1">
      <alignment horizontal="center" vertical="center" wrapText="1"/>
    </xf>
    <xf numFmtId="43" fontId="20" fillId="6" borderId="26" xfId="1" applyFont="1" applyFill="1" applyBorder="1" applyAlignment="1">
      <alignment horizontal="center" vertical="center" wrapText="1"/>
    </xf>
    <xf numFmtId="43" fontId="20" fillId="6" borderId="31" xfId="1" applyFont="1" applyFill="1" applyBorder="1" applyAlignment="1">
      <alignment horizontal="center" vertical="center" wrapText="1"/>
    </xf>
    <xf numFmtId="43" fontId="20" fillId="0" borderId="26" xfId="1" applyFont="1" applyFill="1" applyBorder="1" applyAlignment="1">
      <alignment horizontal="center" vertical="center" wrapText="1"/>
    </xf>
    <xf numFmtId="43" fontId="20" fillId="0" borderId="33" xfId="1" applyFont="1" applyFill="1" applyBorder="1" applyAlignment="1">
      <alignment horizontal="center" vertical="center" wrapText="1"/>
    </xf>
    <xf numFmtId="164" fontId="20" fillId="6" borderId="19" xfId="1" applyNumberFormat="1" applyFont="1" applyFill="1" applyBorder="1" applyAlignment="1">
      <alignment horizontal="center" vertical="center" wrapText="1"/>
    </xf>
    <xf numFmtId="164" fontId="20" fillId="6" borderId="10" xfId="1" applyNumberFormat="1" applyFont="1" applyFill="1" applyBorder="1" applyAlignment="1">
      <alignment horizontal="center" vertical="center" wrapText="1"/>
    </xf>
    <xf numFmtId="164" fontId="30" fillId="6" borderId="1" xfId="1" applyNumberFormat="1" applyFont="1" applyFill="1" applyBorder="1" applyAlignment="1">
      <alignment horizontal="center"/>
    </xf>
    <xf numFmtId="43" fontId="30" fillId="7" borderId="25" xfId="1" applyFont="1" applyFill="1" applyBorder="1" applyAlignment="1">
      <alignment horizontal="center" vertical="center" wrapText="1"/>
    </xf>
    <xf numFmtId="43" fontId="30" fillId="7" borderId="28" xfId="1" applyFont="1" applyFill="1" applyBorder="1" applyAlignment="1">
      <alignment horizontal="center" vertical="center" wrapText="1"/>
    </xf>
    <xf numFmtId="43" fontId="30" fillId="7" borderId="21" xfId="1" applyFont="1" applyFill="1" applyBorder="1" applyAlignment="1">
      <alignment horizontal="center" vertical="center" wrapText="1"/>
    </xf>
    <xf numFmtId="43" fontId="30" fillId="7" borderId="30" xfId="1" applyFont="1" applyFill="1" applyBorder="1" applyAlignment="1">
      <alignment horizontal="center" vertical="center" wrapText="1"/>
    </xf>
    <xf numFmtId="164" fontId="30" fillId="7" borderId="3" xfId="1" applyNumberFormat="1" applyFont="1" applyFill="1" applyBorder="1" applyAlignment="1">
      <alignment horizontal="center"/>
    </xf>
    <xf numFmtId="164" fontId="30" fillId="7" borderId="12" xfId="1" applyNumberFormat="1" applyFont="1" applyFill="1" applyBorder="1" applyAlignment="1">
      <alignment horizontal="center"/>
    </xf>
    <xf numFmtId="164" fontId="30" fillId="7" borderId="13" xfId="1" applyNumberFormat="1" applyFont="1" applyFill="1" applyBorder="1" applyAlignment="1">
      <alignment horizontal="center"/>
    </xf>
    <xf numFmtId="43" fontId="30" fillId="2" borderId="3" xfId="1" applyFont="1" applyFill="1" applyBorder="1" applyAlignment="1">
      <alignment horizontal="right"/>
    </xf>
    <xf numFmtId="43" fontId="30" fillId="2" borderId="12" xfId="1" applyFont="1" applyFill="1" applyBorder="1" applyAlignment="1">
      <alignment horizontal="right"/>
    </xf>
    <xf numFmtId="43" fontId="30" fillId="2" borderId="13" xfId="1" applyFont="1" applyFill="1" applyBorder="1" applyAlignment="1">
      <alignment horizontal="right"/>
    </xf>
    <xf numFmtId="164" fontId="30" fillId="2" borderId="3" xfId="1" applyNumberFormat="1" applyFont="1" applyFill="1" applyBorder="1" applyAlignment="1">
      <alignment horizontal="center"/>
    </xf>
    <xf numFmtId="164" fontId="30" fillId="2" borderId="12" xfId="1" applyNumberFormat="1" applyFont="1" applyFill="1" applyBorder="1" applyAlignment="1">
      <alignment horizontal="center"/>
    </xf>
    <xf numFmtId="43" fontId="30" fillId="2" borderId="26" xfId="1" applyFont="1" applyFill="1" applyBorder="1" applyAlignment="1">
      <alignment horizontal="center" vertical="center" wrapText="1"/>
    </xf>
    <xf numFmtId="43" fontId="30" fillId="2" borderId="33" xfId="1" applyFont="1" applyFill="1" applyBorder="1" applyAlignment="1">
      <alignment horizontal="center" vertical="center" wrapText="1"/>
    </xf>
    <xf numFmtId="43" fontId="30" fillId="2" borderId="31" xfId="1" applyFont="1" applyFill="1" applyBorder="1" applyAlignment="1">
      <alignment horizontal="center" vertical="center" wrapText="1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0" fontId="27" fillId="0" borderId="3" xfId="0" applyFont="1" applyBorder="1" applyAlignment="1">
      <alignment horizontal="center"/>
    </xf>
    <xf numFmtId="0" fontId="27" fillId="0" borderId="12" xfId="0" applyFont="1" applyBorder="1" applyAlignment="1">
      <alignment horizontal="center"/>
    </xf>
    <xf numFmtId="164" fontId="37" fillId="2" borderId="15" xfId="1" applyNumberFormat="1" applyFont="1" applyFill="1" applyBorder="1" applyAlignment="1">
      <alignment horizontal="center"/>
    </xf>
    <xf numFmtId="164" fontId="37" fillId="2" borderId="10" xfId="1" applyNumberFormat="1" applyFont="1" applyFill="1" applyBorder="1" applyAlignment="1">
      <alignment horizontal="center"/>
    </xf>
    <xf numFmtId="164" fontId="44" fillId="8" borderId="15" xfId="1" applyNumberFormat="1" applyFont="1" applyFill="1" applyBorder="1" applyAlignment="1">
      <alignment horizontal="center"/>
    </xf>
    <xf numFmtId="164" fontId="44" fillId="8" borderId="10" xfId="1" applyNumberFormat="1" applyFont="1" applyFill="1" applyBorder="1" applyAlignment="1">
      <alignment horizontal="center"/>
    </xf>
    <xf numFmtId="164" fontId="45" fillId="0" borderId="15" xfId="1" applyNumberFormat="1" applyFont="1" applyBorder="1" applyAlignment="1">
      <alignment horizontal="center"/>
    </xf>
    <xf numFmtId="164" fontId="45" fillId="0" borderId="10" xfId="1" applyNumberFormat="1" applyFont="1" applyBorder="1" applyAlignment="1">
      <alignment horizontal="center"/>
    </xf>
    <xf numFmtId="0" fontId="28" fillId="5" borderId="15" xfId="0" applyFont="1" applyFill="1" applyBorder="1" applyAlignment="1">
      <alignment horizontal="center" wrapText="1"/>
    </xf>
    <xf numFmtId="0" fontId="28" fillId="5" borderId="10" xfId="0" applyFont="1" applyFill="1" applyBorder="1" applyAlignment="1">
      <alignment horizontal="center" wrapText="1"/>
    </xf>
    <xf numFmtId="0" fontId="26" fillId="0" borderId="20" xfId="0" applyFont="1" applyBorder="1" applyAlignment="1">
      <alignment horizontal="center" wrapText="1"/>
    </xf>
    <xf numFmtId="0" fontId="26" fillId="0" borderId="0" xfId="0" applyFont="1" applyBorder="1" applyAlignment="1">
      <alignment horizontal="center" wrapText="1"/>
    </xf>
    <xf numFmtId="0" fontId="26" fillId="0" borderId="32" xfId="0" applyFont="1" applyBorder="1" applyAlignment="1">
      <alignment horizontal="center" wrapText="1"/>
    </xf>
    <xf numFmtId="0" fontId="26" fillId="0" borderId="21" xfId="0" applyFont="1" applyBorder="1" applyAlignment="1">
      <alignment horizontal="center" wrapText="1"/>
    </xf>
    <xf numFmtId="0" fontId="26" fillId="0" borderId="30" xfId="0" applyFont="1" applyBorder="1" applyAlignment="1">
      <alignment horizontal="center" wrapText="1"/>
    </xf>
    <xf numFmtId="0" fontId="26" fillId="0" borderId="17" xfId="0" applyFont="1" applyBorder="1" applyAlignment="1">
      <alignment horizontal="center" wrapText="1"/>
    </xf>
    <xf numFmtId="0" fontId="21" fillId="0" borderId="3" xfId="0" applyFont="1" applyBorder="1" applyAlignment="1">
      <alignment horizontal="center"/>
    </xf>
    <xf numFmtId="0" fontId="21" fillId="0" borderId="12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43" fontId="26" fillId="2" borderId="1" xfId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/>
    </xf>
    <xf numFmtId="0" fontId="21" fillId="0" borderId="15" xfId="0" applyFont="1" applyBorder="1" applyAlignment="1">
      <alignment horizontal="center"/>
    </xf>
    <xf numFmtId="0" fontId="21" fillId="0" borderId="10" xfId="0" applyFont="1" applyBorder="1" applyAlignment="1">
      <alignment horizontal="center"/>
    </xf>
    <xf numFmtId="164" fontId="26" fillId="0" borderId="15" xfId="1" applyNumberFormat="1" applyFont="1" applyBorder="1" applyAlignment="1">
      <alignment horizontal="center"/>
    </xf>
    <xf numFmtId="164" fontId="26" fillId="0" borderId="10" xfId="1" applyNumberFormat="1" applyFont="1" applyBorder="1" applyAlignment="1">
      <alignment horizontal="center"/>
    </xf>
    <xf numFmtId="0" fontId="26" fillId="0" borderId="15" xfId="0" applyFont="1" applyFill="1" applyBorder="1" applyAlignment="1">
      <alignment horizontal="center"/>
    </xf>
    <xf numFmtId="0" fontId="26" fillId="0" borderId="10" xfId="0" applyFont="1" applyFill="1" applyBorder="1" applyAlignment="1">
      <alignment horizontal="center"/>
    </xf>
    <xf numFmtId="43" fontId="26" fillId="6" borderId="3" xfId="1" applyFont="1" applyFill="1" applyBorder="1" applyAlignment="1">
      <alignment horizontal="center" vertical="center" wrapText="1"/>
    </xf>
    <xf numFmtId="43" fontId="26" fillId="6" borderId="12" xfId="1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vertical="center" wrapText="1"/>
    </xf>
    <xf numFmtId="43" fontId="26" fillId="7" borderId="12" xfId="1" applyFont="1" applyFill="1" applyBorder="1" applyAlignment="1">
      <alignment horizontal="center" vertical="center" wrapText="1"/>
    </xf>
    <xf numFmtId="0" fontId="26" fillId="7" borderId="20" xfId="0" applyFont="1" applyFill="1" applyBorder="1" applyAlignment="1">
      <alignment horizontal="center" wrapText="1"/>
    </xf>
    <xf numFmtId="0" fontId="26" fillId="7" borderId="0" xfId="0" applyFont="1" applyFill="1" applyBorder="1" applyAlignment="1">
      <alignment horizontal="center" wrapText="1"/>
    </xf>
    <xf numFmtId="0" fontId="26" fillId="7" borderId="32" xfId="0" applyFont="1" applyFill="1" applyBorder="1" applyAlignment="1">
      <alignment horizontal="center" wrapText="1"/>
    </xf>
    <xf numFmtId="43" fontId="20" fillId="4" borderId="15" xfId="1" applyFont="1" applyFill="1" applyBorder="1" applyAlignment="1">
      <alignment horizontal="center" wrapText="1"/>
    </xf>
    <xf numFmtId="43" fontId="20" fillId="4" borderId="10" xfId="1" applyFont="1" applyFill="1" applyBorder="1" applyAlignment="1">
      <alignment horizontal="center" wrapText="1"/>
    </xf>
    <xf numFmtId="43" fontId="30" fillId="7" borderId="7" xfId="1" applyFont="1" applyFill="1" applyBorder="1" applyAlignment="1">
      <alignment horizontal="center" vertical="center" wrapText="1"/>
    </xf>
    <xf numFmtId="43" fontId="30" fillId="7" borderId="11" xfId="1" applyFont="1" applyFill="1" applyBorder="1" applyAlignment="1">
      <alignment horizontal="center" vertical="center" wrapText="1"/>
    </xf>
    <xf numFmtId="43" fontId="29" fillId="2" borderId="22" xfId="1" applyFont="1" applyFill="1" applyBorder="1" applyAlignment="1">
      <alignment horizontal="center" vertical="center" wrapText="1"/>
    </xf>
    <xf numFmtId="43" fontId="29" fillId="2" borderId="23" xfId="1" applyFont="1" applyFill="1" applyBorder="1" applyAlignment="1">
      <alignment horizontal="center" vertical="center" wrapText="1"/>
    </xf>
    <xf numFmtId="43" fontId="29" fillId="2" borderId="24" xfId="1" applyFont="1" applyFill="1" applyBorder="1" applyAlignment="1">
      <alignment horizontal="center" vertical="center" wrapText="1"/>
    </xf>
    <xf numFmtId="0" fontId="26" fillId="0" borderId="6" xfId="0" applyNumberFormat="1" applyFont="1" applyFill="1" applyBorder="1" applyAlignment="1">
      <alignment horizontal="center" vertical="center" wrapText="1"/>
    </xf>
    <xf numFmtId="0" fontId="26" fillId="0" borderId="9" xfId="0" applyNumberFormat="1" applyFont="1" applyFill="1" applyBorder="1" applyAlignment="1">
      <alignment horizontal="center" vertical="center" wrapText="1"/>
    </xf>
    <xf numFmtId="43" fontId="26" fillId="6" borderId="1" xfId="1" applyFont="1" applyFill="1" applyBorder="1" applyAlignment="1">
      <alignment horizontal="center" vertical="center" wrapText="1"/>
    </xf>
    <xf numFmtId="43" fontId="26" fillId="7" borderId="25" xfId="1" applyFont="1" applyFill="1" applyBorder="1" applyAlignment="1">
      <alignment horizontal="center" vertical="center" wrapText="1"/>
    </xf>
    <xf numFmtId="43" fontId="26" fillId="7" borderId="28" xfId="1" applyFont="1" applyFill="1" applyBorder="1" applyAlignment="1">
      <alignment horizontal="center" vertical="center" wrapText="1"/>
    </xf>
    <xf numFmtId="43" fontId="26" fillId="7" borderId="29" xfId="1" applyFont="1" applyFill="1" applyBorder="1" applyAlignment="1">
      <alignment horizontal="center" vertical="center" wrapText="1"/>
    </xf>
    <xf numFmtId="43" fontId="20" fillId="5" borderId="1" xfId="1" applyFont="1" applyFill="1" applyBorder="1" applyAlignment="1">
      <alignment horizontal="center" vertical="center" wrapText="1"/>
    </xf>
    <xf numFmtId="164" fontId="19" fillId="2" borderId="3" xfId="1" applyNumberFormat="1" applyFont="1" applyFill="1" applyBorder="1" applyAlignment="1">
      <alignment horizontal="right"/>
    </xf>
    <xf numFmtId="164" fontId="19" fillId="2" borderId="12" xfId="1" applyNumberFormat="1" applyFont="1" applyFill="1" applyBorder="1" applyAlignment="1">
      <alignment horizontal="right"/>
    </xf>
    <xf numFmtId="43" fontId="20" fillId="7" borderId="1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/>
    </xf>
    <xf numFmtId="43" fontId="20" fillId="7" borderId="12" xfId="1" applyFont="1" applyFill="1" applyBorder="1" applyAlignment="1">
      <alignment horizontal="center" vertical="center"/>
    </xf>
    <xf numFmtId="43" fontId="20" fillId="7" borderId="13" xfId="1" applyFont="1" applyFill="1" applyBorder="1" applyAlignment="1">
      <alignment horizontal="center" vertical="center"/>
    </xf>
    <xf numFmtId="43" fontId="20" fillId="2" borderId="3" xfId="1" applyFont="1" applyFill="1" applyBorder="1" applyAlignment="1">
      <alignment horizontal="center" vertical="center"/>
    </xf>
    <xf numFmtId="43" fontId="20" fillId="2" borderId="12" xfId="1" applyFont="1" applyFill="1" applyBorder="1" applyAlignment="1">
      <alignment horizontal="center" vertical="center"/>
    </xf>
    <xf numFmtId="43" fontId="20" fillId="2" borderId="13" xfId="1" applyFont="1" applyFill="1" applyBorder="1" applyAlignment="1">
      <alignment horizontal="center" vertical="center"/>
    </xf>
    <xf numFmtId="43" fontId="20" fillId="7" borderId="1" xfId="1" applyFont="1" applyFill="1" applyBorder="1" applyAlignment="1">
      <alignment horizontal="center" vertical="center"/>
    </xf>
    <xf numFmtId="0" fontId="20" fillId="0" borderId="6" xfId="0" applyNumberFormat="1" applyFont="1" applyFill="1" applyBorder="1" applyAlignment="1">
      <alignment horizontal="center" vertical="center" wrapText="1"/>
    </xf>
    <xf numFmtId="0" fontId="20" fillId="0" borderId="9" xfId="0" applyNumberFormat="1" applyFont="1" applyFill="1" applyBorder="1" applyAlignment="1">
      <alignment horizontal="center" vertical="center" wrapText="1"/>
    </xf>
    <xf numFmtId="43" fontId="20" fillId="6" borderId="1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 wrapText="1"/>
    </xf>
    <xf numFmtId="43" fontId="20" fillId="6" borderId="13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/>
    </xf>
    <xf numFmtId="43" fontId="20" fillId="6" borderId="12" xfId="1" applyFont="1" applyFill="1" applyBorder="1" applyAlignment="1">
      <alignment horizontal="center" vertical="center"/>
    </xf>
    <xf numFmtId="43" fontId="20" fillId="6" borderId="13" xfId="1" applyFont="1" applyFill="1" applyBorder="1" applyAlignment="1">
      <alignment horizontal="center" vertical="center"/>
    </xf>
    <xf numFmtId="43" fontId="19" fillId="7" borderId="3" xfId="1" applyFont="1" applyFill="1" applyBorder="1" applyAlignment="1">
      <alignment horizontal="center" wrapText="1"/>
    </xf>
    <xf numFmtId="43" fontId="19" fillId="7" borderId="13" xfId="1" applyFont="1" applyFill="1" applyBorder="1" applyAlignment="1">
      <alignment horizontal="center" wrapText="1"/>
    </xf>
    <xf numFmtId="43" fontId="19" fillId="6" borderId="3" xfId="1" applyFont="1" applyFill="1" applyBorder="1" applyAlignment="1">
      <alignment horizontal="center" wrapText="1"/>
    </xf>
    <xf numFmtId="43" fontId="19" fillId="6" borderId="13" xfId="1" applyFont="1" applyFill="1" applyBorder="1" applyAlignment="1">
      <alignment horizontal="center" wrapText="1"/>
    </xf>
    <xf numFmtId="0" fontId="19" fillId="2" borderId="1" xfId="0" applyFont="1" applyFill="1" applyBorder="1" applyAlignment="1">
      <alignment horizontal="right"/>
    </xf>
    <xf numFmtId="164" fontId="20" fillId="0" borderId="15" xfId="1" applyNumberFormat="1" applyFont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164" fontId="21" fillId="0" borderId="15" xfId="1" applyNumberFormat="1" applyFont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0" fontId="20" fillId="0" borderId="15" xfId="0" applyNumberFormat="1" applyFont="1" applyFill="1" applyBorder="1" applyAlignment="1">
      <alignment horizontal="center" vertical="center" wrapText="1"/>
    </xf>
    <xf numFmtId="0" fontId="20" fillId="0" borderId="10" xfId="0" applyNumberFormat="1" applyFont="1" applyFill="1" applyBorder="1" applyAlignment="1">
      <alignment horizontal="center" vertical="center" wrapText="1"/>
    </xf>
    <xf numFmtId="0" fontId="20" fillId="0" borderId="15" xfId="0" applyFont="1" applyFill="1" applyBorder="1" applyAlignment="1">
      <alignment horizontal="center" vertical="center" wrapText="1"/>
    </xf>
    <xf numFmtId="164" fontId="20" fillId="2" borderId="1" xfId="1" applyNumberFormat="1" applyFont="1" applyFill="1" applyBorder="1" applyAlignment="1">
      <alignment horizontal="center" vertical="center" wrapText="1"/>
    </xf>
    <xf numFmtId="164" fontId="20" fillId="0" borderId="26" xfId="1" applyNumberFormat="1" applyFont="1" applyFill="1" applyBorder="1" applyAlignment="1">
      <alignment horizontal="center" vertical="center" wrapText="1"/>
    </xf>
    <xf numFmtId="164" fontId="20" fillId="0" borderId="33" xfId="1" applyNumberFormat="1" applyFont="1" applyFill="1" applyBorder="1" applyAlignment="1">
      <alignment horizontal="center" vertical="center" wrapText="1"/>
    </xf>
    <xf numFmtId="164" fontId="20" fillId="0" borderId="31" xfId="1" applyNumberFormat="1" applyFont="1" applyFill="1" applyBorder="1" applyAlignment="1">
      <alignment horizontal="center" vertical="center" wrapText="1"/>
    </xf>
    <xf numFmtId="43" fontId="20" fillId="2" borderId="15" xfId="1" applyFont="1" applyFill="1" applyBorder="1" applyAlignment="1">
      <alignment horizontal="center" vertical="center" wrapText="1"/>
    </xf>
    <xf numFmtId="43" fontId="20" fillId="2" borderId="10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0" fontId="27" fillId="7" borderId="0" xfId="0" applyFont="1" applyFill="1" applyBorder="1" applyAlignment="1">
      <alignment horizontal="left" wrapText="1"/>
    </xf>
    <xf numFmtId="0" fontId="26" fillId="0" borderId="0" xfId="0" applyFont="1" applyAlignment="1">
      <alignment horizontal="left"/>
    </xf>
    <xf numFmtId="0" fontId="28" fillId="0" borderId="0" xfId="0" applyFont="1" applyFill="1" applyBorder="1" applyAlignment="1">
      <alignment horizontal="left" wrapText="1"/>
    </xf>
    <xf numFmtId="0" fontId="31" fillId="0" borderId="23" xfId="0" applyFont="1" applyBorder="1" applyAlignment="1">
      <alignment horizontal="center"/>
    </xf>
    <xf numFmtId="0" fontId="26" fillId="0" borderId="26" xfId="0" applyFont="1" applyFill="1" applyBorder="1" applyAlignment="1">
      <alignment horizontal="center" wrapText="1"/>
    </xf>
    <xf numFmtId="0" fontId="26" fillId="0" borderId="33" xfId="0" applyFont="1" applyFill="1" applyBorder="1" applyAlignment="1">
      <alignment horizontal="center" wrapText="1"/>
    </xf>
    <xf numFmtId="0" fontId="26" fillId="0" borderId="31" xfId="0" applyFont="1" applyFill="1" applyBorder="1" applyAlignment="1">
      <alignment horizontal="center" wrapText="1"/>
    </xf>
    <xf numFmtId="0" fontId="26" fillId="6" borderId="26" xfId="0" applyFont="1" applyFill="1" applyBorder="1" applyAlignment="1">
      <alignment horizontal="center" wrapText="1"/>
    </xf>
    <xf numFmtId="0" fontId="26" fillId="6" borderId="33" xfId="0" applyFont="1" applyFill="1" applyBorder="1" applyAlignment="1">
      <alignment horizontal="center" wrapText="1"/>
    </xf>
    <xf numFmtId="0" fontId="26" fillId="6" borderId="31" xfId="0" applyFont="1" applyFill="1" applyBorder="1" applyAlignment="1">
      <alignment horizontal="center" wrapText="1"/>
    </xf>
    <xf numFmtId="0" fontId="26" fillId="2" borderId="26" xfId="0" applyFont="1" applyFill="1" applyBorder="1" applyAlignment="1">
      <alignment horizontal="center" wrapText="1"/>
    </xf>
    <xf numFmtId="0" fontId="26" fillId="2" borderId="33" xfId="0" applyFont="1" applyFill="1" applyBorder="1" applyAlignment="1">
      <alignment horizontal="center" wrapText="1"/>
    </xf>
    <xf numFmtId="0" fontId="26" fillId="2" borderId="31" xfId="0" applyFont="1" applyFill="1" applyBorder="1" applyAlignment="1">
      <alignment horizontal="center" wrapText="1"/>
    </xf>
    <xf numFmtId="0" fontId="28" fillId="6" borderId="0" xfId="0" applyFont="1" applyFill="1" applyBorder="1" applyAlignment="1">
      <alignment horizontal="left" wrapText="1"/>
    </xf>
    <xf numFmtId="0" fontId="26" fillId="0" borderId="26" xfId="0" applyFont="1" applyBorder="1" applyAlignment="1">
      <alignment horizontal="center" wrapText="1"/>
    </xf>
    <xf numFmtId="0" fontId="26" fillId="0" borderId="33" xfId="0" applyFont="1" applyBorder="1" applyAlignment="1">
      <alignment horizontal="center" wrapText="1"/>
    </xf>
    <xf numFmtId="0" fontId="26" fillId="0" borderId="31" xfId="0" applyFont="1" applyBorder="1" applyAlignment="1">
      <alignment horizontal="center" wrapText="1"/>
    </xf>
    <xf numFmtId="0" fontId="20" fillId="0" borderId="1" xfId="0" applyFont="1" applyBorder="1" applyAlignment="1">
      <alignment horizontal="center" wrapText="1"/>
    </xf>
    <xf numFmtId="0" fontId="20" fillId="0" borderId="9" xfId="0" applyFont="1" applyBorder="1" applyAlignment="1">
      <alignment horizontal="center" wrapText="1"/>
    </xf>
    <xf numFmtId="0" fontId="20" fillId="0" borderId="16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0" fontId="29" fillId="7" borderId="1" xfId="0" applyFont="1" applyFill="1" applyBorder="1" applyAlignment="1">
      <alignment horizontal="center" vertical="center" wrapText="1"/>
    </xf>
    <xf numFmtId="14" fontId="26" fillId="2" borderId="1" xfId="0" applyNumberFormat="1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2" borderId="12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wrapText="1"/>
    </xf>
    <xf numFmtId="43" fontId="26" fillId="7" borderId="12" xfId="1" applyFont="1" applyFill="1" applyBorder="1" applyAlignment="1">
      <alignment horizontal="center" wrapText="1"/>
    </xf>
    <xf numFmtId="43" fontId="26" fillId="7" borderId="13" xfId="1" applyFont="1" applyFill="1" applyBorder="1" applyAlignment="1">
      <alignment horizontal="center" wrapText="1"/>
    </xf>
    <xf numFmtId="0" fontId="34" fillId="7" borderId="0" xfId="0" applyFont="1" applyFill="1" applyAlignment="1">
      <alignment horizontal="center" wrapText="1"/>
    </xf>
    <xf numFmtId="164" fontId="26" fillId="7" borderId="3" xfId="1" applyNumberFormat="1" applyFont="1" applyFill="1" applyBorder="1" applyAlignment="1">
      <alignment horizontal="center" wrapText="1"/>
    </xf>
    <xf numFmtId="164" fontId="26" fillId="7" borderId="12" xfId="1" applyNumberFormat="1" applyFont="1" applyFill="1" applyBorder="1" applyAlignment="1">
      <alignment horizontal="center" wrapText="1"/>
    </xf>
    <xf numFmtId="164" fontId="26" fillId="7" borderId="13" xfId="1" applyNumberFormat="1" applyFont="1" applyFill="1" applyBorder="1" applyAlignment="1">
      <alignment horizontal="center" wrapText="1"/>
    </xf>
    <xf numFmtId="43" fontId="26" fillId="6" borderId="3" xfId="1" applyFont="1" applyFill="1" applyBorder="1" applyAlignment="1">
      <alignment horizontal="center" wrapText="1"/>
    </xf>
    <xf numFmtId="43" fontId="26" fillId="6" borderId="12" xfId="1" applyFont="1" applyFill="1" applyBorder="1" applyAlignment="1">
      <alignment horizontal="center" wrapText="1"/>
    </xf>
    <xf numFmtId="43" fontId="26" fillId="6" borderId="13" xfId="1" applyFont="1" applyFill="1" applyBorder="1" applyAlignment="1">
      <alignment horizontal="center" wrapText="1"/>
    </xf>
    <xf numFmtId="43" fontId="26" fillId="2" borderId="3" xfId="1" applyFont="1" applyFill="1" applyBorder="1" applyAlignment="1">
      <alignment horizontal="center" wrapText="1"/>
    </xf>
    <xf numFmtId="43" fontId="26" fillId="2" borderId="12" xfId="1" applyFont="1" applyFill="1" applyBorder="1" applyAlignment="1">
      <alignment horizontal="center" wrapText="1"/>
    </xf>
    <xf numFmtId="43" fontId="26" fillId="2" borderId="13" xfId="1" applyFont="1" applyFill="1" applyBorder="1" applyAlignment="1">
      <alignment horizontal="center" wrapText="1"/>
    </xf>
    <xf numFmtId="43" fontId="34" fillId="7" borderId="0" xfId="1" applyFont="1" applyFill="1" applyAlignment="1">
      <alignment horizontal="center"/>
    </xf>
    <xf numFmtId="43" fontId="26" fillId="4" borderId="3" xfId="1" applyFont="1" applyFill="1" applyBorder="1" applyAlignment="1">
      <alignment horizontal="center" vertical="center" wrapText="1"/>
    </xf>
    <xf numFmtId="43" fontId="26" fillId="4" borderId="12" xfId="1" applyFont="1" applyFill="1" applyBorder="1" applyAlignment="1">
      <alignment horizontal="center" vertical="center" wrapText="1"/>
    </xf>
    <xf numFmtId="43" fontId="26" fillId="4" borderId="13" xfId="1" applyFont="1" applyFill="1" applyBorder="1" applyAlignment="1">
      <alignment horizontal="center" vertical="center" wrapText="1"/>
    </xf>
    <xf numFmtId="43" fontId="26" fillId="5" borderId="3" xfId="1" applyFont="1" applyFill="1" applyBorder="1" applyAlignment="1">
      <alignment horizontal="center" vertical="center" wrapText="1"/>
    </xf>
    <xf numFmtId="43" fontId="26" fillId="5" borderId="12" xfId="1" applyFont="1" applyFill="1" applyBorder="1" applyAlignment="1">
      <alignment horizontal="center" vertical="center" wrapText="1"/>
    </xf>
    <xf numFmtId="43" fontId="26" fillId="5" borderId="13" xfId="1" applyFont="1" applyFill="1" applyBorder="1" applyAlignment="1">
      <alignment horizontal="center" vertical="center" wrapText="1"/>
    </xf>
    <xf numFmtId="14" fontId="29" fillId="6" borderId="19" xfId="0" applyNumberFormat="1" applyFont="1" applyFill="1" applyBorder="1" applyAlignment="1">
      <alignment horizontal="center" textRotation="37" wrapText="1"/>
    </xf>
    <xf numFmtId="14" fontId="29" fillId="6" borderId="10" xfId="0" applyNumberFormat="1" applyFont="1" applyFill="1" applyBorder="1" applyAlignment="1">
      <alignment horizontal="center" textRotation="37" wrapText="1"/>
    </xf>
    <xf numFmtId="14" fontId="29" fillId="7" borderId="19" xfId="0" applyNumberFormat="1" applyFont="1" applyFill="1" applyBorder="1" applyAlignment="1">
      <alignment horizontal="center" textRotation="57" wrapText="1"/>
    </xf>
    <xf numFmtId="14" fontId="29" fillId="7" borderId="10" xfId="0" applyNumberFormat="1" applyFont="1" applyFill="1" applyBorder="1" applyAlignment="1">
      <alignment horizontal="center" textRotation="57" wrapText="1"/>
    </xf>
    <xf numFmtId="43" fontId="30" fillId="3" borderId="3" xfId="1" applyFont="1" applyFill="1" applyBorder="1" applyAlignment="1">
      <alignment horizontal="center" vertical="center" wrapText="1"/>
    </xf>
    <xf numFmtId="43" fontId="30" fillId="3" borderId="12" xfId="1" applyFont="1" applyFill="1" applyBorder="1" applyAlignment="1">
      <alignment horizontal="center" vertical="center" wrapText="1"/>
    </xf>
    <xf numFmtId="164" fontId="48" fillId="14" borderId="3" xfId="1" applyNumberFormat="1" applyFont="1" applyFill="1" applyBorder="1" applyAlignment="1">
      <alignment horizontal="center" vertical="center" wrapText="1"/>
    </xf>
    <xf numFmtId="164" fontId="48" fillId="14" borderId="12" xfId="1" applyNumberFormat="1" applyFont="1" applyFill="1" applyBorder="1" applyAlignment="1">
      <alignment horizontal="center" vertical="center" wrapText="1"/>
    </xf>
    <xf numFmtId="164" fontId="48" fillId="14" borderId="13" xfId="1" applyNumberFormat="1" applyFont="1" applyFill="1" applyBorder="1" applyAlignment="1">
      <alignment horizontal="center" vertical="center" wrapText="1"/>
    </xf>
    <xf numFmtId="0" fontId="27" fillId="7" borderId="0" xfId="0" applyFont="1" applyFill="1" applyAlignment="1">
      <alignment horizontal="left"/>
    </xf>
    <xf numFmtId="0" fontId="20" fillId="7" borderId="20" xfId="0" applyFont="1" applyFill="1" applyBorder="1" applyAlignment="1">
      <alignment horizontal="center"/>
    </xf>
    <xf numFmtId="0" fontId="20" fillId="7" borderId="0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43" fontId="20" fillId="4" borderId="1" xfId="1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right"/>
    </xf>
    <xf numFmtId="0" fontId="20" fillId="2" borderId="23" xfId="0" applyFont="1" applyFill="1" applyBorder="1" applyAlignment="1">
      <alignment horizontal="right"/>
    </xf>
    <xf numFmtId="0" fontId="20" fillId="2" borderId="24" xfId="0" applyFont="1" applyFill="1" applyBorder="1" applyAlignment="1">
      <alignment horizontal="right"/>
    </xf>
    <xf numFmtId="0" fontId="26" fillId="3" borderId="15" xfId="0" applyFont="1" applyFill="1" applyBorder="1" applyAlignment="1">
      <alignment horizontal="center" vertical="center" wrapText="1"/>
    </xf>
    <xf numFmtId="0" fontId="26" fillId="3" borderId="10" xfId="0" applyFont="1" applyFill="1" applyBorder="1" applyAlignment="1">
      <alignment horizontal="center" vertical="center" wrapText="1"/>
    </xf>
    <xf numFmtId="0" fontId="26" fillId="0" borderId="15" xfId="0" applyFont="1" applyFill="1" applyBorder="1" applyAlignment="1">
      <alignment horizontal="center" vertical="center" wrapText="1"/>
    </xf>
    <xf numFmtId="164" fontId="26" fillId="0" borderId="1" xfId="1" applyNumberFormat="1" applyFont="1" applyBorder="1" applyAlignment="1">
      <alignment horizontal="center" vertical="center" wrapText="1"/>
    </xf>
    <xf numFmtId="164" fontId="26" fillId="0" borderId="9" xfId="1" applyNumberFormat="1" applyFont="1" applyBorder="1" applyAlignment="1">
      <alignment horizontal="center" vertical="center" wrapText="1"/>
    </xf>
    <xf numFmtId="14" fontId="20" fillId="0" borderId="1" xfId="1" applyNumberFormat="1" applyFont="1" applyBorder="1" applyAlignment="1">
      <alignment horizontal="center" vertical="center" wrapText="1"/>
    </xf>
    <xf numFmtId="164" fontId="26" fillId="7" borderId="15" xfId="1" applyNumberFormat="1" applyFont="1" applyFill="1" applyBorder="1" applyAlignment="1">
      <alignment horizontal="center" vertical="center" wrapText="1"/>
    </xf>
    <xf numFmtId="164" fontId="26" fillId="7" borderId="10" xfId="1" applyNumberFormat="1" applyFont="1" applyFill="1" applyBorder="1" applyAlignment="1">
      <alignment horizontal="center" vertical="center" wrapText="1"/>
    </xf>
    <xf numFmtId="164" fontId="30" fillId="4" borderId="3" xfId="1" applyNumberFormat="1" applyFont="1" applyFill="1" applyBorder="1" applyAlignment="1">
      <alignment horizontal="center" vertical="center" wrapText="1"/>
    </xf>
    <xf numFmtId="164" fontId="30" fillId="4" borderId="12" xfId="1" applyNumberFormat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43" fontId="26" fillId="2" borderId="3" xfId="1" applyFont="1" applyFill="1" applyBorder="1" applyAlignment="1">
      <alignment horizontal="center" vertical="center" wrapText="1"/>
    </xf>
    <xf numFmtId="43" fontId="26" fillId="2" borderId="12" xfId="1" applyFont="1" applyFill="1" applyBorder="1" applyAlignment="1">
      <alignment horizontal="center" vertical="center" wrapText="1"/>
    </xf>
    <xf numFmtId="164" fontId="25" fillId="2" borderId="19" xfId="1" applyNumberFormat="1" applyFont="1" applyFill="1" applyBorder="1" applyAlignment="1">
      <alignment horizontal="center" textRotation="19" wrapText="1"/>
    </xf>
    <xf numFmtId="164" fontId="25" fillId="2" borderId="10" xfId="1" applyNumberFormat="1" applyFont="1" applyFill="1" applyBorder="1" applyAlignment="1">
      <alignment horizontal="center" textRotation="19" wrapText="1"/>
    </xf>
    <xf numFmtId="43" fontId="30" fillId="7" borderId="3" xfId="1" applyFont="1" applyFill="1" applyBorder="1" applyAlignment="1">
      <alignment horizontal="center" vertical="center" wrapText="1"/>
    </xf>
    <xf numFmtId="43" fontId="30" fillId="7" borderId="12" xfId="1" applyFont="1" applyFill="1" applyBorder="1" applyAlignment="1">
      <alignment horizontal="center" vertical="center" wrapText="1"/>
    </xf>
    <xf numFmtId="43" fontId="30" fillId="10" borderId="3" xfId="1" applyFont="1" applyFill="1" applyBorder="1" applyAlignment="1">
      <alignment horizontal="center" vertical="center" wrapText="1"/>
    </xf>
    <xf numFmtId="43" fontId="30" fillId="10" borderId="12" xfId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79"/>
  <sheetViews>
    <sheetView tabSelected="1" workbookViewId="0">
      <pane ySplit="2" topLeftCell="A3" activePane="bottomLeft" state="frozen"/>
      <selection pane="bottomLeft" activeCell="A26" sqref="A26"/>
    </sheetView>
  </sheetViews>
  <sheetFormatPr defaultRowHeight="11.25"/>
  <cols>
    <col min="1" max="1" width="9.28515625" style="8" customWidth="1"/>
    <col min="2" max="2" width="9" style="135" customWidth="1"/>
    <col min="3" max="3" width="47.85546875" style="3" customWidth="1"/>
    <col min="4" max="4" width="11.140625" style="2" bestFit="1" customWidth="1"/>
    <col min="5" max="5" width="10.28515625" style="2" bestFit="1" customWidth="1"/>
    <col min="6" max="7" width="9" style="2" bestFit="1" customWidth="1"/>
    <col min="8" max="8" width="10.28515625" style="2" bestFit="1" customWidth="1"/>
    <col min="9" max="10" width="9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9" style="2" customWidth="1"/>
    <col min="15" max="15" width="11.42578125" style="2" customWidth="1"/>
    <col min="16" max="16" width="8.85546875" style="3" customWidth="1"/>
    <col min="17" max="17" width="3.85546875" style="3" customWidth="1"/>
    <col min="18" max="18" width="7.28515625" style="3" customWidth="1"/>
    <col min="19" max="19" width="9.42578125" style="3" customWidth="1"/>
    <col min="20" max="20" width="5.7109375" style="3" customWidth="1"/>
    <col min="21" max="21" width="5.85546875" style="3" customWidth="1"/>
    <col min="22" max="24" width="8" style="3" customWidth="1"/>
    <col min="25" max="25" width="13.85546875" style="3" bestFit="1" customWidth="1"/>
    <col min="26" max="26" width="6.4257812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597" t="s">
        <v>1</v>
      </c>
      <c r="B1" s="599" t="s">
        <v>2</v>
      </c>
      <c r="C1" s="601" t="s">
        <v>0</v>
      </c>
      <c r="D1" s="603" t="s">
        <v>62</v>
      </c>
      <c r="E1" s="593" t="s">
        <v>84</v>
      </c>
      <c r="F1" s="594"/>
      <c r="G1" s="594"/>
      <c r="H1" s="594"/>
      <c r="I1" s="594"/>
      <c r="J1" s="594"/>
      <c r="K1" s="594"/>
      <c r="L1" s="589" t="s">
        <v>371</v>
      </c>
      <c r="M1" s="589"/>
      <c r="N1" s="587" t="s">
        <v>63</v>
      </c>
      <c r="O1" s="588"/>
      <c r="P1" s="590" t="s">
        <v>29</v>
      </c>
      <c r="Q1" s="591"/>
      <c r="R1" s="591"/>
      <c r="S1" s="591"/>
      <c r="T1" s="591"/>
      <c r="U1" s="591"/>
      <c r="V1" s="591"/>
      <c r="W1" s="591"/>
      <c r="X1" s="591"/>
      <c r="Y1" s="591"/>
      <c r="Z1" s="591"/>
      <c r="AA1" s="592"/>
    </row>
    <row r="2" spans="1:27" ht="12" thickBot="1">
      <c r="A2" s="598"/>
      <c r="B2" s="600"/>
      <c r="C2" s="602"/>
      <c r="D2" s="604"/>
      <c r="E2" s="87" t="s">
        <v>93</v>
      </c>
      <c r="F2" s="87" t="s">
        <v>3</v>
      </c>
      <c r="G2" s="87" t="s">
        <v>143</v>
      </c>
      <c r="H2" s="87" t="s">
        <v>94</v>
      </c>
      <c r="I2" s="87" t="s">
        <v>95</v>
      </c>
      <c r="J2" s="87" t="s">
        <v>96</v>
      </c>
      <c r="K2" s="97" t="s">
        <v>141</v>
      </c>
      <c r="L2" s="64" t="s">
        <v>23</v>
      </c>
      <c r="M2" s="149" t="s">
        <v>69</v>
      </c>
      <c r="N2" s="144" t="s">
        <v>23</v>
      </c>
      <c r="O2" s="96" t="s">
        <v>142</v>
      </c>
      <c r="P2" s="151">
        <v>1</v>
      </c>
      <c r="Q2" s="151" t="s">
        <v>226</v>
      </c>
      <c r="R2" s="151" t="s">
        <v>227</v>
      </c>
      <c r="S2" s="151" t="s">
        <v>228</v>
      </c>
      <c r="T2" s="151" t="s">
        <v>229</v>
      </c>
      <c r="U2" s="151" t="s">
        <v>383</v>
      </c>
      <c r="V2" s="151" t="s">
        <v>384</v>
      </c>
      <c r="W2" s="151" t="s">
        <v>385</v>
      </c>
      <c r="X2" s="151" t="s">
        <v>386</v>
      </c>
      <c r="Y2" s="151"/>
      <c r="Z2" s="151"/>
      <c r="AA2" s="152"/>
    </row>
    <row r="3" spans="1:27" s="5" customFormat="1">
      <c r="A3" s="351" t="s">
        <v>592</v>
      </c>
      <c r="B3" s="301">
        <v>36751</v>
      </c>
      <c r="C3" s="298" t="s">
        <v>569</v>
      </c>
      <c r="D3" s="274"/>
      <c r="E3" s="299">
        <f>'2-δικαιώμ'!M3</f>
        <v>2670</v>
      </c>
      <c r="F3" s="275">
        <f>'3-φύλλα2α'!F3</f>
        <v>800</v>
      </c>
      <c r="G3" s="275">
        <f>'4-πολλυπρ'!P3</f>
        <v>0</v>
      </c>
      <c r="H3" s="274">
        <f>'5-αντίγρ'!M3</f>
        <v>3916</v>
      </c>
      <c r="I3" s="274">
        <f>'6-μεταγρ'!H3</f>
        <v>0</v>
      </c>
      <c r="J3" s="274">
        <f>'7-προςΔΟΥ'!E3</f>
        <v>0</v>
      </c>
      <c r="K3" s="274"/>
      <c r="L3" s="299">
        <f t="shared" ref="L3:L6" si="0">E3+F3+G3+H3+I3+J3+K3</f>
        <v>7386</v>
      </c>
      <c r="M3" s="299">
        <v>16128</v>
      </c>
      <c r="N3" s="276">
        <f>M3-P3-'14-βιβλΕσ'!M3</f>
        <v>15058</v>
      </c>
      <c r="O3" s="276">
        <f t="shared" ref="O3:O6" si="1">L3-N3</f>
        <v>-7672</v>
      </c>
      <c r="P3" s="277">
        <v>256</v>
      </c>
      <c r="Q3" s="300"/>
      <c r="R3" s="300"/>
      <c r="S3" s="300"/>
      <c r="T3" s="300"/>
      <c r="U3" s="300"/>
      <c r="V3" s="300"/>
      <c r="W3" s="300"/>
      <c r="X3" s="300"/>
      <c r="Y3" s="300" t="s">
        <v>574</v>
      </c>
      <c r="Z3" s="74"/>
      <c r="AA3" s="74"/>
    </row>
    <row r="4" spans="1:27" s="5" customFormat="1">
      <c r="A4" s="351" t="s">
        <v>593</v>
      </c>
      <c r="B4" s="301">
        <v>36751</v>
      </c>
      <c r="C4" s="298" t="s">
        <v>578</v>
      </c>
      <c r="D4" s="274"/>
      <c r="E4" s="299">
        <f>'2-δικαιώμ'!M4</f>
        <v>2670</v>
      </c>
      <c r="F4" s="275">
        <f>'3-φύλλα2α'!F4</f>
        <v>800</v>
      </c>
      <c r="G4" s="275">
        <f>'4-πολλυπρ'!P4</f>
        <v>3800</v>
      </c>
      <c r="H4" s="274">
        <f>'5-αντίγρ'!M4</f>
        <v>3916</v>
      </c>
      <c r="I4" s="274">
        <f>'6-μεταγρ'!H4</f>
        <v>0</v>
      </c>
      <c r="J4" s="274">
        <f>'7-προςΔΟΥ'!E4</f>
        <v>0</v>
      </c>
      <c r="K4" s="274"/>
      <c r="L4" s="299">
        <f t="shared" si="0"/>
        <v>11186</v>
      </c>
      <c r="M4" s="299">
        <v>16128</v>
      </c>
      <c r="N4" s="276">
        <f>M4-P4-'14-βιβλΕσ'!M4</f>
        <v>15058</v>
      </c>
      <c r="O4" s="276">
        <f t="shared" si="1"/>
        <v>-3872</v>
      </c>
      <c r="P4" s="277">
        <v>256</v>
      </c>
      <c r="Q4" s="300"/>
      <c r="R4" s="300"/>
      <c r="S4" s="300"/>
      <c r="T4" s="300"/>
      <c r="U4" s="300"/>
      <c r="V4" s="300"/>
      <c r="W4" s="300"/>
      <c r="X4" s="300"/>
      <c r="Y4" s="300" t="s">
        <v>574</v>
      </c>
      <c r="Z4" s="74"/>
      <c r="AA4" s="74"/>
    </row>
    <row r="5" spans="1:27" s="5" customFormat="1">
      <c r="A5" s="351" t="s">
        <v>594</v>
      </c>
      <c r="B5" s="301">
        <v>36751</v>
      </c>
      <c r="C5" s="298" t="s">
        <v>582</v>
      </c>
      <c r="D5" s="274"/>
      <c r="E5" s="299">
        <f>'2-δικαιώμ'!M5</f>
        <v>2670</v>
      </c>
      <c r="F5" s="275">
        <f>'3-φύλλα2α'!F5</f>
        <v>800</v>
      </c>
      <c r="G5" s="275">
        <f>'4-πολλυπρ'!P5</f>
        <v>0</v>
      </c>
      <c r="H5" s="274">
        <f>'5-αντίγρ'!M5</f>
        <v>3916</v>
      </c>
      <c r="I5" s="274">
        <f>'6-μεταγρ'!H5</f>
        <v>0</v>
      </c>
      <c r="J5" s="274">
        <f>'7-προςΔΟΥ'!E5</f>
        <v>0</v>
      </c>
      <c r="K5" s="274"/>
      <c r="L5" s="299">
        <f t="shared" si="0"/>
        <v>7386</v>
      </c>
      <c r="M5" s="299">
        <v>16128</v>
      </c>
      <c r="N5" s="276">
        <f>M5-P5-'14-βιβλΕσ'!M5</f>
        <v>15058</v>
      </c>
      <c r="O5" s="276">
        <f t="shared" si="1"/>
        <v>-7672</v>
      </c>
      <c r="P5" s="277">
        <v>256</v>
      </c>
      <c r="Q5" s="300"/>
      <c r="R5" s="300"/>
      <c r="S5" s="300"/>
      <c r="T5" s="300"/>
      <c r="U5" s="300"/>
      <c r="V5" s="300"/>
      <c r="W5" s="300"/>
      <c r="X5" s="300"/>
      <c r="Y5" s="300" t="s">
        <v>574</v>
      </c>
      <c r="Z5" s="74"/>
      <c r="AA5" s="74"/>
    </row>
    <row r="6" spans="1:27" s="5" customFormat="1">
      <c r="A6" s="351" t="s">
        <v>595</v>
      </c>
      <c r="B6" s="301">
        <v>36752</v>
      </c>
      <c r="C6" s="298" t="s">
        <v>570</v>
      </c>
      <c r="D6" s="274"/>
      <c r="E6" s="299">
        <f>'2-δικαιώμ'!M6</f>
        <v>2670</v>
      </c>
      <c r="F6" s="275">
        <f>'3-φύλλα2α'!F6</f>
        <v>800</v>
      </c>
      <c r="G6" s="275">
        <f>'4-πολλυπρ'!P6</f>
        <v>0</v>
      </c>
      <c r="H6" s="274">
        <f>'5-αντίγρ'!M6</f>
        <v>1958</v>
      </c>
      <c r="I6" s="274">
        <f>'6-μεταγρ'!H6</f>
        <v>0</v>
      </c>
      <c r="J6" s="274">
        <f>'7-προςΔΟΥ'!E6</f>
        <v>0</v>
      </c>
      <c r="K6" s="274"/>
      <c r="L6" s="299">
        <f t="shared" si="0"/>
        <v>5428</v>
      </c>
      <c r="M6" s="299">
        <v>6456</v>
      </c>
      <c r="N6" s="276">
        <f>M6-P6-'14-βιβλΕσ'!M6</f>
        <v>5728</v>
      </c>
      <c r="O6" s="276">
        <f t="shared" si="1"/>
        <v>-300</v>
      </c>
      <c r="P6" s="277">
        <v>256</v>
      </c>
      <c r="Q6" s="300"/>
      <c r="R6" s="300"/>
      <c r="S6" s="300"/>
      <c r="T6" s="300"/>
      <c r="U6" s="300"/>
      <c r="V6" s="300"/>
      <c r="W6" s="300"/>
      <c r="X6" s="300"/>
      <c r="Y6" s="300"/>
      <c r="Z6" s="74"/>
      <c r="AA6" s="74"/>
    </row>
    <row r="7" spans="1:27" s="5" customFormat="1">
      <c r="A7" s="351" t="s">
        <v>596</v>
      </c>
      <c r="B7" s="301">
        <v>36855</v>
      </c>
      <c r="C7" s="298" t="s">
        <v>570</v>
      </c>
      <c r="D7" s="274"/>
      <c r="E7" s="299">
        <f>'2-δικαιώμ'!M7</f>
        <v>2670</v>
      </c>
      <c r="F7" s="275">
        <f>'3-φύλλα2α'!F7</f>
        <v>0</v>
      </c>
      <c r="G7" s="275">
        <f>'4-πολλυπρ'!P7</f>
        <v>0</v>
      </c>
      <c r="H7" s="274">
        <f>'5-αντίγρ'!M7</f>
        <v>979</v>
      </c>
      <c r="I7" s="274">
        <f>'6-μεταγρ'!H7</f>
        <v>0</v>
      </c>
      <c r="J7" s="274">
        <f>'7-προςΔΟΥ'!E7</f>
        <v>0</v>
      </c>
      <c r="K7" s="274"/>
      <c r="L7" s="299">
        <f t="shared" ref="L7" si="2">E7+F7+G7+H7+I7+J7+K7</f>
        <v>3649</v>
      </c>
      <c r="M7" s="299">
        <v>4456</v>
      </c>
      <c r="N7" s="276">
        <f>M7-P7-'14-βιβλΕσ'!M7</f>
        <v>3705</v>
      </c>
      <c r="O7" s="276">
        <f t="shared" ref="O7" si="3">L7-N7</f>
        <v>-56</v>
      </c>
      <c r="P7" s="277">
        <v>300</v>
      </c>
      <c r="Q7" s="300"/>
      <c r="R7" s="300"/>
      <c r="S7" s="300"/>
      <c r="T7" s="300"/>
      <c r="U7" s="300"/>
      <c r="V7" s="300"/>
      <c r="W7" s="300"/>
      <c r="X7" s="300"/>
      <c r="Y7" s="300"/>
      <c r="Z7" s="74"/>
      <c r="AA7" s="74"/>
    </row>
    <row r="8" spans="1:27" s="5" customFormat="1">
      <c r="A8" s="374" t="s">
        <v>598</v>
      </c>
      <c r="B8" s="301">
        <v>36949</v>
      </c>
      <c r="C8" s="298" t="s">
        <v>536</v>
      </c>
      <c r="D8" s="274">
        <v>21620352</v>
      </c>
      <c r="E8" s="299">
        <f>'2-δικαιώμ'!M8</f>
        <v>223253.59040000004</v>
      </c>
      <c r="F8" s="275">
        <f>'3-φύλλα2α'!F8</f>
        <v>4000</v>
      </c>
      <c r="G8" s="275">
        <f>'4-πολλυπρ'!P8</f>
        <v>0</v>
      </c>
      <c r="H8" s="274">
        <f>'5-αντίγρ'!M8</f>
        <v>9790</v>
      </c>
      <c r="I8" s="274">
        <f>'6-μεταγρ'!H8</f>
        <v>5500</v>
      </c>
      <c r="J8" s="274">
        <f>'7-προςΔΟΥ'!E8</f>
        <v>4400</v>
      </c>
      <c r="K8" s="274"/>
      <c r="L8" s="299">
        <f t="shared" ref="L8:L15" si="4">E8+F8+G8+H8+I8+J8+K8</f>
        <v>246943.59040000004</v>
      </c>
      <c r="M8" s="299">
        <v>254794</v>
      </c>
      <c r="N8" s="276">
        <f>M8-P8-'14-βιβλΕσ'!M8</f>
        <v>214439</v>
      </c>
      <c r="O8" s="276">
        <f t="shared" ref="O8:O15" si="5">L8-N8</f>
        <v>32504.590400000045</v>
      </c>
      <c r="P8" s="277">
        <v>100</v>
      </c>
      <c r="Q8" s="300"/>
      <c r="R8" s="300"/>
      <c r="S8" s="300"/>
      <c r="T8" s="300"/>
      <c r="U8" s="300"/>
      <c r="V8" s="300"/>
      <c r="W8" s="300"/>
      <c r="X8" s="300"/>
      <c r="Y8" s="300"/>
      <c r="Z8" s="74"/>
      <c r="AA8" s="74"/>
    </row>
    <row r="9" spans="1:27" s="5" customFormat="1">
      <c r="A9" s="374"/>
      <c r="B9" s="301"/>
      <c r="C9" s="298" t="s">
        <v>537</v>
      </c>
      <c r="D9" s="274">
        <v>3329534</v>
      </c>
      <c r="E9" s="299">
        <f>'2-δικαιώμ'!M9</f>
        <v>36687.246800000001</v>
      </c>
      <c r="F9" s="275">
        <f>'3-φύλλα2α'!F9</f>
        <v>4000</v>
      </c>
      <c r="G9" s="275">
        <f>'4-πολλυπρ'!P9</f>
        <v>0</v>
      </c>
      <c r="H9" s="274">
        <f>'5-αντίγρ'!M9</f>
        <v>9790</v>
      </c>
      <c r="I9" s="274">
        <f>'6-μεταγρ'!H9</f>
        <v>0</v>
      </c>
      <c r="J9" s="274">
        <f>'7-προςΔΟΥ'!E9</f>
        <v>0</v>
      </c>
      <c r="K9" s="274"/>
      <c r="L9" s="299">
        <f t="shared" si="4"/>
        <v>50477.246800000001</v>
      </c>
      <c r="M9" s="299"/>
      <c r="N9" s="276"/>
      <c r="O9" s="276">
        <f t="shared" si="5"/>
        <v>50477.246800000001</v>
      </c>
      <c r="P9" s="277"/>
      <c r="Q9" s="300"/>
      <c r="R9" s="300"/>
      <c r="S9" s="300"/>
      <c r="T9" s="300"/>
      <c r="U9" s="300"/>
      <c r="V9" s="300"/>
      <c r="W9" s="300"/>
      <c r="X9" s="300"/>
      <c r="Y9" s="300"/>
      <c r="Z9" s="74"/>
      <c r="AA9" s="74"/>
    </row>
    <row r="10" spans="1:27" s="5" customFormat="1">
      <c r="A10" s="374"/>
      <c r="B10" s="301"/>
      <c r="C10" s="298" t="s">
        <v>526</v>
      </c>
      <c r="D10" s="274"/>
      <c r="E10" s="299">
        <f>'2-δικαιώμ'!M10</f>
        <v>2670</v>
      </c>
      <c r="F10" s="275">
        <f>'3-φύλλα2α'!F10</f>
        <v>3200</v>
      </c>
      <c r="G10" s="275">
        <f>'4-πολλυπρ'!P10</f>
        <v>0</v>
      </c>
      <c r="H10" s="274">
        <f>'5-αντίγρ'!M10</f>
        <v>9790</v>
      </c>
      <c r="I10" s="274">
        <f>'6-μεταγρ'!H10</f>
        <v>1100</v>
      </c>
      <c r="J10" s="274">
        <f>'7-προςΔΟΥ'!E10</f>
        <v>2200</v>
      </c>
      <c r="K10" s="274"/>
      <c r="L10" s="299">
        <f t="shared" si="4"/>
        <v>18960</v>
      </c>
      <c r="M10" s="299"/>
      <c r="N10" s="276"/>
      <c r="O10" s="276">
        <f t="shared" si="5"/>
        <v>18960</v>
      </c>
      <c r="P10" s="277"/>
      <c r="Q10" s="300"/>
      <c r="R10" s="300"/>
      <c r="S10" s="300"/>
      <c r="T10" s="300"/>
      <c r="U10" s="300"/>
      <c r="V10" s="300"/>
      <c r="W10" s="300"/>
      <c r="X10" s="300"/>
      <c r="Y10" s="300"/>
      <c r="Z10" s="74"/>
      <c r="AA10" s="74"/>
    </row>
    <row r="11" spans="1:27" s="5" customFormat="1" ht="12" thickBot="1">
      <c r="A11" s="460"/>
      <c r="B11" s="453"/>
      <c r="C11" s="454" t="s">
        <v>541</v>
      </c>
      <c r="D11" s="455"/>
      <c r="E11" s="456">
        <f>'2-δικαιώμ'!M11</f>
        <v>17800</v>
      </c>
      <c r="F11" s="456">
        <f>'3-φύλλα2α'!F11</f>
        <v>3200</v>
      </c>
      <c r="G11" s="456">
        <f>'4-πολλυπρ'!P11</f>
        <v>0</v>
      </c>
      <c r="H11" s="455">
        <f>'5-αντίγρ'!M11</f>
        <v>9790</v>
      </c>
      <c r="I11" s="455">
        <f>'6-μεταγρ'!H11</f>
        <v>4400</v>
      </c>
      <c r="J11" s="455">
        <f>'7-προςΔΟΥ'!E11</f>
        <v>4400</v>
      </c>
      <c r="K11" s="455"/>
      <c r="L11" s="456">
        <f t="shared" si="4"/>
        <v>39590</v>
      </c>
      <c r="M11" s="456"/>
      <c r="N11" s="457"/>
      <c r="O11" s="457">
        <f t="shared" si="5"/>
        <v>39590</v>
      </c>
      <c r="P11" s="458"/>
      <c r="Q11" s="459"/>
      <c r="R11" s="459"/>
      <c r="S11" s="459"/>
      <c r="T11" s="459"/>
      <c r="U11" s="459"/>
      <c r="V11" s="459"/>
      <c r="W11" s="459"/>
      <c r="X11" s="459"/>
      <c r="Y11" s="459"/>
      <c r="Z11" s="74"/>
      <c r="AA11" s="74"/>
    </row>
    <row r="12" spans="1:27" s="5" customFormat="1">
      <c r="A12" s="340" t="s">
        <v>597</v>
      </c>
      <c r="B12" s="449">
        <v>36949</v>
      </c>
      <c r="C12" s="450" t="s">
        <v>570</v>
      </c>
      <c r="D12" s="305"/>
      <c r="E12" s="275">
        <f>'2-δικαιώμ'!M12</f>
        <v>2670</v>
      </c>
      <c r="F12" s="275">
        <f>'3-φύλλα2α'!F12</f>
        <v>0</v>
      </c>
      <c r="G12" s="275">
        <f>'4-πολλυπρ'!P12</f>
        <v>0</v>
      </c>
      <c r="H12" s="305">
        <f>'5-αντίγρ'!M12</f>
        <v>979</v>
      </c>
      <c r="I12" s="305">
        <f>'6-μεταγρ'!H12</f>
        <v>0</v>
      </c>
      <c r="J12" s="305">
        <f>'7-προςΔΟΥ'!E12</f>
        <v>0</v>
      </c>
      <c r="K12" s="305"/>
      <c r="L12" s="275">
        <f t="shared" si="4"/>
        <v>3649</v>
      </c>
      <c r="M12" s="275">
        <v>4456</v>
      </c>
      <c r="N12" s="276">
        <f>M12-P12-'14-βιβλΕσ'!M12</f>
        <v>3915</v>
      </c>
      <c r="O12" s="276">
        <f t="shared" si="5"/>
        <v>-266</v>
      </c>
      <c r="P12" s="451">
        <v>90</v>
      </c>
      <c r="Q12" s="452"/>
      <c r="R12" s="452"/>
      <c r="S12" s="452"/>
      <c r="T12" s="452"/>
      <c r="U12" s="452"/>
      <c r="V12" s="452"/>
      <c r="W12" s="452"/>
      <c r="X12" s="452"/>
      <c r="Y12" s="452"/>
      <c r="Z12" s="74"/>
      <c r="AA12" s="74"/>
    </row>
    <row r="13" spans="1:27" s="5" customFormat="1">
      <c r="A13" s="340" t="s">
        <v>599</v>
      </c>
      <c r="B13" s="449">
        <v>36949</v>
      </c>
      <c r="C13" s="450" t="s">
        <v>545</v>
      </c>
      <c r="D13" s="305">
        <v>725760</v>
      </c>
      <c r="E13" s="299">
        <f>'2-δικαιώμ'!M13</f>
        <v>10128.751999999999</v>
      </c>
      <c r="F13" s="275">
        <f>'3-φύλλα2α'!F13</f>
        <v>3000</v>
      </c>
      <c r="G13" s="275">
        <f>'4-πολλυπρ'!P13</f>
        <v>8000</v>
      </c>
      <c r="H13" s="274">
        <f>'5-αντίγρ'!M13</f>
        <v>15664</v>
      </c>
      <c r="I13" s="274">
        <f>'6-μεταγρ'!H13</f>
        <v>7700</v>
      </c>
      <c r="J13" s="274">
        <f>'7-προςΔΟΥ'!E13</f>
        <v>2200</v>
      </c>
      <c r="K13" s="274"/>
      <c r="L13" s="299">
        <f t="shared" si="4"/>
        <v>46692.752</v>
      </c>
      <c r="M13" s="299">
        <v>27765</v>
      </c>
      <c r="N13" s="276">
        <f>M13-P13-'14-βιβλΕσ'!M13</f>
        <v>25068</v>
      </c>
      <c r="O13" s="276">
        <f t="shared" si="5"/>
        <v>21624.752</v>
      </c>
      <c r="P13" s="277">
        <v>100</v>
      </c>
      <c r="Q13" s="300"/>
      <c r="R13" s="300"/>
      <c r="S13" s="300"/>
      <c r="T13" s="300"/>
      <c r="U13" s="300"/>
      <c r="V13" s="300"/>
      <c r="W13" s="300"/>
      <c r="X13" s="300"/>
      <c r="Y13" s="300"/>
      <c r="Z13" s="74"/>
      <c r="AA13" s="74"/>
    </row>
    <row r="14" spans="1:27" s="5" customFormat="1">
      <c r="A14" s="351" t="s">
        <v>600</v>
      </c>
      <c r="B14" s="301">
        <v>36949</v>
      </c>
      <c r="C14" s="298" t="s">
        <v>557</v>
      </c>
      <c r="D14" s="274">
        <v>5112496</v>
      </c>
      <c r="E14" s="299">
        <f>'2-δικαιώμ'!M14</f>
        <v>54873.459200000005</v>
      </c>
      <c r="F14" s="275">
        <f>'3-φύλλα2α'!F14</f>
        <v>3000</v>
      </c>
      <c r="G14" s="275">
        <f>'4-πολλυπρ'!P14</f>
        <v>0</v>
      </c>
      <c r="H14" s="274">
        <f>'5-αντίγρ'!M14</f>
        <v>7832</v>
      </c>
      <c r="I14" s="274">
        <f>'6-μεταγρ'!H14</f>
        <v>2200</v>
      </c>
      <c r="J14" s="274">
        <f>'7-προςΔΟΥ'!E14</f>
        <v>2200</v>
      </c>
      <c r="K14" s="274"/>
      <c r="L14" s="299">
        <f t="shared" si="4"/>
        <v>70105.459200000012</v>
      </c>
      <c r="M14" s="299">
        <v>116049</v>
      </c>
      <c r="N14" s="276">
        <f>M14-P14-'14-βιβλΕσ'!M14</f>
        <v>105604</v>
      </c>
      <c r="O14" s="276">
        <f t="shared" si="5"/>
        <v>-35498.540799999988</v>
      </c>
      <c r="P14" s="277">
        <v>100</v>
      </c>
      <c r="Q14" s="300"/>
      <c r="R14" s="300"/>
      <c r="S14" s="300"/>
      <c r="T14" s="300"/>
      <c r="U14" s="300"/>
      <c r="V14" s="300"/>
      <c r="W14" s="300"/>
      <c r="X14" s="300"/>
      <c r="Y14" s="300"/>
      <c r="Z14" s="74"/>
      <c r="AA14" s="74"/>
    </row>
    <row r="15" spans="1:27" s="5" customFormat="1">
      <c r="A15" s="374" t="s">
        <v>601</v>
      </c>
      <c r="B15" s="301">
        <v>36949</v>
      </c>
      <c r="C15" s="298" t="s">
        <v>525</v>
      </c>
      <c r="D15" s="274">
        <v>6471276</v>
      </c>
      <c r="E15" s="299">
        <f>'2-δικαιώμ'!M15</f>
        <v>68733.015200000009</v>
      </c>
      <c r="F15" s="275">
        <f>'3-φύλλα2α'!F15</f>
        <v>5000</v>
      </c>
      <c r="G15" s="275">
        <f>'4-πολλυπρ'!P15</f>
        <v>12000</v>
      </c>
      <c r="H15" s="274">
        <f>'5-αντίγρ'!M15</f>
        <v>23496</v>
      </c>
      <c r="I15" s="274">
        <f>'6-μεταγρ'!H15</f>
        <v>7700</v>
      </c>
      <c r="J15" s="274">
        <f>'7-προςΔΟΥ'!E15</f>
        <v>2200</v>
      </c>
      <c r="K15" s="274"/>
      <c r="L15" s="299">
        <f t="shared" si="4"/>
        <v>119129.01520000001</v>
      </c>
      <c r="M15" s="299">
        <v>143393</v>
      </c>
      <c r="N15" s="276">
        <f>M15-P15-'14-βιβλΕσ'!M15</f>
        <v>128404</v>
      </c>
      <c r="O15" s="276">
        <f t="shared" si="5"/>
        <v>-9274.9847999999911</v>
      </c>
      <c r="P15" s="277">
        <v>1000</v>
      </c>
      <c r="Q15" s="300"/>
      <c r="R15" s="300"/>
      <c r="S15" s="300"/>
      <c r="T15" s="300"/>
      <c r="U15" s="300"/>
      <c r="V15" s="300"/>
      <c r="W15" s="300"/>
      <c r="X15" s="300"/>
      <c r="Y15" s="300"/>
      <c r="Z15" s="74"/>
      <c r="AA15" s="74"/>
    </row>
    <row r="16" spans="1:27" s="5" customFormat="1">
      <c r="A16" s="374"/>
      <c r="B16" s="301"/>
      <c r="C16" s="298" t="s">
        <v>541</v>
      </c>
      <c r="D16" s="274"/>
      <c r="E16" s="299">
        <f>'2-δικαιώμ'!M16</f>
        <v>17800</v>
      </c>
      <c r="F16" s="275">
        <f>'3-φύλλα2α'!F16</f>
        <v>4000</v>
      </c>
      <c r="G16" s="275">
        <f>'4-πολλυπρ'!P16</f>
        <v>0</v>
      </c>
      <c r="H16" s="274">
        <f>'5-αντίγρ'!M16</f>
        <v>0</v>
      </c>
      <c r="I16" s="274">
        <f>'6-μεταγρ'!H16</f>
        <v>8800</v>
      </c>
      <c r="J16" s="274">
        <f>'7-προςΔΟΥ'!E16</f>
        <v>6600</v>
      </c>
      <c r="K16" s="274"/>
      <c r="L16" s="299">
        <f t="shared" ref="L16" si="6">E16+F16+G16+H16+I16+J16+K16</f>
        <v>37200</v>
      </c>
      <c r="M16" s="299">
        <v>20000</v>
      </c>
      <c r="N16" s="276">
        <f>M16-P16-'14-βιβλΕσ'!M16</f>
        <v>17700</v>
      </c>
      <c r="O16" s="276">
        <f t="shared" ref="O16" si="7">L16-N16</f>
        <v>19500</v>
      </c>
      <c r="P16" s="277">
        <v>100</v>
      </c>
      <c r="Q16" s="300"/>
      <c r="R16" s="300"/>
      <c r="S16" s="300"/>
      <c r="T16" s="300"/>
      <c r="U16" s="300"/>
      <c r="V16" s="300"/>
      <c r="W16" s="300"/>
      <c r="X16" s="300"/>
      <c r="Y16" s="300"/>
      <c r="Z16" s="74"/>
      <c r="AA16" s="74"/>
    </row>
    <row r="17" spans="1:27">
      <c r="A17" s="595" t="s">
        <v>47</v>
      </c>
      <c r="B17" s="596"/>
      <c r="C17" s="596"/>
      <c r="D17" s="596"/>
      <c r="E17" s="150">
        <f t="shared" ref="E17:O17" si="8">SUM(E3:E13)</f>
        <v>306559.58920000005</v>
      </c>
      <c r="F17" s="150">
        <f t="shared" si="8"/>
        <v>20600</v>
      </c>
      <c r="G17" s="150">
        <f t="shared" si="8"/>
        <v>11800</v>
      </c>
      <c r="H17" s="150">
        <f t="shared" si="8"/>
        <v>70488</v>
      </c>
      <c r="I17" s="150">
        <f t="shared" si="8"/>
        <v>18700</v>
      </c>
      <c r="J17" s="150">
        <f t="shared" si="8"/>
        <v>13200</v>
      </c>
      <c r="K17" s="150">
        <f t="shared" si="8"/>
        <v>0</v>
      </c>
      <c r="L17" s="150">
        <f t="shared" si="8"/>
        <v>441347.58920000005</v>
      </c>
      <c r="M17" s="150">
        <f t="shared" si="8"/>
        <v>346311</v>
      </c>
      <c r="N17" s="150">
        <f t="shared" si="8"/>
        <v>298029</v>
      </c>
      <c r="O17" s="150">
        <f t="shared" si="8"/>
        <v>143318.58920000005</v>
      </c>
    </row>
    <row r="19" spans="1:27">
      <c r="C19" s="115" t="s">
        <v>580</v>
      </c>
      <c r="P19" s="199" t="s">
        <v>99</v>
      </c>
      <c r="Q19" s="127"/>
      <c r="R19" s="127"/>
      <c r="S19" s="127"/>
      <c r="T19" s="137"/>
      <c r="U19" s="137"/>
      <c r="V19" s="137"/>
      <c r="W19" s="137"/>
      <c r="X19" s="137"/>
      <c r="Z19" s="127"/>
      <c r="AA19" s="127"/>
    </row>
    <row r="20" spans="1:27">
      <c r="B20" s="8"/>
      <c r="C20" s="115" t="s">
        <v>581</v>
      </c>
      <c r="D20" s="8"/>
      <c r="E20" s="8"/>
      <c r="K20" s="213" t="s">
        <v>375</v>
      </c>
      <c r="L20" s="8"/>
      <c r="M20" s="8"/>
      <c r="P20" s="8"/>
      <c r="Q20" s="115" t="s">
        <v>377</v>
      </c>
      <c r="R20" s="115"/>
      <c r="S20" s="115"/>
      <c r="T20" s="129"/>
      <c r="U20" s="137"/>
      <c r="V20" s="137"/>
      <c r="W20" s="137"/>
      <c r="X20" s="137"/>
      <c r="Z20" s="128"/>
      <c r="AA20" s="115"/>
    </row>
    <row r="21" spans="1:27">
      <c r="B21" s="8"/>
      <c r="C21" s="8"/>
      <c r="D21" s="8"/>
      <c r="E21" s="8"/>
      <c r="F21" s="166"/>
      <c r="K21" s="154" t="s">
        <v>230</v>
      </c>
      <c r="L21" s="117"/>
      <c r="M21" s="117"/>
      <c r="P21" s="8"/>
      <c r="Q21" s="115"/>
      <c r="R21" s="115" t="s">
        <v>138</v>
      </c>
      <c r="S21" s="115"/>
      <c r="T21" s="137"/>
      <c r="U21" s="137"/>
      <c r="V21" s="137"/>
      <c r="W21" s="137"/>
      <c r="X21" s="137"/>
      <c r="Z21" s="115"/>
    </row>
    <row r="22" spans="1:27">
      <c r="B22" s="8"/>
      <c r="C22" s="8"/>
      <c r="D22" s="8"/>
      <c r="E22" s="8"/>
      <c r="F22" s="166"/>
      <c r="K22" s="212" t="s">
        <v>231</v>
      </c>
      <c r="P22" s="8"/>
      <c r="S22" s="115" t="s">
        <v>376</v>
      </c>
      <c r="T22" s="91"/>
      <c r="U22" s="91"/>
      <c r="V22" s="91"/>
      <c r="W22" s="91"/>
      <c r="X22" s="91"/>
    </row>
    <row r="23" spans="1:27">
      <c r="B23" s="8"/>
      <c r="C23" s="8"/>
      <c r="D23" s="8"/>
      <c r="E23" s="8"/>
      <c r="F23" s="82"/>
      <c r="G23" s="8"/>
      <c r="H23" s="8"/>
      <c r="I23" s="8"/>
      <c r="J23" s="8"/>
      <c r="K23" s="8"/>
      <c r="L23" s="8"/>
      <c r="M23" s="8"/>
      <c r="N23" s="8"/>
      <c r="O23" s="8"/>
      <c r="P23" s="8"/>
      <c r="T23" s="115" t="s">
        <v>378</v>
      </c>
      <c r="U23" s="137"/>
      <c r="V23" s="137"/>
      <c r="W23" s="137"/>
      <c r="X23" s="137"/>
    </row>
    <row r="24" spans="1:27">
      <c r="B24" s="8"/>
      <c r="C24" s="8"/>
      <c r="D24" s="8"/>
      <c r="E24" s="8"/>
      <c r="P24" s="8"/>
      <c r="T24" s="91"/>
      <c r="U24" s="137" t="s">
        <v>379</v>
      </c>
      <c r="V24" s="137"/>
      <c r="W24" s="137"/>
      <c r="X24" s="137"/>
    </row>
    <row r="25" spans="1:27">
      <c r="B25" s="8"/>
      <c r="C25" s="8"/>
      <c r="D25" s="8"/>
      <c r="E25" s="8"/>
      <c r="P25" s="8"/>
      <c r="T25" s="91"/>
      <c r="U25" s="91"/>
      <c r="V25" s="137" t="s">
        <v>380</v>
      </c>
      <c r="W25" s="91"/>
      <c r="X25" s="91"/>
    </row>
    <row r="26" spans="1:27">
      <c r="E26" s="8"/>
      <c r="P26" s="8"/>
      <c r="T26" s="91"/>
      <c r="U26" s="91"/>
      <c r="V26" s="91"/>
      <c r="W26" s="214" t="s">
        <v>381</v>
      </c>
      <c r="X26" s="91"/>
    </row>
    <row r="27" spans="1:27">
      <c r="C27" s="130"/>
      <c r="U27" s="137"/>
      <c r="V27" s="137"/>
      <c r="W27" s="91"/>
      <c r="X27" s="92" t="s">
        <v>382</v>
      </c>
      <c r="Y27" s="137"/>
    </row>
    <row r="28" spans="1:27">
      <c r="C28" s="131"/>
      <c r="U28" s="91"/>
      <c r="V28" s="137"/>
      <c r="W28" s="137"/>
      <c r="X28" s="137"/>
      <c r="Y28" s="137"/>
    </row>
    <row r="30" spans="1:27">
      <c r="E30" s="8"/>
      <c r="G30" s="8"/>
      <c r="H30" s="8"/>
      <c r="I30" s="8" t="s">
        <v>257</v>
      </c>
      <c r="J30" s="354" t="s">
        <v>512</v>
      </c>
      <c r="K30" s="352"/>
      <c r="L30" s="586" t="s">
        <v>513</v>
      </c>
      <c r="M30" s="586"/>
      <c r="N30" s="586"/>
      <c r="O30" s="586"/>
    </row>
    <row r="31" spans="1:27">
      <c r="E31" s="569" t="s">
        <v>598</v>
      </c>
      <c r="F31" s="8">
        <v>274794</v>
      </c>
      <c r="G31" s="2" t="s">
        <v>320</v>
      </c>
      <c r="H31" s="8">
        <v>100</v>
      </c>
      <c r="I31" s="8"/>
      <c r="J31" s="8">
        <v>200</v>
      </c>
      <c r="K31" s="8"/>
      <c r="L31" s="8">
        <v>100</v>
      </c>
      <c r="M31" s="8">
        <v>100</v>
      </c>
      <c r="N31" s="8">
        <v>100</v>
      </c>
      <c r="O31" s="8">
        <v>100</v>
      </c>
      <c r="P31" s="8">
        <v>100</v>
      </c>
      <c r="Q31" s="2" t="s">
        <v>320</v>
      </c>
    </row>
    <row r="32" spans="1:27">
      <c r="C32" s="3" t="s">
        <v>542</v>
      </c>
      <c r="D32" s="133" t="s">
        <v>527</v>
      </c>
      <c r="E32" s="375">
        <v>63449.31</v>
      </c>
      <c r="G32" s="2" t="s">
        <v>370</v>
      </c>
      <c r="H32" s="8"/>
      <c r="I32" s="8"/>
      <c r="J32" s="8"/>
      <c r="K32" s="8"/>
      <c r="L32" s="8"/>
      <c r="M32" s="8">
        <v>43280</v>
      </c>
      <c r="N32" s="8"/>
      <c r="O32" s="8"/>
      <c r="P32" s="8">
        <v>223589</v>
      </c>
      <c r="Q32" s="2" t="s">
        <v>529</v>
      </c>
    </row>
    <row r="33" spans="1:19">
      <c r="C33" s="303" t="s">
        <v>543</v>
      </c>
      <c r="E33" s="350"/>
      <c r="G33" s="2" t="s">
        <v>79</v>
      </c>
      <c r="H33" s="8">
        <v>20000</v>
      </c>
      <c r="I33" s="8"/>
      <c r="J33" s="8">
        <v>20000</v>
      </c>
      <c r="K33" s="8"/>
      <c r="L33" s="8"/>
      <c r="M33" s="8"/>
      <c r="N33" s="8">
        <v>3000</v>
      </c>
      <c r="O33" s="8">
        <v>20000</v>
      </c>
      <c r="P33" s="8"/>
      <c r="Q33" s="2"/>
    </row>
    <row r="34" spans="1:19">
      <c r="C34" s="303" t="s">
        <v>544</v>
      </c>
      <c r="G34" s="2" t="s">
        <v>508</v>
      </c>
      <c r="H34" s="8">
        <v>1000</v>
      </c>
      <c r="I34" s="8"/>
      <c r="J34" s="8">
        <v>1000</v>
      </c>
      <c r="K34" s="8"/>
      <c r="L34" s="8">
        <v>1000</v>
      </c>
      <c r="M34" s="8">
        <v>1000</v>
      </c>
      <c r="N34" s="8"/>
      <c r="O34" s="8"/>
      <c r="P34" s="8">
        <v>23673</v>
      </c>
      <c r="Q34" s="2" t="s">
        <v>324</v>
      </c>
    </row>
    <row r="35" spans="1:19">
      <c r="C35" s="303"/>
      <c r="G35" s="353" t="s">
        <v>509</v>
      </c>
      <c r="H35" s="8">
        <v>3600</v>
      </c>
      <c r="I35" s="8"/>
      <c r="J35" s="8">
        <v>3600</v>
      </c>
      <c r="K35" s="8"/>
      <c r="L35" s="8">
        <v>3600</v>
      </c>
      <c r="M35" s="8">
        <v>3600</v>
      </c>
      <c r="N35" s="8"/>
      <c r="O35" s="8"/>
      <c r="P35" s="8"/>
      <c r="Q35" s="2"/>
    </row>
    <row r="36" spans="1:19">
      <c r="A36" s="78" t="s">
        <v>462</v>
      </c>
      <c r="B36" s="135" t="s">
        <v>462</v>
      </c>
      <c r="C36" s="91" t="s">
        <v>569</v>
      </c>
      <c r="G36" s="133" t="s">
        <v>510</v>
      </c>
      <c r="H36" s="8">
        <v>223589</v>
      </c>
      <c r="I36" s="8">
        <v>39455</v>
      </c>
      <c r="J36" s="8">
        <v>258004</v>
      </c>
      <c r="K36" s="8"/>
      <c r="L36" s="8">
        <v>258004</v>
      </c>
      <c r="M36" s="8">
        <v>38514</v>
      </c>
      <c r="N36" s="8"/>
      <c r="O36" s="8"/>
      <c r="P36" s="8"/>
      <c r="Q36" s="2"/>
    </row>
    <row r="37" spans="1:19">
      <c r="A37" s="78" t="s">
        <v>462</v>
      </c>
      <c r="B37" s="135" t="s">
        <v>462</v>
      </c>
      <c r="C37" s="91" t="s">
        <v>569</v>
      </c>
      <c r="G37" s="2" t="s">
        <v>511</v>
      </c>
      <c r="H37" s="8">
        <v>4000</v>
      </c>
      <c r="I37" s="8"/>
      <c r="J37" s="8">
        <v>4000</v>
      </c>
      <c r="K37" s="8"/>
      <c r="L37" s="8">
        <v>4000</v>
      </c>
      <c r="M37" s="8">
        <v>4000</v>
      </c>
      <c r="N37" s="8">
        <v>3200</v>
      </c>
      <c r="O37" s="8">
        <v>3200</v>
      </c>
      <c r="P37" s="8">
        <v>13152</v>
      </c>
      <c r="Q37" s="2" t="s">
        <v>534</v>
      </c>
    </row>
    <row r="38" spans="1:19">
      <c r="A38" s="78"/>
      <c r="G38" s="2" t="s">
        <v>94</v>
      </c>
      <c r="H38" s="8">
        <v>9850</v>
      </c>
      <c r="I38" s="8">
        <v>800</v>
      </c>
      <c r="J38" s="8">
        <v>11000</v>
      </c>
      <c r="K38" s="8"/>
      <c r="L38" s="8">
        <v>11000</v>
      </c>
      <c r="M38" s="8"/>
      <c r="N38" s="8"/>
      <c r="O38" s="8"/>
      <c r="P38" s="8">
        <v>2630</v>
      </c>
      <c r="Q38" s="2" t="s">
        <v>535</v>
      </c>
    </row>
    <row r="39" spans="1:19">
      <c r="A39" s="78"/>
      <c r="G39" s="2" t="s">
        <v>462</v>
      </c>
      <c r="H39" s="8">
        <v>12655</v>
      </c>
      <c r="I39" s="8"/>
      <c r="J39" s="8"/>
      <c r="K39" s="8"/>
      <c r="L39" s="8"/>
      <c r="M39" s="8"/>
      <c r="N39" s="8"/>
      <c r="O39" s="8"/>
      <c r="P39" s="385"/>
    </row>
    <row r="40" spans="1:19">
      <c r="A40" s="78"/>
      <c r="H40" s="225">
        <f>SUM(H31:H39)</f>
        <v>274794</v>
      </c>
      <c r="I40" s="225">
        <f>SUM(I31:I39)</f>
        <v>40255</v>
      </c>
      <c r="J40" s="225">
        <f>SUM(J31:J39)</f>
        <v>297804</v>
      </c>
      <c r="K40" s="225"/>
      <c r="L40" s="225">
        <f>SUM(L31:L39)</f>
        <v>277704</v>
      </c>
      <c r="M40" s="225">
        <f>SUM(M31:M39)</f>
        <v>90494</v>
      </c>
      <c r="N40" s="225">
        <f>SUM(N31:N39)</f>
        <v>6300</v>
      </c>
      <c r="O40" s="225">
        <f>SUM(O31:O39)</f>
        <v>23300</v>
      </c>
      <c r="P40" s="383">
        <f>SUM(L40:O40)</f>
        <v>397798</v>
      </c>
    </row>
    <row r="41" spans="1:19">
      <c r="A41" s="78"/>
      <c r="H41" s="2">
        <f>F31-H40</f>
        <v>0</v>
      </c>
    </row>
    <row r="42" spans="1:19">
      <c r="A42" s="78"/>
      <c r="E42" s="8"/>
      <c r="G42" s="8"/>
      <c r="H42" s="8"/>
      <c r="I42" s="8" t="s">
        <v>257</v>
      </c>
      <c r="J42" s="354" t="s">
        <v>512</v>
      </c>
      <c r="K42" s="352"/>
      <c r="L42" s="381" t="s">
        <v>513</v>
      </c>
    </row>
    <row r="43" spans="1:19">
      <c r="A43" s="78"/>
      <c r="E43" s="569" t="s">
        <v>599</v>
      </c>
      <c r="F43" s="8">
        <v>27765</v>
      </c>
      <c r="G43" s="2" t="s">
        <v>320</v>
      </c>
      <c r="H43" s="8">
        <v>100</v>
      </c>
      <c r="I43" s="8"/>
      <c r="J43" s="8">
        <v>1000</v>
      </c>
      <c r="K43" s="8"/>
      <c r="L43" s="8">
        <v>100</v>
      </c>
      <c r="M43" s="8">
        <v>1000</v>
      </c>
      <c r="N43" s="2" t="s">
        <v>320</v>
      </c>
    </row>
    <row r="44" spans="1:19">
      <c r="A44" s="78"/>
      <c r="D44" s="133" t="s">
        <v>527</v>
      </c>
      <c r="E44" s="375">
        <v>2129.89</v>
      </c>
      <c r="G44" s="2" t="s">
        <v>370</v>
      </c>
      <c r="H44" s="8">
        <v>5824</v>
      </c>
      <c r="I44" s="8"/>
      <c r="J44" s="8">
        <v>5625</v>
      </c>
      <c r="K44" s="8"/>
      <c r="L44" s="8">
        <v>5625</v>
      </c>
      <c r="M44" s="8">
        <v>10464</v>
      </c>
      <c r="N44" s="2" t="s">
        <v>529</v>
      </c>
      <c r="S44" s="8"/>
    </row>
    <row r="45" spans="1:19">
      <c r="A45" s="78" t="s">
        <v>462</v>
      </c>
      <c r="B45" s="135" t="s">
        <v>462</v>
      </c>
      <c r="C45" s="3" t="s">
        <v>570</v>
      </c>
      <c r="E45" s="350"/>
      <c r="G45" s="2" t="s">
        <v>79</v>
      </c>
      <c r="H45" s="8"/>
      <c r="I45" s="8"/>
      <c r="J45" s="8"/>
      <c r="K45" s="8"/>
      <c r="L45" s="8"/>
      <c r="M45" s="8"/>
      <c r="S45" s="8"/>
    </row>
    <row r="46" spans="1:19">
      <c r="A46" s="78" t="s">
        <v>462</v>
      </c>
      <c r="B46" s="135" t="s">
        <v>462</v>
      </c>
      <c r="C46" s="3" t="s">
        <v>570</v>
      </c>
      <c r="G46" s="2" t="s">
        <v>508</v>
      </c>
      <c r="H46" s="8"/>
      <c r="I46" s="8"/>
      <c r="J46" s="8">
        <v>1000</v>
      </c>
      <c r="K46" s="8"/>
      <c r="L46" s="8">
        <v>1000</v>
      </c>
      <c r="M46" s="8">
        <v>4717</v>
      </c>
      <c r="N46" s="2" t="s">
        <v>531</v>
      </c>
      <c r="S46" s="8"/>
    </row>
    <row r="47" spans="1:19">
      <c r="A47" s="78" t="s">
        <v>462</v>
      </c>
      <c r="B47" s="135" t="s">
        <v>462</v>
      </c>
      <c r="C47" s="3" t="s">
        <v>570</v>
      </c>
      <c r="G47" s="353" t="s">
        <v>509</v>
      </c>
      <c r="H47" s="8"/>
      <c r="I47" s="8"/>
      <c r="J47" s="8">
        <v>3600</v>
      </c>
      <c r="K47" s="8"/>
      <c r="L47" s="8">
        <v>3600</v>
      </c>
      <c r="M47" s="8">
        <v>1179</v>
      </c>
      <c r="N47" s="2" t="s">
        <v>532</v>
      </c>
      <c r="S47" s="8"/>
    </row>
    <row r="48" spans="1:19">
      <c r="A48" s="78"/>
      <c r="G48" s="133" t="s">
        <v>510</v>
      </c>
      <c r="H48" s="8">
        <v>10464</v>
      </c>
      <c r="I48" s="8">
        <v>1917</v>
      </c>
      <c r="J48" s="8">
        <v>7269</v>
      </c>
      <c r="K48" s="8"/>
      <c r="L48" s="8">
        <v>7269</v>
      </c>
      <c r="M48" s="8">
        <v>1107</v>
      </c>
      <c r="N48" s="2" t="s">
        <v>533</v>
      </c>
      <c r="S48" s="8"/>
    </row>
    <row r="49" spans="1:19">
      <c r="A49" s="78"/>
      <c r="G49" s="2" t="s">
        <v>511</v>
      </c>
      <c r="H49" s="8">
        <v>3000</v>
      </c>
      <c r="I49" s="8"/>
      <c r="J49" s="8">
        <v>3000</v>
      </c>
      <c r="K49" s="8"/>
      <c r="L49" s="8">
        <v>3000</v>
      </c>
      <c r="M49" s="8">
        <v>615</v>
      </c>
      <c r="N49" s="2" t="s">
        <v>534</v>
      </c>
      <c r="S49" s="8"/>
    </row>
    <row r="50" spans="1:19">
      <c r="A50" s="78"/>
      <c r="G50" s="2" t="s">
        <v>94</v>
      </c>
      <c r="H50" s="8">
        <v>7880</v>
      </c>
      <c r="I50" s="8">
        <v>680</v>
      </c>
      <c r="J50" s="8">
        <v>8800</v>
      </c>
      <c r="K50" s="8"/>
      <c r="L50" s="8">
        <v>8800</v>
      </c>
      <c r="M50" s="8">
        <v>123</v>
      </c>
      <c r="N50" s="2" t="s">
        <v>535</v>
      </c>
      <c r="S50" s="8"/>
    </row>
    <row r="51" spans="1:19">
      <c r="A51" s="78"/>
      <c r="G51" s="2" t="s">
        <v>462</v>
      </c>
      <c r="H51" s="8">
        <v>497</v>
      </c>
      <c r="I51" s="8"/>
      <c r="J51" s="8"/>
      <c r="K51" s="8"/>
      <c r="L51" s="8"/>
      <c r="M51" s="8"/>
      <c r="S51" s="8"/>
    </row>
    <row r="52" spans="1:19">
      <c r="A52" s="78"/>
      <c r="H52" s="225">
        <f>SUM(H43:H51)</f>
        <v>27765</v>
      </c>
      <c r="I52" s="225">
        <f>SUM(I43:I51)</f>
        <v>2597</v>
      </c>
      <c r="J52" s="225">
        <f>SUM(J43:J51)</f>
        <v>30294</v>
      </c>
      <c r="K52" s="225"/>
      <c r="L52" s="225">
        <f>SUM(L43:L51)</f>
        <v>29394</v>
      </c>
      <c r="S52" s="8"/>
    </row>
    <row r="53" spans="1:19">
      <c r="A53" s="78"/>
      <c r="H53" s="2">
        <f>F43-H52</f>
        <v>0</v>
      </c>
      <c r="S53" s="8"/>
    </row>
    <row r="54" spans="1:19">
      <c r="A54" s="78"/>
      <c r="S54" s="8"/>
    </row>
    <row r="55" spans="1:19">
      <c r="A55" s="78"/>
      <c r="E55" s="8"/>
      <c r="G55" s="8"/>
      <c r="H55" s="8"/>
      <c r="I55" s="8" t="s">
        <v>257</v>
      </c>
      <c r="J55" s="354" t="s">
        <v>512</v>
      </c>
      <c r="K55" s="352"/>
      <c r="L55" s="381" t="s">
        <v>513</v>
      </c>
      <c r="S55" s="8"/>
    </row>
    <row r="56" spans="1:19">
      <c r="A56" s="78"/>
      <c r="C56" s="3" t="s">
        <v>546</v>
      </c>
      <c r="E56" s="569" t="s">
        <v>600</v>
      </c>
      <c r="F56" s="8">
        <v>116049</v>
      </c>
      <c r="G56" s="2" t="s">
        <v>320</v>
      </c>
      <c r="H56" s="8">
        <v>1000</v>
      </c>
      <c r="I56" s="8"/>
      <c r="J56" s="8">
        <v>1000</v>
      </c>
      <c r="K56" s="8"/>
      <c r="L56" s="8">
        <v>100</v>
      </c>
      <c r="M56" s="8">
        <v>1000</v>
      </c>
      <c r="N56" s="2" t="s">
        <v>320</v>
      </c>
    </row>
    <row r="57" spans="1:19">
      <c r="A57" s="78"/>
      <c r="D57" s="133" t="s">
        <v>527</v>
      </c>
      <c r="E57" s="375">
        <v>15003.66</v>
      </c>
      <c r="G57" s="2" t="s">
        <v>370</v>
      </c>
      <c r="H57" s="8">
        <v>39048</v>
      </c>
      <c r="I57" s="8"/>
      <c r="J57" s="8">
        <v>39622</v>
      </c>
      <c r="K57" s="8"/>
      <c r="L57" s="8">
        <v>39622</v>
      </c>
      <c r="M57" s="8">
        <v>55208</v>
      </c>
      <c r="N57" s="2" t="s">
        <v>529</v>
      </c>
    </row>
    <row r="58" spans="1:19">
      <c r="A58" s="78" t="s">
        <v>462</v>
      </c>
      <c r="B58" s="135" t="s">
        <v>462</v>
      </c>
      <c r="C58" s="91" t="s">
        <v>569</v>
      </c>
      <c r="E58" s="350"/>
      <c r="G58" s="2" t="s">
        <v>79</v>
      </c>
      <c r="H58" s="8"/>
      <c r="I58" s="8"/>
      <c r="J58" s="8"/>
      <c r="K58" s="8"/>
      <c r="L58" s="8"/>
      <c r="M58" s="8"/>
    </row>
    <row r="59" spans="1:19">
      <c r="A59" s="78"/>
      <c r="G59" s="2" t="s">
        <v>508</v>
      </c>
      <c r="H59" s="8">
        <v>1000</v>
      </c>
      <c r="I59" s="8"/>
      <c r="J59" s="8">
        <v>1000</v>
      </c>
      <c r="K59" s="8"/>
      <c r="L59" s="8">
        <v>1000</v>
      </c>
      <c r="M59" s="8">
        <v>33203</v>
      </c>
      <c r="N59" s="2" t="s">
        <v>531</v>
      </c>
    </row>
    <row r="60" spans="1:19">
      <c r="A60" s="78"/>
      <c r="G60" s="353" t="s">
        <v>509</v>
      </c>
      <c r="H60" s="8">
        <v>3600</v>
      </c>
      <c r="I60" s="8"/>
      <c r="J60" s="8">
        <v>3600</v>
      </c>
      <c r="K60" s="8"/>
      <c r="L60" s="8">
        <v>3600</v>
      </c>
      <c r="M60" s="8">
        <v>8308</v>
      </c>
      <c r="N60" s="2" t="s">
        <v>532</v>
      </c>
    </row>
    <row r="61" spans="1:19">
      <c r="A61" s="78"/>
      <c r="G61" s="133" t="s">
        <v>510</v>
      </c>
      <c r="H61" s="8">
        <v>55208</v>
      </c>
      <c r="I61" s="8">
        <v>12204</v>
      </c>
      <c r="J61" s="8">
        <v>59910</v>
      </c>
      <c r="K61" s="8"/>
      <c r="L61" s="8">
        <v>59910</v>
      </c>
      <c r="M61" s="8">
        <v>5845</v>
      </c>
      <c r="N61" s="2" t="s">
        <v>533</v>
      </c>
    </row>
    <row r="62" spans="1:19">
      <c r="A62" s="78"/>
      <c r="G62" s="2" t="s">
        <v>511</v>
      </c>
      <c r="H62" s="8">
        <v>3000</v>
      </c>
      <c r="I62" s="8"/>
      <c r="J62" s="8">
        <v>3000</v>
      </c>
      <c r="K62" s="8"/>
      <c r="L62" s="8">
        <v>3000</v>
      </c>
      <c r="M62" s="8">
        <v>3247</v>
      </c>
      <c r="N62" s="2" t="s">
        <v>534</v>
      </c>
    </row>
    <row r="63" spans="1:19">
      <c r="A63" s="78"/>
      <c r="G63" s="2" t="s">
        <v>94</v>
      </c>
      <c r="H63" s="8">
        <v>7880</v>
      </c>
      <c r="I63" s="8">
        <v>640</v>
      </c>
      <c r="J63" s="8">
        <v>8800</v>
      </c>
      <c r="K63" s="8"/>
      <c r="L63" s="8">
        <v>8800</v>
      </c>
      <c r="M63" s="8">
        <v>649</v>
      </c>
      <c r="N63" s="2" t="s">
        <v>535</v>
      </c>
    </row>
    <row r="64" spans="1:19">
      <c r="A64" s="78"/>
      <c r="G64" s="2" t="s">
        <v>462</v>
      </c>
      <c r="H64" s="8">
        <v>5313</v>
      </c>
      <c r="I64" s="8"/>
      <c r="J64" s="8"/>
      <c r="K64" s="8"/>
      <c r="L64" s="8"/>
      <c r="M64" s="8"/>
    </row>
    <row r="65" spans="1:15">
      <c r="A65" s="78"/>
      <c r="H65" s="225">
        <f>SUM(H56:H64)</f>
        <v>116049</v>
      </c>
      <c r="I65" s="225">
        <f>SUM(I56:I64)</f>
        <v>12844</v>
      </c>
      <c r="J65" s="225">
        <f>SUM(J56:J64)</f>
        <v>116932</v>
      </c>
      <c r="K65" s="225"/>
      <c r="L65" s="225">
        <f>SUM(L56:L64)</f>
        <v>116032</v>
      </c>
    </row>
    <row r="66" spans="1:15">
      <c r="A66" s="78"/>
      <c r="H66" s="2">
        <f>F56-H65</f>
        <v>0</v>
      </c>
    </row>
    <row r="67" spans="1:15">
      <c r="A67" s="78"/>
    </row>
    <row r="68" spans="1:15">
      <c r="A68" s="78"/>
      <c r="E68" s="8"/>
      <c r="G68" s="8"/>
      <c r="H68" s="8"/>
      <c r="I68" s="8" t="s">
        <v>257</v>
      </c>
      <c r="J68" s="354" t="s">
        <v>512</v>
      </c>
      <c r="K68" s="352"/>
      <c r="L68" s="586" t="s">
        <v>513</v>
      </c>
      <c r="M68" s="586"/>
    </row>
    <row r="69" spans="1:15">
      <c r="A69" s="78"/>
      <c r="E69" s="569" t="s">
        <v>601</v>
      </c>
      <c r="F69" s="8">
        <v>163393</v>
      </c>
      <c r="G69" s="2" t="s">
        <v>320</v>
      </c>
      <c r="H69" s="8">
        <v>1100</v>
      </c>
      <c r="I69" s="8"/>
      <c r="J69" s="8">
        <v>1100</v>
      </c>
      <c r="K69" s="8"/>
      <c r="L69" s="8">
        <v>100</v>
      </c>
      <c r="M69" s="8">
        <v>100</v>
      </c>
      <c r="N69" s="8">
        <v>1100</v>
      </c>
      <c r="O69" s="2" t="s">
        <v>320</v>
      </c>
    </row>
    <row r="70" spans="1:15">
      <c r="A70" s="78"/>
      <c r="D70" s="133" t="s">
        <v>527</v>
      </c>
      <c r="E70" s="375">
        <v>18991.27</v>
      </c>
      <c r="G70" s="2" t="s">
        <v>370</v>
      </c>
      <c r="H70" s="8">
        <v>49375</v>
      </c>
      <c r="I70" s="8"/>
      <c r="J70" s="8">
        <v>50152</v>
      </c>
      <c r="K70" s="8"/>
      <c r="L70" s="8">
        <v>50152</v>
      </c>
      <c r="M70" s="8"/>
      <c r="N70" s="8">
        <v>69069</v>
      </c>
      <c r="O70" s="2" t="s">
        <v>529</v>
      </c>
    </row>
    <row r="71" spans="1:15">
      <c r="A71" s="78"/>
      <c r="C71" s="3" t="s">
        <v>547</v>
      </c>
      <c r="E71" s="350"/>
      <c r="G71" s="2" t="s">
        <v>79</v>
      </c>
      <c r="H71" s="8">
        <v>20000</v>
      </c>
      <c r="I71" s="8"/>
      <c r="J71" s="8">
        <v>20000</v>
      </c>
      <c r="K71" s="8"/>
      <c r="L71" s="8"/>
      <c r="M71" s="8">
        <v>20000</v>
      </c>
      <c r="N71" s="8">
        <v>20000</v>
      </c>
      <c r="O71" s="2" t="s">
        <v>530</v>
      </c>
    </row>
    <row r="72" spans="1:15">
      <c r="A72" s="78"/>
      <c r="C72" s="91"/>
      <c r="G72" s="2" t="s">
        <v>508</v>
      </c>
      <c r="H72" s="8">
        <v>1000</v>
      </c>
      <c r="I72" s="8"/>
      <c r="J72" s="8">
        <v>1000</v>
      </c>
      <c r="K72" s="8"/>
      <c r="L72" s="8">
        <v>1000</v>
      </c>
      <c r="M72" s="8"/>
      <c r="N72" s="8">
        <v>42063</v>
      </c>
      <c r="O72" s="2" t="s">
        <v>531</v>
      </c>
    </row>
    <row r="73" spans="1:15">
      <c r="A73" s="78"/>
      <c r="C73" s="91"/>
      <c r="G73" s="353" t="s">
        <v>509</v>
      </c>
      <c r="H73" s="8">
        <v>3600</v>
      </c>
      <c r="I73" s="8"/>
      <c r="J73" s="8">
        <v>3600</v>
      </c>
      <c r="K73" s="8"/>
      <c r="L73" s="8">
        <v>3600</v>
      </c>
      <c r="M73" s="8"/>
      <c r="N73" s="8">
        <v>10515</v>
      </c>
      <c r="O73" s="2" t="s">
        <v>532</v>
      </c>
    </row>
    <row r="74" spans="1:15">
      <c r="A74" s="78" t="s">
        <v>602</v>
      </c>
      <c r="B74" s="135">
        <v>36751</v>
      </c>
      <c r="C74" s="3" t="s">
        <v>570</v>
      </c>
      <c r="G74" s="133" t="s">
        <v>510</v>
      </c>
      <c r="H74" s="8">
        <v>69069</v>
      </c>
      <c r="I74" s="8">
        <v>15389</v>
      </c>
      <c r="J74" s="8">
        <v>76215</v>
      </c>
      <c r="K74" s="8"/>
      <c r="L74" s="8">
        <v>76215</v>
      </c>
      <c r="M74" s="8"/>
      <c r="N74" s="8">
        <v>7312</v>
      </c>
      <c r="O74" s="2" t="s">
        <v>533</v>
      </c>
    </row>
    <row r="75" spans="1:15">
      <c r="A75" s="78" t="s">
        <v>602</v>
      </c>
      <c r="B75" s="135">
        <v>36752</v>
      </c>
      <c r="C75" s="3" t="s">
        <v>570</v>
      </c>
      <c r="G75" s="2" t="s">
        <v>511</v>
      </c>
      <c r="H75" s="8">
        <v>5000</v>
      </c>
      <c r="I75" s="8"/>
      <c r="J75" s="8">
        <v>5000</v>
      </c>
      <c r="K75" s="8"/>
      <c r="L75" s="8">
        <v>5000</v>
      </c>
      <c r="M75" s="8">
        <v>4000</v>
      </c>
      <c r="N75" s="8">
        <v>4062</v>
      </c>
      <c r="O75" s="2" t="s">
        <v>534</v>
      </c>
    </row>
    <row r="76" spans="1:15">
      <c r="A76" s="78" t="s">
        <v>602</v>
      </c>
      <c r="B76" s="135">
        <v>36855</v>
      </c>
      <c r="C76" s="3" t="s">
        <v>570</v>
      </c>
      <c r="G76" s="2" t="s">
        <v>94</v>
      </c>
      <c r="H76" s="8">
        <v>9850</v>
      </c>
      <c r="I76" s="8">
        <v>800</v>
      </c>
      <c r="J76" s="8">
        <v>13200</v>
      </c>
      <c r="K76" s="8"/>
      <c r="L76" s="8">
        <v>13200</v>
      </c>
      <c r="M76" s="8"/>
      <c r="N76" s="8">
        <v>812</v>
      </c>
      <c r="O76" s="2" t="s">
        <v>535</v>
      </c>
    </row>
    <row r="77" spans="1:15">
      <c r="A77" s="78"/>
      <c r="G77" s="2" t="s">
        <v>462</v>
      </c>
      <c r="H77" s="8">
        <v>4399</v>
      </c>
      <c r="I77" s="8"/>
      <c r="J77" s="8"/>
      <c r="K77" s="8"/>
      <c r="L77" s="8"/>
      <c r="M77" s="8"/>
      <c r="N77" s="8"/>
    </row>
    <row r="78" spans="1:15">
      <c r="H78" s="225">
        <f>SUM(H69:H77)</f>
        <v>163393</v>
      </c>
      <c r="I78" s="225">
        <f>SUM(I69:I77)</f>
        <v>16189</v>
      </c>
      <c r="J78" s="225">
        <f>SUM(J69:J77)</f>
        <v>170267</v>
      </c>
      <c r="K78" s="225"/>
      <c r="L78" s="225">
        <f>SUM(L69:L77)</f>
        <v>149267</v>
      </c>
      <c r="M78" s="225">
        <f>SUM(M69:M77)</f>
        <v>24100</v>
      </c>
      <c r="N78" s="382">
        <f>SUM(L78:M78)</f>
        <v>173367</v>
      </c>
    </row>
    <row r="79" spans="1:15">
      <c r="H79" s="2">
        <f>F69-H78</f>
        <v>0</v>
      </c>
    </row>
  </sheetData>
  <mergeCells count="11">
    <mergeCell ref="E1:K1"/>
    <mergeCell ref="A17:D17"/>
    <mergeCell ref="A1:A2"/>
    <mergeCell ref="B1:B2"/>
    <mergeCell ref="C1:C2"/>
    <mergeCell ref="D1:D2"/>
    <mergeCell ref="L68:M68"/>
    <mergeCell ref="L30:O30"/>
    <mergeCell ref="N1:O1"/>
    <mergeCell ref="L1:M1"/>
    <mergeCell ref="P1:AA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41"/>
  <sheetViews>
    <sheetView workbookViewId="0">
      <pane ySplit="2" topLeftCell="A3" activePane="bottomLeft" state="frozen"/>
      <selection pane="bottomLeft" activeCell="A16" sqref="A16"/>
    </sheetView>
  </sheetViews>
  <sheetFormatPr defaultRowHeight="11.25"/>
  <cols>
    <col min="1" max="1" width="8.140625" style="3" bestFit="1" customWidth="1"/>
    <col min="2" max="2" width="51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745" t="s">
        <v>19</v>
      </c>
      <c r="B1" s="747" t="s">
        <v>355</v>
      </c>
      <c r="C1" s="747" t="s">
        <v>86</v>
      </c>
      <c r="D1" s="749" t="s">
        <v>356</v>
      </c>
      <c r="E1" s="750"/>
      <c r="F1" s="750"/>
      <c r="G1" s="751" t="s">
        <v>324</v>
      </c>
      <c r="H1" s="752"/>
      <c r="I1" s="741" t="s">
        <v>325</v>
      </c>
      <c r="J1" s="741"/>
      <c r="K1" s="260"/>
      <c r="L1" s="261"/>
      <c r="M1" s="742" t="s">
        <v>357</v>
      </c>
      <c r="N1" s="742"/>
      <c r="O1" s="742"/>
      <c r="P1" s="261"/>
      <c r="Q1" s="742" t="s">
        <v>358</v>
      </c>
      <c r="R1" s="742"/>
      <c r="S1" s="742"/>
      <c r="T1" s="742"/>
      <c r="U1" s="262"/>
      <c r="V1" s="743" t="s">
        <v>324</v>
      </c>
      <c r="W1" s="743" t="s">
        <v>359</v>
      </c>
      <c r="X1" s="743" t="s">
        <v>360</v>
      </c>
      <c r="Y1" s="262"/>
      <c r="Z1" s="735" t="s">
        <v>361</v>
      </c>
      <c r="AA1" s="736"/>
      <c r="AB1" s="736"/>
      <c r="AC1" s="736"/>
      <c r="AD1" s="737"/>
    </row>
    <row r="2" spans="1:30" ht="12" thickBot="1">
      <c r="A2" s="746"/>
      <c r="B2" s="748"/>
      <c r="C2" s="748"/>
      <c r="D2" s="207" t="s">
        <v>333</v>
      </c>
      <c r="E2" s="207" t="s">
        <v>339</v>
      </c>
      <c r="F2" s="147" t="s">
        <v>340</v>
      </c>
      <c r="G2" s="208" t="s">
        <v>362</v>
      </c>
      <c r="H2" s="209" t="s">
        <v>363</v>
      </c>
      <c r="I2" s="208" t="s">
        <v>364</v>
      </c>
      <c r="J2" s="210" t="s">
        <v>365</v>
      </c>
      <c r="K2" s="263" t="s">
        <v>366</v>
      </c>
      <c r="L2" s="264"/>
      <c r="M2" s="265" t="s">
        <v>369</v>
      </c>
      <c r="N2" s="265" t="s">
        <v>367</v>
      </c>
      <c r="O2" s="265" t="s">
        <v>368</v>
      </c>
      <c r="P2" s="264"/>
      <c r="Q2" s="266" t="s">
        <v>369</v>
      </c>
      <c r="R2" s="267">
        <v>1.2999999999999999E-2</v>
      </c>
      <c r="S2" s="267">
        <v>6.4999999999999997E-3</v>
      </c>
      <c r="T2" s="268">
        <v>1.25E-3</v>
      </c>
      <c r="U2" s="269"/>
      <c r="V2" s="744"/>
      <c r="W2" s="744"/>
      <c r="X2" s="744"/>
      <c r="Y2" s="269"/>
      <c r="Z2" s="270" t="s">
        <v>369</v>
      </c>
      <c r="AA2" s="270" t="s">
        <v>367</v>
      </c>
      <c r="AB2" s="271" t="s">
        <v>368</v>
      </c>
      <c r="AC2" s="270" t="s">
        <v>359</v>
      </c>
      <c r="AD2" s="270" t="s">
        <v>360</v>
      </c>
    </row>
    <row r="3" spans="1:30" s="18" customFormat="1">
      <c r="A3" s="122" t="str">
        <f>'1-συμβολαια'!A3</f>
        <v>1ο</v>
      </c>
      <c r="B3" s="122" t="str">
        <f>'1-συμβολαια'!C3</f>
        <v>γονικής ΠΡΟΣΥΜΦΩΝΟ</v>
      </c>
      <c r="C3" s="211">
        <f>'1-συμβολαια'!D3</f>
        <v>0</v>
      </c>
      <c r="D3" s="211">
        <f>'8-κ-15-17'!D3</f>
        <v>0</v>
      </c>
      <c r="E3" s="211">
        <f>'8-κ-15-17'!M3</f>
        <v>0</v>
      </c>
      <c r="F3" s="211">
        <f>'8-κ-15-17'!V3</f>
        <v>0</v>
      </c>
      <c r="G3" s="211">
        <f>'2-δικαιώμ'!I3</f>
        <v>0</v>
      </c>
      <c r="H3" s="211">
        <f>'2-δικαιώμ'!J3</f>
        <v>150</v>
      </c>
      <c r="I3" s="211">
        <f>'2-δικαιώμ'!K3</f>
        <v>150</v>
      </c>
      <c r="J3" s="211">
        <f>'2-δικαιώμ'!L3</f>
        <v>30</v>
      </c>
      <c r="M3" s="25"/>
      <c r="N3" s="25"/>
      <c r="O3" s="25"/>
      <c r="Q3" s="12"/>
      <c r="R3" s="12"/>
      <c r="S3" s="12"/>
      <c r="T3" s="12"/>
      <c r="V3" s="12">
        <f>'2-δικαιώμ'!I3+'2-δικαιώμ'!J3</f>
        <v>150</v>
      </c>
      <c r="W3" s="12">
        <f>'2-δικαιώμ'!K3</f>
        <v>150</v>
      </c>
      <c r="X3" s="12">
        <f>'2-δικαιώμ'!L3</f>
        <v>30</v>
      </c>
      <c r="Z3" s="12"/>
      <c r="AA3" s="12"/>
      <c r="AB3" s="12"/>
      <c r="AC3" s="12"/>
      <c r="AD3" s="12"/>
    </row>
    <row r="4" spans="1:30" s="18" customFormat="1">
      <c r="A4" s="122" t="str">
        <f>'1-συμβολαια'!A4</f>
        <v>2ο</v>
      </c>
      <c r="B4" s="122" t="str">
        <f>'1-συμβολαια'!C4</f>
        <v>δωρεάς ΠΡΟΣΥΜΦΩΝΟ</v>
      </c>
      <c r="C4" s="211">
        <f>'1-συμβολαια'!D4</f>
        <v>0</v>
      </c>
      <c r="D4" s="211">
        <f>'8-κ-15-17'!D4</f>
        <v>0</v>
      </c>
      <c r="E4" s="211">
        <f>'8-κ-15-17'!M4</f>
        <v>0</v>
      </c>
      <c r="F4" s="211">
        <f>'8-κ-15-17'!V4</f>
        <v>0</v>
      </c>
      <c r="G4" s="211">
        <f>'2-δικαιώμ'!I4</f>
        <v>0</v>
      </c>
      <c r="H4" s="211">
        <f>'2-δικαιώμ'!J4</f>
        <v>150</v>
      </c>
      <c r="I4" s="211">
        <f>'2-δικαιώμ'!K4</f>
        <v>150</v>
      </c>
      <c r="J4" s="211">
        <f>'2-δικαιώμ'!L4</f>
        <v>30</v>
      </c>
      <c r="M4" s="25"/>
      <c r="N4" s="25"/>
      <c r="O4" s="25"/>
      <c r="Q4" s="12"/>
      <c r="R4" s="12"/>
      <c r="S4" s="12"/>
      <c r="T4" s="12"/>
      <c r="V4" s="12">
        <f>'2-δικαιώμ'!I4+'2-δικαιώμ'!J4</f>
        <v>150</v>
      </c>
      <c r="W4" s="12">
        <f>'2-δικαιώμ'!K4</f>
        <v>150</v>
      </c>
      <c r="X4" s="12">
        <f>'2-δικαιώμ'!L4</f>
        <v>30</v>
      </c>
      <c r="Z4" s="12"/>
      <c r="AA4" s="12"/>
      <c r="AB4" s="12"/>
      <c r="AC4" s="12"/>
      <c r="AD4" s="12"/>
    </row>
    <row r="5" spans="1:30" s="18" customFormat="1">
      <c r="A5" s="122" t="str">
        <f>'1-συμβολαια'!A5</f>
        <v>3ο</v>
      </c>
      <c r="B5" s="122" t="str">
        <f>'1-συμβολαια'!C5</f>
        <v>δωρεάς ΠΡΟΣΥΜΦΩΝΟ [1ο όροφο 55,63μ2</v>
      </c>
      <c r="C5" s="211">
        <f>'1-συμβολαια'!D5</f>
        <v>0</v>
      </c>
      <c r="D5" s="211">
        <f>'8-κ-15-17'!D5</f>
        <v>0</v>
      </c>
      <c r="E5" s="211">
        <f>'8-κ-15-17'!M5</f>
        <v>0</v>
      </c>
      <c r="F5" s="211">
        <f>'8-κ-15-17'!V5</f>
        <v>0</v>
      </c>
      <c r="G5" s="211">
        <f>'2-δικαιώμ'!I5</f>
        <v>0</v>
      </c>
      <c r="H5" s="211">
        <f>'2-δικαιώμ'!J5</f>
        <v>150</v>
      </c>
      <c r="I5" s="211">
        <f>'2-δικαιώμ'!K5</f>
        <v>150</v>
      </c>
      <c r="J5" s="211">
        <f>'2-δικαιώμ'!L5</f>
        <v>30</v>
      </c>
      <c r="M5" s="25"/>
      <c r="N5" s="25"/>
      <c r="O5" s="25"/>
      <c r="Q5" s="12"/>
      <c r="R5" s="12"/>
      <c r="S5" s="12"/>
      <c r="T5" s="12"/>
      <c r="V5" s="12">
        <f>'2-δικαιώμ'!I5+'2-δικαιώμ'!J5</f>
        <v>150</v>
      </c>
      <c r="W5" s="12">
        <f>'2-δικαιώμ'!K5</f>
        <v>150</v>
      </c>
      <c r="X5" s="12">
        <f>'2-δικαιώμ'!L5</f>
        <v>30</v>
      </c>
      <c r="Z5" s="12"/>
      <c r="AA5" s="12"/>
      <c r="AB5" s="12"/>
      <c r="AC5" s="12"/>
      <c r="AD5" s="12"/>
    </row>
    <row r="6" spans="1:30" s="18" customFormat="1">
      <c r="A6" s="122" t="str">
        <f>'1-συμβολαια'!A6</f>
        <v>4ο</v>
      </c>
      <c r="B6" s="122" t="str">
        <f>'1-συμβολαια'!C6</f>
        <v>πληρεξούσιο</v>
      </c>
      <c r="C6" s="211">
        <f>'1-συμβολαια'!D6</f>
        <v>0</v>
      </c>
      <c r="D6" s="211">
        <f>'8-κ-15-17'!D6</f>
        <v>0</v>
      </c>
      <c r="E6" s="211">
        <f>'8-κ-15-17'!M6</f>
        <v>0</v>
      </c>
      <c r="F6" s="211">
        <f>'8-κ-15-17'!V6</f>
        <v>0</v>
      </c>
      <c r="G6" s="211">
        <f>'2-δικαιώμ'!I6</f>
        <v>0</v>
      </c>
      <c r="H6" s="211">
        <f>'2-δικαιώμ'!J6</f>
        <v>150</v>
      </c>
      <c r="I6" s="211">
        <f>'2-δικαιώμ'!K6</f>
        <v>150</v>
      </c>
      <c r="J6" s="211">
        <f>'2-δικαιώμ'!L6</f>
        <v>30</v>
      </c>
      <c r="M6" s="25"/>
      <c r="N6" s="25"/>
      <c r="O6" s="25"/>
      <c r="Q6" s="12"/>
      <c r="R6" s="12"/>
      <c r="S6" s="12"/>
      <c r="T6" s="12"/>
      <c r="V6" s="12">
        <f>'2-δικαιώμ'!I6+'2-δικαιώμ'!J6</f>
        <v>150</v>
      </c>
      <c r="W6" s="12">
        <f>'2-δικαιώμ'!K6</f>
        <v>150</v>
      </c>
      <c r="X6" s="12">
        <f>'2-δικαιώμ'!L6</f>
        <v>30</v>
      </c>
      <c r="Z6" s="12"/>
      <c r="AA6" s="12"/>
      <c r="AB6" s="12"/>
      <c r="AC6" s="12"/>
      <c r="AD6" s="12"/>
    </row>
    <row r="7" spans="1:30" s="18" customFormat="1">
      <c r="A7" s="122" t="str">
        <f>'1-συμβολαια'!A7</f>
        <v>5ο</v>
      </c>
      <c r="B7" s="122" t="str">
        <f>'1-συμβολαια'!C7</f>
        <v>πληρεξούσιο</v>
      </c>
      <c r="C7" s="211">
        <f>'1-συμβολαια'!D7</f>
        <v>0</v>
      </c>
      <c r="D7" s="211">
        <f>'8-κ-15-17'!D7</f>
        <v>0</v>
      </c>
      <c r="E7" s="211">
        <f>'8-κ-15-17'!M7</f>
        <v>0</v>
      </c>
      <c r="F7" s="211">
        <f>'8-κ-15-17'!V7</f>
        <v>0</v>
      </c>
      <c r="G7" s="211">
        <f>'2-δικαιώμ'!I7</f>
        <v>0</v>
      </c>
      <c r="H7" s="211">
        <f>'2-δικαιώμ'!J7</f>
        <v>150</v>
      </c>
      <c r="I7" s="211">
        <f>'2-δικαιώμ'!K7</f>
        <v>150</v>
      </c>
      <c r="J7" s="211">
        <f>'2-δικαιώμ'!L7</f>
        <v>30</v>
      </c>
      <c r="M7" s="25"/>
      <c r="N7" s="25"/>
      <c r="O7" s="25"/>
      <c r="Q7" s="12"/>
      <c r="R7" s="12"/>
      <c r="S7" s="12"/>
      <c r="T7" s="12"/>
      <c r="V7" s="12">
        <f>'2-δικαιώμ'!I7+'2-δικαιώμ'!J7</f>
        <v>150</v>
      </c>
      <c r="W7" s="12">
        <f>'2-δικαιώμ'!K7</f>
        <v>150</v>
      </c>
      <c r="X7" s="12">
        <f>'2-δικαιώμ'!L7</f>
        <v>30</v>
      </c>
      <c r="Z7" s="12"/>
      <c r="AA7" s="12"/>
      <c r="AB7" s="12"/>
      <c r="AC7" s="12"/>
      <c r="AD7" s="12"/>
    </row>
    <row r="8" spans="1:30" s="18" customFormat="1">
      <c r="A8" s="122" t="str">
        <f>'1-συμβολαια'!A8</f>
        <v>7ο</v>
      </c>
      <c r="B8" s="122" t="str">
        <f>'1-συμβολαια'!C8</f>
        <v>διανομή [34,60% {= 7.480.642δρχ}] &amp; {65,40% {= 14.139.710δρχ}]</v>
      </c>
      <c r="C8" s="211">
        <f>'1-συμβολαια'!D8</f>
        <v>21620352</v>
      </c>
      <c r="D8" s="211">
        <f>'8-κ-15-17'!D8</f>
        <v>0</v>
      </c>
      <c r="E8" s="211">
        <f>'8-κ-15-17'!M8</f>
        <v>0</v>
      </c>
      <c r="F8" s="211">
        <f>'8-κ-15-17'!V8</f>
        <v>0</v>
      </c>
      <c r="G8" s="211">
        <f>'2-δικαιώμ'!I8</f>
        <v>23544.380160000001</v>
      </c>
      <c r="H8" s="211">
        <f>'2-δικαιώμ'!J8</f>
        <v>50</v>
      </c>
      <c r="I8" s="211">
        <f>'2-δικαιώμ'!K8</f>
        <v>13130.211200000003</v>
      </c>
      <c r="J8" s="211">
        <f>'2-δικαιώμ'!L8</f>
        <v>2626.0422400000007</v>
      </c>
      <c r="M8" s="25"/>
      <c r="N8" s="25"/>
      <c r="O8" s="25"/>
      <c r="Q8" s="12"/>
      <c r="R8" s="12"/>
      <c r="S8" s="12"/>
      <c r="T8" s="12"/>
      <c r="V8" s="12">
        <f>'2-δικαιώμ'!I8+'2-δικαιώμ'!J8</f>
        <v>23594.380160000001</v>
      </c>
      <c r="W8" s="12">
        <f>'2-δικαιώμ'!K8</f>
        <v>13130.211200000003</v>
      </c>
      <c r="X8" s="12">
        <f>'2-δικαιώμ'!L8</f>
        <v>2626.0422400000007</v>
      </c>
      <c r="Z8" s="12"/>
      <c r="AA8" s="12"/>
      <c r="AB8" s="12"/>
      <c r="AC8" s="12"/>
      <c r="AD8" s="12"/>
    </row>
    <row r="9" spans="1:30" s="18" customFormat="1">
      <c r="A9" s="122"/>
      <c r="B9" s="122" t="str">
        <f>'1-συμβολαια'!C9</f>
        <v>εξισορόπηση διαφοράς διανεμομένων</v>
      </c>
      <c r="C9" s="211">
        <f>'1-συμβολαια'!D9</f>
        <v>3329534</v>
      </c>
      <c r="D9" s="211">
        <f>'8-κ-15-17'!D9</f>
        <v>43283.942000000003</v>
      </c>
      <c r="E9" s="211">
        <f>'8-κ-15-17'!M9</f>
        <v>0</v>
      </c>
      <c r="F9" s="211">
        <f>'8-κ-15-17'!V9</f>
        <v>0</v>
      </c>
      <c r="G9" s="211">
        <f>'2-δικαιώμ'!I9</f>
        <v>3790.2967200000003</v>
      </c>
      <c r="H9" s="211">
        <f>'2-δικαιώμ'!J9</f>
        <v>50</v>
      </c>
      <c r="I9" s="211">
        <f>'2-δικαιώμ'!K9</f>
        <v>2155.7204000000002</v>
      </c>
      <c r="J9" s="211">
        <f>'2-δικαιώμ'!L9</f>
        <v>431.14408000000003</v>
      </c>
      <c r="M9" s="25"/>
      <c r="N9" s="25"/>
      <c r="O9" s="25"/>
      <c r="Q9" s="12"/>
      <c r="R9" s="12"/>
      <c r="S9" s="12"/>
      <c r="T9" s="12"/>
      <c r="V9" s="12">
        <f>'2-δικαιώμ'!I9+'2-δικαιώμ'!J9</f>
        <v>3840.2967200000003</v>
      </c>
      <c r="W9" s="12">
        <f>'2-δικαιώμ'!K9</f>
        <v>2155.7204000000002</v>
      </c>
      <c r="X9" s="12">
        <f>'2-δικαιώμ'!L9</f>
        <v>431.14408000000003</v>
      </c>
      <c r="Z9" s="12"/>
      <c r="AA9" s="12"/>
      <c r="AB9" s="12"/>
      <c r="AC9" s="12"/>
      <c r="AD9" s="12"/>
    </row>
    <row r="10" spans="1:30" s="18" customFormat="1">
      <c r="A10" s="122"/>
      <c r="B10" s="122" t="str">
        <f>'1-συμβολαια'!C10</f>
        <v>χρήσης ΚΑΝΟΝΙΣΝΟΣ</v>
      </c>
      <c r="C10" s="211">
        <f>'1-συμβολαια'!D10</f>
        <v>0</v>
      </c>
      <c r="D10" s="211">
        <f>'8-κ-15-17'!D10</f>
        <v>0</v>
      </c>
      <c r="E10" s="211">
        <f>'8-κ-15-17'!M10</f>
        <v>0</v>
      </c>
      <c r="F10" s="211">
        <f>'8-κ-15-17'!V10</f>
        <v>0</v>
      </c>
      <c r="G10" s="211">
        <f>'2-δικαιώμ'!I10</f>
        <v>0</v>
      </c>
      <c r="H10" s="211">
        <f>'2-δικαιώμ'!J10</f>
        <v>150</v>
      </c>
      <c r="I10" s="211">
        <f>'2-δικαιώμ'!K10</f>
        <v>150</v>
      </c>
      <c r="J10" s="211">
        <f>'2-δικαιώμ'!L10</f>
        <v>30</v>
      </c>
      <c r="M10" s="25"/>
      <c r="N10" s="25"/>
      <c r="O10" s="25"/>
      <c r="Q10" s="12"/>
      <c r="R10" s="12"/>
      <c r="S10" s="12"/>
      <c r="T10" s="12"/>
      <c r="V10" s="12">
        <f>'2-δικαιώμ'!I10+'2-δικαιώμ'!J10</f>
        <v>150</v>
      </c>
      <c r="W10" s="12">
        <f>'2-δικαιώμ'!K10</f>
        <v>150</v>
      </c>
      <c r="X10" s="12">
        <f>'2-δικαιώμ'!L10</f>
        <v>30</v>
      </c>
      <c r="Z10" s="12"/>
      <c r="AA10" s="12"/>
      <c r="AB10" s="12"/>
      <c r="AC10" s="12"/>
      <c r="AD10" s="12"/>
    </row>
    <row r="11" spans="1:30" s="18" customFormat="1">
      <c r="A11" s="122"/>
      <c r="B11" s="122" t="str">
        <f>'1-συμβολαια'!C11</f>
        <v xml:space="preserve">κάθετος ΣΥΣΤΑΣΗ </v>
      </c>
      <c r="C11" s="211">
        <f>'1-συμβολαια'!D11</f>
        <v>0</v>
      </c>
      <c r="D11" s="211">
        <f>'8-κ-15-17'!D11</f>
        <v>0</v>
      </c>
      <c r="E11" s="211">
        <f>'8-κ-15-17'!M11</f>
        <v>0</v>
      </c>
      <c r="F11" s="211">
        <f>'8-κ-15-17'!V11</f>
        <v>0</v>
      </c>
      <c r="G11" s="211">
        <f>'2-δικαιώμ'!I11</f>
        <v>0</v>
      </c>
      <c r="H11" s="211">
        <f>'2-δικαιώμ'!J11</f>
        <v>1000</v>
      </c>
      <c r="I11" s="211">
        <f>'2-δικαιώμ'!K11</f>
        <v>1000</v>
      </c>
      <c r="J11" s="211">
        <f>'2-δικαιώμ'!L11</f>
        <v>200</v>
      </c>
      <c r="M11" s="25"/>
      <c r="N11" s="25"/>
      <c r="O11" s="25"/>
      <c r="Q11" s="12"/>
      <c r="R11" s="12"/>
      <c r="S11" s="12"/>
      <c r="T11" s="12"/>
      <c r="V11" s="12">
        <f>'2-δικαιώμ'!I11+'2-δικαιώμ'!J11</f>
        <v>1000</v>
      </c>
      <c r="W11" s="12">
        <f>'2-δικαιώμ'!K11</f>
        <v>1000</v>
      </c>
      <c r="X11" s="12">
        <f>'2-δικαιώμ'!L11</f>
        <v>200</v>
      </c>
      <c r="Z11" s="12"/>
      <c r="AA11" s="12"/>
      <c r="AB11" s="12"/>
      <c r="AC11" s="12"/>
      <c r="AD11" s="12"/>
    </row>
    <row r="12" spans="1:30" s="18" customFormat="1">
      <c r="A12" s="122" t="str">
        <f>'1-συμβολαια'!A12</f>
        <v>6ο</v>
      </c>
      <c r="B12" s="122" t="str">
        <f>'1-συμβολαια'!C12</f>
        <v>πληρεξούσιο</v>
      </c>
      <c r="C12" s="211">
        <f>'1-συμβολαια'!D12</f>
        <v>0</v>
      </c>
      <c r="D12" s="211">
        <f>'8-κ-15-17'!D12</f>
        <v>0</v>
      </c>
      <c r="E12" s="211">
        <f>'8-κ-15-17'!M12</f>
        <v>0</v>
      </c>
      <c r="F12" s="211">
        <f>'8-κ-15-17'!V12</f>
        <v>0</v>
      </c>
      <c r="G12" s="211">
        <f>'2-δικαιώμ'!I12</f>
        <v>0</v>
      </c>
      <c r="H12" s="211">
        <f>'2-δικαιώμ'!J12</f>
        <v>150</v>
      </c>
      <c r="I12" s="211">
        <f>'2-δικαιώμ'!K12</f>
        <v>150</v>
      </c>
      <c r="J12" s="211">
        <f>'2-δικαιώμ'!L12</f>
        <v>30</v>
      </c>
      <c r="M12" s="25"/>
      <c r="N12" s="25"/>
      <c r="O12" s="25"/>
      <c r="Q12" s="12"/>
      <c r="R12" s="12"/>
      <c r="S12" s="12"/>
      <c r="T12" s="12"/>
      <c r="V12" s="12">
        <f>'2-δικαιώμ'!I12+'2-δικαιώμ'!J12</f>
        <v>150</v>
      </c>
      <c r="W12" s="12">
        <f>'2-δικαιώμ'!K12</f>
        <v>150</v>
      </c>
      <c r="X12" s="12">
        <f>'2-δικαιώμ'!L12</f>
        <v>30</v>
      </c>
      <c r="Z12" s="12"/>
      <c r="AA12" s="12"/>
      <c r="AB12" s="12"/>
      <c r="AC12" s="12"/>
      <c r="AD12" s="12"/>
    </row>
    <row r="13" spans="1:30" s="18" customFormat="1">
      <c r="A13" s="122" t="str">
        <f>'1-συμβολαια'!A13</f>
        <v>8ο</v>
      </c>
      <c r="B13" s="122" t="str">
        <f>'1-συμβολαια'!C13</f>
        <v>δωρεα [οικόπεδο42μ2</v>
      </c>
      <c r="C13" s="211">
        <f>'1-συμβολαια'!D13</f>
        <v>725760</v>
      </c>
      <c r="D13" s="211">
        <f>'8-κ-15-17'!D13</f>
        <v>0</v>
      </c>
      <c r="E13" s="211">
        <f>'8-κ-15-17'!M13</f>
        <v>4717.4400000000005</v>
      </c>
      <c r="F13" s="211">
        <f>'8-κ-15-17'!V13</f>
        <v>907.2</v>
      </c>
      <c r="G13" s="211">
        <f>'2-δικαιώμ'!I13</f>
        <v>978.22079999999983</v>
      </c>
      <c r="H13" s="211">
        <f>'2-δικαιώμ'!J13</f>
        <v>50</v>
      </c>
      <c r="I13" s="211">
        <f>'2-δικαιώμ'!K13</f>
        <v>593.45600000000002</v>
      </c>
      <c r="J13" s="211">
        <f>'2-δικαιώμ'!L13</f>
        <v>118.69119999999999</v>
      </c>
      <c r="M13" s="25"/>
      <c r="N13" s="25"/>
      <c r="O13" s="25"/>
      <c r="Q13" s="12"/>
      <c r="R13" s="12"/>
      <c r="S13" s="12"/>
      <c r="T13" s="12"/>
      <c r="V13" s="12">
        <f>'2-δικαιώμ'!I13+'2-δικαιώμ'!J13</f>
        <v>1028.2207999999998</v>
      </c>
      <c r="W13" s="12">
        <f>'2-δικαιώμ'!K13</f>
        <v>593.45600000000002</v>
      </c>
      <c r="X13" s="12">
        <f>'2-δικαιώμ'!L13</f>
        <v>118.69119999999999</v>
      </c>
      <c r="Z13" s="12"/>
      <c r="AA13" s="12"/>
      <c r="AB13" s="12"/>
      <c r="AC13" s="12"/>
      <c r="AD13" s="12"/>
    </row>
    <row r="14" spans="1:30" s="18" customFormat="1">
      <c r="A14" s="122" t="str">
        <f>'1-συμβολαια'!A14</f>
        <v>9ο</v>
      </c>
      <c r="B14" s="122" t="str">
        <f>'1-συμβολαια'!C14</f>
        <v xml:space="preserve">γονική ΒΑΣΕΙ 1.113 προσυμφώνου </v>
      </c>
      <c r="C14" s="211">
        <f>'1-συμβολαια'!D14</f>
        <v>5112496</v>
      </c>
      <c r="D14" s="211">
        <f>'8-κ-15-17'!D14</f>
        <v>0</v>
      </c>
      <c r="E14" s="211">
        <f>'8-κ-15-17'!M14</f>
        <v>33231.224000000002</v>
      </c>
      <c r="F14" s="211">
        <f>'8-κ-15-17'!V14</f>
        <v>6390.62</v>
      </c>
      <c r="G14" s="211">
        <f>'2-δικαιώμ'!I14</f>
        <v>5715.8956800000005</v>
      </c>
      <c r="H14" s="211">
        <f>'2-δικαιώμ'!J14</f>
        <v>50</v>
      </c>
      <c r="I14" s="211">
        <f>'2-δικαιώμ'!K14</f>
        <v>3225.4976000000006</v>
      </c>
      <c r="J14" s="211">
        <f>'2-δικαιώμ'!L14</f>
        <v>645.0995200000001</v>
      </c>
      <c r="M14" s="25"/>
      <c r="N14" s="25"/>
      <c r="O14" s="25"/>
      <c r="Q14" s="12"/>
      <c r="R14" s="12"/>
      <c r="S14" s="12"/>
      <c r="T14" s="12"/>
      <c r="V14" s="12">
        <f>'2-δικαιώμ'!I14+'2-δικαιώμ'!J14</f>
        <v>5765.8956800000005</v>
      </c>
      <c r="W14" s="12">
        <f>'2-δικαιώμ'!K14</f>
        <v>3225.4976000000006</v>
      </c>
      <c r="X14" s="12">
        <f>'2-δικαιώμ'!L14</f>
        <v>645.0995200000001</v>
      </c>
      <c r="Z14" s="12"/>
      <c r="AA14" s="12"/>
      <c r="AB14" s="12"/>
      <c r="AC14" s="12"/>
      <c r="AD14" s="12"/>
    </row>
    <row r="15" spans="1:30" s="18" customFormat="1">
      <c r="A15" s="122" t="str">
        <f>'1-συμβολαια'!A15</f>
        <v>10ο</v>
      </c>
      <c r="B15" s="122" t="str">
        <f>'1-συμβολαια'!C15</f>
        <v>δωρεά  ΒΑΣΕΙ 1.114 προσυμφώνου</v>
      </c>
      <c r="C15" s="211">
        <f>'1-συμβολαια'!D15</f>
        <v>6471276</v>
      </c>
      <c r="D15" s="211">
        <f>'8-κ-15-17'!D15</f>
        <v>0</v>
      </c>
      <c r="E15" s="211">
        <f>'8-κ-15-17'!M15</f>
        <v>42063.294000000002</v>
      </c>
      <c r="F15" s="211">
        <f>'8-κ-15-17'!V15</f>
        <v>8089.0950000000003</v>
      </c>
      <c r="G15" s="211">
        <f>'2-δικαιώμ'!I15</f>
        <v>7183.3780800000004</v>
      </c>
      <c r="H15" s="211">
        <f>'2-δικαιώμ'!J15</f>
        <v>50</v>
      </c>
      <c r="I15" s="211">
        <f>'2-δικαιώμ'!K15</f>
        <v>4040.7656000000006</v>
      </c>
      <c r="J15" s="211">
        <f>'2-δικαιώμ'!L15</f>
        <v>808.15312000000006</v>
      </c>
      <c r="M15" s="25"/>
      <c r="N15" s="25"/>
      <c r="O15" s="25"/>
      <c r="Q15" s="12"/>
      <c r="R15" s="12"/>
      <c r="S15" s="12"/>
      <c r="T15" s="12"/>
      <c r="V15" s="12">
        <f>'2-δικαιώμ'!I15+'2-δικαιώμ'!J15</f>
        <v>7233.3780800000004</v>
      </c>
      <c r="W15" s="12">
        <f>'2-δικαιώμ'!K15</f>
        <v>4040.7656000000006</v>
      </c>
      <c r="X15" s="12">
        <f>'2-δικαιώμ'!L15</f>
        <v>808.15312000000006</v>
      </c>
      <c r="Z15" s="12"/>
      <c r="AA15" s="12"/>
      <c r="AB15" s="12"/>
      <c r="AC15" s="12"/>
      <c r="AD15" s="12"/>
    </row>
    <row r="16" spans="1:30" s="18" customFormat="1">
      <c r="A16" s="122"/>
      <c r="B16" s="122" t="str">
        <f>'1-συμβολαια'!C16</f>
        <v xml:space="preserve">κάθετος ΣΥΣΤΑΣΗ </v>
      </c>
      <c r="C16" s="211">
        <f>'1-συμβολαια'!D16</f>
        <v>0</v>
      </c>
      <c r="D16" s="211">
        <f>'8-κ-15-17'!D16</f>
        <v>0</v>
      </c>
      <c r="E16" s="211">
        <f>'8-κ-15-17'!M16</f>
        <v>0</v>
      </c>
      <c r="F16" s="211">
        <f>'8-κ-15-17'!V16</f>
        <v>0</v>
      </c>
      <c r="G16" s="211">
        <f>'2-δικαιώμ'!I16</f>
        <v>0</v>
      </c>
      <c r="H16" s="211">
        <f>'2-δικαιώμ'!J16</f>
        <v>1000</v>
      </c>
      <c r="I16" s="211">
        <f>'2-δικαιώμ'!K16</f>
        <v>1000</v>
      </c>
      <c r="J16" s="211">
        <f>'2-δικαιώμ'!L16</f>
        <v>200</v>
      </c>
      <c r="M16" s="25"/>
      <c r="N16" s="25"/>
      <c r="O16" s="25"/>
      <c r="Q16" s="12"/>
      <c r="R16" s="12"/>
      <c r="S16" s="12"/>
      <c r="T16" s="12"/>
      <c r="V16" s="12">
        <f>'2-δικαιώμ'!I16+'2-δικαιώμ'!J16</f>
        <v>1000</v>
      </c>
      <c r="W16" s="12">
        <f>'2-δικαιώμ'!K16</f>
        <v>1000</v>
      </c>
      <c r="X16" s="12">
        <f>'2-δικαιώμ'!L16</f>
        <v>200</v>
      </c>
      <c r="Z16" s="12"/>
      <c r="AA16" s="12"/>
      <c r="AB16" s="12"/>
      <c r="AC16" s="12"/>
      <c r="AD16" s="12"/>
    </row>
    <row r="17" spans="1:12">
      <c r="A17" s="738" t="str">
        <f>'1-συμβολαια'!A17</f>
        <v>σύνολο</v>
      </c>
      <c r="B17" s="739"/>
      <c r="C17" s="740"/>
      <c r="D17" s="196">
        <f t="shared" ref="D17:J17" si="0">SUM(D3:D16)</f>
        <v>43283.942000000003</v>
      </c>
      <c r="E17" s="196">
        <f t="shared" si="0"/>
        <v>80011.958000000013</v>
      </c>
      <c r="F17" s="196">
        <f t="shared" si="0"/>
        <v>15386.915000000001</v>
      </c>
      <c r="G17" s="196">
        <f t="shared" si="0"/>
        <v>41212.171439999998</v>
      </c>
      <c r="H17" s="196">
        <f t="shared" si="0"/>
        <v>3300</v>
      </c>
      <c r="I17" s="196">
        <f t="shared" si="0"/>
        <v>26195.650800000003</v>
      </c>
      <c r="J17" s="196">
        <f t="shared" si="0"/>
        <v>5239.1301600000006</v>
      </c>
    </row>
    <row r="20" spans="1:12">
      <c r="B20" s="91"/>
      <c r="D20" s="2"/>
      <c r="E20" s="2"/>
      <c r="F20" s="2"/>
      <c r="G20" s="2"/>
      <c r="H20" s="2"/>
      <c r="I20" s="2"/>
      <c r="J20" s="2"/>
    </row>
    <row r="21" spans="1:12" ht="12.75">
      <c r="B21" s="222" t="s">
        <v>400</v>
      </c>
      <c r="D21" s="2"/>
      <c r="E21" s="2"/>
      <c r="F21" s="2"/>
      <c r="G21" s="157">
        <v>50</v>
      </c>
      <c r="H21" s="5"/>
      <c r="I21" s="5" t="s">
        <v>404</v>
      </c>
      <c r="J21" s="2"/>
      <c r="K21" s="3" t="s">
        <v>427</v>
      </c>
    </row>
    <row r="22" spans="1:12" ht="12.75">
      <c r="B22" s="223" t="s">
        <v>401</v>
      </c>
      <c r="D22" s="2"/>
      <c r="E22" s="2"/>
      <c r="F22" s="2"/>
      <c r="G22" s="115">
        <v>150</v>
      </c>
      <c r="H22" s="3">
        <v>191</v>
      </c>
      <c r="I22" s="3" t="s">
        <v>405</v>
      </c>
      <c r="J22" s="2"/>
      <c r="L22" s="115" t="s">
        <v>428</v>
      </c>
    </row>
    <row r="23" spans="1:12" ht="15.75">
      <c r="B23" s="237" t="s">
        <v>402</v>
      </c>
      <c r="D23" s="2"/>
      <c r="E23" s="2"/>
      <c r="F23" s="2"/>
      <c r="G23" s="2"/>
      <c r="H23" s="5">
        <v>250</v>
      </c>
      <c r="I23" s="5" t="s">
        <v>133</v>
      </c>
      <c r="J23" s="2"/>
    </row>
    <row r="24" spans="1:12">
      <c r="B24" s="91"/>
      <c r="D24" s="2"/>
      <c r="E24" s="2"/>
      <c r="F24" s="2"/>
      <c r="G24" s="2"/>
      <c r="H24" s="5">
        <v>500</v>
      </c>
      <c r="I24" s="3" t="s">
        <v>406</v>
      </c>
      <c r="J24" s="2"/>
    </row>
    <row r="25" spans="1:12">
      <c r="B25" s="91"/>
      <c r="D25" s="2"/>
      <c r="E25" s="2"/>
      <c r="F25" s="2"/>
      <c r="G25" s="2"/>
      <c r="H25" s="230">
        <v>1260</v>
      </c>
      <c r="I25" s="5" t="s">
        <v>407</v>
      </c>
      <c r="J25" s="5"/>
    </row>
    <row r="26" spans="1:12">
      <c r="B26" s="91"/>
      <c r="D26" s="2"/>
      <c r="E26" s="2"/>
      <c r="F26" s="2"/>
      <c r="G26" s="2"/>
      <c r="H26" s="2"/>
      <c r="I26" s="2"/>
      <c r="J26" s="2"/>
    </row>
    <row r="27" spans="1:12">
      <c r="B27" s="91"/>
      <c r="D27" s="2"/>
      <c r="E27" s="2"/>
      <c r="F27" s="2"/>
      <c r="G27" s="2"/>
      <c r="H27" s="2"/>
      <c r="I27" s="2"/>
      <c r="J27" s="2"/>
    </row>
    <row r="28" spans="1:12">
      <c r="B28" s="91"/>
      <c r="D28" s="2"/>
      <c r="E28" s="2"/>
      <c r="F28" s="2"/>
      <c r="G28" s="2"/>
      <c r="H28" s="2"/>
      <c r="I28" s="2"/>
      <c r="J28" s="2"/>
    </row>
    <row r="29" spans="1:12">
      <c r="B29" s="92"/>
      <c r="C29" s="5"/>
      <c r="D29" s="4"/>
      <c r="E29" s="4"/>
      <c r="F29" s="4"/>
      <c r="G29" s="4"/>
      <c r="H29" s="2"/>
      <c r="I29" s="2"/>
      <c r="J29" s="2"/>
    </row>
    <row r="30" spans="1:12">
      <c r="B30" s="5"/>
      <c r="C30" s="5"/>
      <c r="D30" s="5"/>
      <c r="E30" s="5"/>
      <c r="F30" s="5"/>
      <c r="G30" s="5"/>
    </row>
    <row r="31" spans="1:12">
      <c r="B31" s="372"/>
      <c r="C31" s="5"/>
      <c r="D31" s="5"/>
      <c r="E31" s="5"/>
      <c r="F31" s="58"/>
      <c r="G31" s="58"/>
      <c r="H31" s="8"/>
      <c r="I31" s="8"/>
    </row>
    <row r="32" spans="1:12">
      <c r="B32" s="5"/>
      <c r="C32" s="5"/>
      <c r="D32" s="5"/>
      <c r="E32" s="5"/>
      <c r="F32" s="58"/>
      <c r="G32" s="58"/>
      <c r="H32" s="8"/>
      <c r="I32" s="8"/>
    </row>
    <row r="33" spans="2:9">
      <c r="B33" s="5"/>
      <c r="C33" s="5"/>
      <c r="D33" s="5"/>
      <c r="E33" s="5"/>
      <c r="F33" s="58"/>
      <c r="G33" s="58"/>
      <c r="H33" s="8"/>
      <c r="I33" s="8"/>
    </row>
    <row r="34" spans="2:9">
      <c r="B34" s="5"/>
      <c r="C34" s="5"/>
      <c r="D34" s="5"/>
      <c r="E34" s="5"/>
      <c r="F34" s="58"/>
      <c r="G34" s="58"/>
      <c r="H34" s="8"/>
      <c r="I34" s="8"/>
    </row>
    <row r="35" spans="2:9">
      <c r="B35" s="5"/>
      <c r="C35" s="5"/>
      <c r="D35" s="5"/>
      <c r="E35" s="5"/>
      <c r="F35" s="58"/>
      <c r="G35" s="58"/>
      <c r="H35" s="8"/>
      <c r="I35" s="8"/>
    </row>
    <row r="36" spans="2:9">
      <c r="B36" s="5"/>
      <c r="C36" s="5"/>
      <c r="D36" s="5"/>
      <c r="E36" s="5"/>
      <c r="F36" s="58"/>
      <c r="G36" s="58"/>
      <c r="H36" s="8"/>
      <c r="I36" s="8"/>
    </row>
    <row r="37" spans="2:9">
      <c r="B37" s="372"/>
      <c r="C37" s="5"/>
      <c r="D37" s="5"/>
      <c r="E37" s="5"/>
      <c r="F37" s="58"/>
      <c r="G37" s="58"/>
      <c r="H37" s="8"/>
      <c r="I37" s="8"/>
    </row>
    <row r="38" spans="2:9">
      <c r="B38" s="5"/>
      <c r="C38" s="5"/>
      <c r="D38" s="5"/>
      <c r="E38" s="5"/>
      <c r="F38" s="58"/>
      <c r="G38" s="58"/>
      <c r="H38" s="8"/>
      <c r="I38" s="8"/>
    </row>
    <row r="39" spans="2:9">
      <c r="B39" s="5"/>
      <c r="C39" s="5"/>
      <c r="D39" s="5"/>
      <c r="E39" s="5"/>
      <c r="F39" s="58"/>
      <c r="G39" s="58"/>
      <c r="H39" s="8"/>
      <c r="I39" s="8"/>
    </row>
    <row r="40" spans="2:9">
      <c r="B40" s="5"/>
      <c r="C40" s="5"/>
      <c r="D40" s="5"/>
      <c r="E40" s="5"/>
      <c r="F40" s="58"/>
      <c r="G40" s="58"/>
      <c r="H40" s="8"/>
      <c r="I40" s="2"/>
    </row>
    <row r="41" spans="2:9">
      <c r="B41" s="5"/>
      <c r="C41" s="5"/>
      <c r="D41" s="5"/>
      <c r="E41" s="5"/>
      <c r="F41" s="58"/>
      <c r="G41" s="58"/>
      <c r="H41" s="8"/>
      <c r="I41" s="2"/>
    </row>
  </sheetData>
  <mergeCells count="13">
    <mergeCell ref="Z1:AD1"/>
    <mergeCell ref="A17:C17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34"/>
  <sheetViews>
    <sheetView workbookViewId="0">
      <pane ySplit="2" topLeftCell="A3" activePane="bottomLeft" state="frozen"/>
      <selection pane="bottomLeft" activeCell="A24" sqref="A24"/>
    </sheetView>
  </sheetViews>
  <sheetFormatPr defaultRowHeight="11.25"/>
  <cols>
    <col min="1" max="1" width="10.42578125" style="8" bestFit="1" customWidth="1"/>
    <col min="2" max="2" width="63.140625" style="91" customWidth="1"/>
    <col min="3" max="3" width="14.28515625" style="8" bestFit="1" customWidth="1"/>
    <col min="4" max="4" width="9.28515625" style="2" bestFit="1" customWidth="1"/>
    <col min="5" max="5" width="9.85546875" style="2" customWidth="1"/>
    <col min="6" max="6" width="9.42578125" style="2" bestFit="1" customWidth="1"/>
    <col min="7" max="7" width="7.7109375" style="2" bestFit="1" customWidth="1"/>
    <col min="8" max="11" width="7.7109375" style="2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19" s="6" customFormat="1" ht="34.5" customHeight="1">
      <c r="A1" s="625" t="s">
        <v>1</v>
      </c>
      <c r="B1" s="627" t="s">
        <v>0</v>
      </c>
      <c r="C1" s="671" t="s">
        <v>7</v>
      </c>
      <c r="D1" s="758" t="s">
        <v>45</v>
      </c>
      <c r="E1" s="759"/>
      <c r="F1" s="759"/>
      <c r="G1" s="760" t="s">
        <v>430</v>
      </c>
      <c r="H1" s="761"/>
      <c r="I1" s="761"/>
      <c r="J1" s="761"/>
      <c r="K1" s="762"/>
      <c r="L1" s="756" t="s">
        <v>57</v>
      </c>
      <c r="M1" s="753" t="s">
        <v>29</v>
      </c>
      <c r="N1" s="754"/>
      <c r="O1" s="754"/>
      <c r="P1" s="754"/>
      <c r="Q1" s="754"/>
      <c r="R1" s="754"/>
      <c r="S1" s="755"/>
    </row>
    <row r="2" spans="1:19" ht="34.5" customHeight="1" thickBot="1">
      <c r="A2" s="626"/>
      <c r="B2" s="628"/>
      <c r="C2" s="672"/>
      <c r="D2" s="234" t="s">
        <v>320</v>
      </c>
      <c r="E2" s="234" t="s">
        <v>429</v>
      </c>
      <c r="F2" s="240" t="s">
        <v>91</v>
      </c>
      <c r="G2" s="238" t="s">
        <v>320</v>
      </c>
      <c r="H2" s="239" t="s">
        <v>324</v>
      </c>
      <c r="I2" s="239" t="s">
        <v>431</v>
      </c>
      <c r="J2" s="239" t="s">
        <v>325</v>
      </c>
      <c r="K2" s="236" t="s">
        <v>33</v>
      </c>
      <c r="L2" s="757"/>
      <c r="M2" s="618"/>
      <c r="N2" s="619"/>
      <c r="O2" s="619"/>
      <c r="P2" s="619"/>
      <c r="Q2" s="619"/>
      <c r="R2" s="619"/>
      <c r="S2" s="620"/>
    </row>
    <row r="3" spans="1:19" s="336" customFormat="1" ht="14.25">
      <c r="A3" s="365" t="str">
        <f>'1-συμβολαια'!A3</f>
        <v>1ο</v>
      </c>
      <c r="B3" s="332" t="str">
        <f>'1-συμβολαια'!C3</f>
        <v>γονικής ΠΡΟΣΥΜΦΩΝΟ</v>
      </c>
      <c r="C3" s="333">
        <f>'1-συμβολαια'!D3</f>
        <v>0</v>
      </c>
      <c r="D3" s="334">
        <v>1100</v>
      </c>
      <c r="E3" s="334">
        <v>468</v>
      </c>
      <c r="F3" s="334">
        <v>680</v>
      </c>
      <c r="G3" s="334">
        <v>100</v>
      </c>
      <c r="H3" s="334"/>
      <c r="I3" s="334">
        <v>146</v>
      </c>
      <c r="J3" s="334"/>
      <c r="K3" s="335"/>
      <c r="L3" s="335"/>
      <c r="M3" s="300"/>
      <c r="N3" s="300"/>
      <c r="O3" s="300"/>
      <c r="P3" s="300"/>
      <c r="Q3" s="300"/>
      <c r="R3" s="300"/>
      <c r="S3" s="74"/>
    </row>
    <row r="4" spans="1:19" s="336" customFormat="1" ht="14.25">
      <c r="A4" s="365" t="str">
        <f>'1-συμβολαια'!A4</f>
        <v>2ο</v>
      </c>
      <c r="B4" s="332" t="str">
        <f>'1-συμβολαια'!C4</f>
        <v>δωρεάς ΠΡΟΣΥΜΦΩΝΟ</v>
      </c>
      <c r="C4" s="333">
        <f>'1-συμβολαια'!D4</f>
        <v>0</v>
      </c>
      <c r="D4" s="334">
        <v>1100</v>
      </c>
      <c r="E4" s="334">
        <v>468</v>
      </c>
      <c r="F4" s="334">
        <v>680</v>
      </c>
      <c r="G4" s="334">
        <v>100</v>
      </c>
      <c r="H4" s="334"/>
      <c r="I4" s="334">
        <v>146</v>
      </c>
      <c r="J4" s="334"/>
      <c r="K4" s="335"/>
      <c r="L4" s="335"/>
      <c r="M4" s="300"/>
      <c r="N4" s="300"/>
      <c r="O4" s="300"/>
      <c r="P4" s="300"/>
      <c r="Q4" s="300"/>
      <c r="R4" s="300"/>
      <c r="S4" s="74"/>
    </row>
    <row r="5" spans="1:19" s="336" customFormat="1" ht="14.25">
      <c r="A5" s="365" t="str">
        <f>'1-συμβολαια'!A5</f>
        <v>3ο</v>
      </c>
      <c r="B5" s="332" t="str">
        <f>'1-συμβολαια'!C5</f>
        <v>δωρεάς ΠΡΟΣΥΜΦΩΝΟ [1ο όροφο 55,63μ2</v>
      </c>
      <c r="C5" s="333">
        <f>'1-συμβολαια'!D5</f>
        <v>0</v>
      </c>
      <c r="D5" s="334">
        <v>1100</v>
      </c>
      <c r="E5" s="334">
        <v>468</v>
      </c>
      <c r="F5" s="334">
        <v>680</v>
      </c>
      <c r="G5" s="334">
        <v>100</v>
      </c>
      <c r="H5" s="334"/>
      <c r="I5" s="334">
        <v>146</v>
      </c>
      <c r="J5" s="334"/>
      <c r="K5" s="335"/>
      <c r="L5" s="335"/>
      <c r="M5" s="300"/>
      <c r="N5" s="300"/>
      <c r="O5" s="300"/>
      <c r="P5" s="300"/>
      <c r="Q5" s="300"/>
      <c r="R5" s="300"/>
      <c r="S5" s="74"/>
    </row>
    <row r="6" spans="1:19" s="336" customFormat="1" ht="14.25">
      <c r="A6" s="365" t="str">
        <f>'1-συμβολαια'!A6</f>
        <v>4ο</v>
      </c>
      <c r="B6" s="332" t="str">
        <f>'1-συμβολαια'!C6</f>
        <v>πληρεξούσιο</v>
      </c>
      <c r="C6" s="333">
        <f>'1-συμβολαια'!D6</f>
        <v>0</v>
      </c>
      <c r="D6" s="366"/>
      <c r="E6" s="366"/>
      <c r="F6" s="366"/>
      <c r="G6" s="334">
        <v>100</v>
      </c>
      <c r="H6" s="334"/>
      <c r="I6" s="334">
        <v>146</v>
      </c>
      <c r="J6" s="334"/>
      <c r="K6" s="335"/>
      <c r="L6" s="335"/>
      <c r="M6" s="300" t="s">
        <v>137</v>
      </c>
      <c r="N6" s="300" t="s">
        <v>436</v>
      </c>
      <c r="O6" s="300"/>
      <c r="P6" s="300"/>
      <c r="Q6" s="300"/>
      <c r="R6" s="300"/>
      <c r="S6" s="74"/>
    </row>
    <row r="7" spans="1:19" s="336" customFormat="1" ht="14.25">
      <c r="A7" s="365" t="str">
        <f>'1-συμβολαια'!A7</f>
        <v>5ο</v>
      </c>
      <c r="B7" s="332" t="str">
        <f>'1-συμβολαια'!C7</f>
        <v>πληρεξούσιο</v>
      </c>
      <c r="C7" s="333">
        <f>'1-συμβολαια'!D7</f>
        <v>0</v>
      </c>
      <c r="D7" s="366"/>
      <c r="E7" s="366"/>
      <c r="F7" s="366"/>
      <c r="G7" s="334">
        <v>120</v>
      </c>
      <c r="H7" s="334"/>
      <c r="I7" s="334">
        <v>180</v>
      </c>
      <c r="J7" s="334"/>
      <c r="K7" s="335"/>
      <c r="L7" s="335"/>
      <c r="M7" s="300" t="s">
        <v>137</v>
      </c>
      <c r="N7" s="300" t="s">
        <v>436</v>
      </c>
      <c r="O7" s="300"/>
      <c r="P7" s="300"/>
      <c r="Q7" s="300"/>
      <c r="R7" s="300"/>
      <c r="S7" s="74"/>
    </row>
    <row r="8" spans="1:19" s="336" customFormat="1" ht="14.25">
      <c r="A8" s="436" t="str">
        <f>'1-συμβολαια'!A8</f>
        <v>7ο</v>
      </c>
      <c r="B8" s="332" t="str">
        <f>'1-συμβολαια'!C8</f>
        <v>διανομή [34,60% {= 7.480.642δρχ}] &amp; {65,40% {= 14.139.710δρχ}]</v>
      </c>
      <c r="C8" s="333">
        <f>'1-συμβολαια'!D8</f>
        <v>21620352</v>
      </c>
      <c r="D8" s="334">
        <v>100</v>
      </c>
      <c r="E8" s="366"/>
      <c r="F8" s="366"/>
      <c r="G8" s="366"/>
      <c r="H8" s="366"/>
      <c r="I8" s="366"/>
      <c r="J8" s="366"/>
      <c r="K8" s="335"/>
      <c r="L8" s="335">
        <v>100</v>
      </c>
      <c r="M8" s="300"/>
      <c r="N8" s="300" t="s">
        <v>436</v>
      </c>
      <c r="O8" s="300" t="s">
        <v>132</v>
      </c>
      <c r="P8" s="300" t="s">
        <v>437</v>
      </c>
      <c r="Q8" s="300" t="s">
        <v>438</v>
      </c>
      <c r="R8" s="300" t="s">
        <v>439</v>
      </c>
      <c r="S8" s="74"/>
    </row>
    <row r="9" spans="1:19" s="336" customFormat="1" ht="14.25">
      <c r="A9" s="436">
        <f>'1-συμβολαια'!A9</f>
        <v>0</v>
      </c>
      <c r="B9" s="332" t="str">
        <f>'1-συμβολαια'!C9</f>
        <v>εξισορόπηση διαφοράς διανεμομένων</v>
      </c>
      <c r="C9" s="333">
        <f>'1-συμβολαια'!D9</f>
        <v>3329534</v>
      </c>
      <c r="D9" s="366"/>
      <c r="E9" s="366"/>
      <c r="F9" s="366"/>
      <c r="G9" s="366"/>
      <c r="H9" s="366"/>
      <c r="I9" s="366"/>
      <c r="J9" s="366"/>
      <c r="K9" s="335"/>
      <c r="L9" s="335">
        <v>100</v>
      </c>
      <c r="M9" s="300" t="s">
        <v>137</v>
      </c>
      <c r="N9" s="300" t="s">
        <v>436</v>
      </c>
      <c r="O9" s="300" t="s">
        <v>132</v>
      </c>
      <c r="P9" s="300" t="s">
        <v>437</v>
      </c>
      <c r="Q9" s="300" t="s">
        <v>438</v>
      </c>
      <c r="R9" s="300" t="s">
        <v>439</v>
      </c>
      <c r="S9" s="74"/>
    </row>
    <row r="10" spans="1:19" s="336" customFormat="1" ht="14.25">
      <c r="A10" s="436">
        <f>'1-συμβολαια'!A10</f>
        <v>0</v>
      </c>
      <c r="B10" s="332" t="str">
        <f>'1-συμβολαια'!C10</f>
        <v>χρήσης ΚΑΝΟΝΙΣΝΟΣ</v>
      </c>
      <c r="C10" s="333">
        <f>'1-συμβολαια'!D10</f>
        <v>0</v>
      </c>
      <c r="D10" s="366"/>
      <c r="E10" s="366"/>
      <c r="F10" s="366"/>
      <c r="G10" s="366"/>
      <c r="H10" s="366"/>
      <c r="I10" s="366"/>
      <c r="J10" s="366"/>
      <c r="K10" s="335"/>
      <c r="L10" s="335">
        <v>100</v>
      </c>
      <c r="M10" s="300" t="s">
        <v>137</v>
      </c>
      <c r="N10" s="300" t="s">
        <v>436</v>
      </c>
      <c r="O10" s="300" t="s">
        <v>132</v>
      </c>
      <c r="P10" s="300" t="s">
        <v>437</v>
      </c>
      <c r="Q10" s="300" t="s">
        <v>438</v>
      </c>
      <c r="R10" s="300" t="s">
        <v>439</v>
      </c>
      <c r="S10" s="74"/>
    </row>
    <row r="11" spans="1:19" s="336" customFormat="1" ht="15" thickBot="1">
      <c r="A11" s="523">
        <f>'1-συμβολαια'!A11</f>
        <v>0</v>
      </c>
      <c r="B11" s="524" t="str">
        <f>'1-συμβολαια'!C11</f>
        <v xml:space="preserve">κάθετος ΣΥΣΤΑΣΗ </v>
      </c>
      <c r="C11" s="525">
        <f>'1-συμβολαια'!D11</f>
        <v>0</v>
      </c>
      <c r="D11" s="526"/>
      <c r="E11" s="526"/>
      <c r="F11" s="526"/>
      <c r="G11" s="526"/>
      <c r="H11" s="526"/>
      <c r="I11" s="526"/>
      <c r="J11" s="526"/>
      <c r="K11" s="527"/>
      <c r="L11" s="527">
        <v>100</v>
      </c>
      <c r="M11" s="459" t="s">
        <v>137</v>
      </c>
      <c r="N11" s="459" t="s">
        <v>436</v>
      </c>
      <c r="O11" s="459" t="s">
        <v>132</v>
      </c>
      <c r="P11" s="459" t="s">
        <v>437</v>
      </c>
      <c r="Q11" s="459" t="s">
        <v>438</v>
      </c>
      <c r="R11" s="459" t="s">
        <v>439</v>
      </c>
      <c r="S11" s="467"/>
    </row>
    <row r="12" spans="1:19" s="336" customFormat="1" ht="14.25">
      <c r="A12" s="521" t="str">
        <f>'1-συμβολαια'!A12</f>
        <v>6ο</v>
      </c>
      <c r="B12" s="522" t="str">
        <f>'1-συμβολαια'!C12</f>
        <v>πληρεξούσιο</v>
      </c>
      <c r="C12" s="333">
        <f>'1-συμβολαια'!D12</f>
        <v>0</v>
      </c>
      <c r="D12" s="366"/>
      <c r="E12" s="366"/>
      <c r="F12" s="366"/>
      <c r="G12" s="334">
        <v>90</v>
      </c>
      <c r="H12" s="366"/>
      <c r="I12" s="366"/>
      <c r="J12" s="366"/>
      <c r="K12" s="335"/>
      <c r="L12" s="335">
        <v>100</v>
      </c>
      <c r="M12" s="300" t="s">
        <v>137</v>
      </c>
      <c r="N12" s="452" t="s">
        <v>436</v>
      </c>
      <c r="O12" s="452"/>
      <c r="P12" s="452" t="s">
        <v>437</v>
      </c>
      <c r="Q12" s="452" t="s">
        <v>438</v>
      </c>
      <c r="R12" s="452" t="s">
        <v>439</v>
      </c>
      <c r="S12" s="463"/>
    </row>
    <row r="13" spans="1:19" s="336" customFormat="1" ht="14.25">
      <c r="A13" s="365" t="str">
        <f>'1-συμβολαια'!A13</f>
        <v>8ο</v>
      </c>
      <c r="B13" s="332" t="str">
        <f>'1-συμβολαια'!C13</f>
        <v>δωρεα [οικόπεδο42μ2</v>
      </c>
      <c r="C13" s="333">
        <f>'1-συμβολαια'!D13</f>
        <v>725760</v>
      </c>
      <c r="D13" s="317">
        <v>1000</v>
      </c>
      <c r="E13" s="366"/>
      <c r="F13" s="366"/>
      <c r="G13" s="366"/>
      <c r="H13" s="366"/>
      <c r="I13" s="366"/>
      <c r="J13" s="366"/>
      <c r="K13" s="335"/>
      <c r="L13" s="335">
        <v>100</v>
      </c>
      <c r="M13" s="300"/>
      <c r="N13" s="300" t="s">
        <v>436</v>
      </c>
      <c r="O13" s="300" t="s">
        <v>132</v>
      </c>
      <c r="P13" s="300" t="s">
        <v>437</v>
      </c>
      <c r="Q13" s="300" t="s">
        <v>438</v>
      </c>
      <c r="R13" s="300" t="s">
        <v>439</v>
      </c>
      <c r="S13" s="74"/>
    </row>
    <row r="14" spans="1:19" s="336" customFormat="1" ht="14.25">
      <c r="A14" s="365" t="str">
        <f>'1-συμβολαια'!A14</f>
        <v>9ο</v>
      </c>
      <c r="B14" s="332" t="str">
        <f>'1-συμβολαια'!C14</f>
        <v xml:space="preserve">γονική ΒΑΣΕΙ 1.113 προσυμφώνου </v>
      </c>
      <c r="C14" s="333">
        <f>'1-συμβολαια'!D14</f>
        <v>5112496</v>
      </c>
      <c r="D14" s="317">
        <v>1000</v>
      </c>
      <c r="E14" s="366"/>
      <c r="F14" s="366"/>
      <c r="G14" s="366"/>
      <c r="H14" s="366"/>
      <c r="I14" s="366"/>
      <c r="J14" s="366"/>
      <c r="K14" s="335"/>
      <c r="L14" s="335">
        <v>100</v>
      </c>
      <c r="M14" s="300"/>
      <c r="N14" s="300" t="s">
        <v>436</v>
      </c>
      <c r="O14" s="300" t="s">
        <v>132</v>
      </c>
      <c r="P14" s="300" t="s">
        <v>437</v>
      </c>
      <c r="Q14" s="300" t="s">
        <v>438</v>
      </c>
      <c r="R14" s="300" t="s">
        <v>439</v>
      </c>
      <c r="S14" s="74"/>
    </row>
    <row r="15" spans="1:19" s="336" customFormat="1" ht="14.25">
      <c r="A15" s="436" t="str">
        <f>'1-συμβολαια'!A15</f>
        <v>10ο</v>
      </c>
      <c r="B15" s="332" t="str">
        <f>'1-συμβολαια'!C15</f>
        <v>δωρεά  ΒΑΣΕΙ 1.114 προσυμφώνου</v>
      </c>
      <c r="C15" s="333">
        <f>'1-συμβολαια'!D15</f>
        <v>6471276</v>
      </c>
      <c r="D15" s="317">
        <v>1000</v>
      </c>
      <c r="E15" s="366"/>
      <c r="F15" s="366"/>
      <c r="G15" s="366"/>
      <c r="H15" s="366"/>
      <c r="I15" s="366"/>
      <c r="J15" s="366"/>
      <c r="K15" s="335"/>
      <c r="L15" s="335">
        <v>100</v>
      </c>
      <c r="M15" s="300"/>
      <c r="N15" s="300" t="s">
        <v>436</v>
      </c>
      <c r="O15" s="300" t="s">
        <v>132</v>
      </c>
      <c r="P15" s="300" t="s">
        <v>437</v>
      </c>
      <c r="Q15" s="300" t="s">
        <v>438</v>
      </c>
      <c r="R15" s="300" t="s">
        <v>439</v>
      </c>
      <c r="S15" s="74"/>
    </row>
    <row r="16" spans="1:19" s="336" customFormat="1" ht="14.25">
      <c r="A16" s="436">
        <f>'1-συμβολαια'!A16</f>
        <v>0</v>
      </c>
      <c r="B16" s="332" t="str">
        <f>'1-συμβολαια'!C16</f>
        <v xml:space="preserve">κάθετος ΣΥΣΤΑΣΗ </v>
      </c>
      <c r="C16" s="333">
        <f>'1-συμβολαια'!D16</f>
        <v>0</v>
      </c>
      <c r="D16" s="334">
        <v>100</v>
      </c>
      <c r="E16" s="366"/>
      <c r="F16" s="366"/>
      <c r="G16" s="366"/>
      <c r="H16" s="366"/>
      <c r="I16" s="366"/>
      <c r="J16" s="366"/>
      <c r="K16" s="335"/>
      <c r="L16" s="335"/>
      <c r="M16" s="300" t="s">
        <v>137</v>
      </c>
      <c r="N16" s="300" t="s">
        <v>436</v>
      </c>
      <c r="O16" s="300" t="s">
        <v>132</v>
      </c>
      <c r="P16" s="300" t="s">
        <v>437</v>
      </c>
      <c r="Q16" s="300" t="s">
        <v>438</v>
      </c>
      <c r="R16" s="300" t="s">
        <v>439</v>
      </c>
      <c r="S16" s="74"/>
    </row>
    <row r="17" spans="1:25" ht="15.75">
      <c r="A17" s="643" t="s">
        <v>56</v>
      </c>
      <c r="B17" s="644"/>
      <c r="C17" s="644"/>
      <c r="D17" s="241">
        <f t="shared" ref="D17:L17" si="0">SUM(D3:D13)</f>
        <v>4400</v>
      </c>
      <c r="E17" s="241">
        <f t="shared" si="0"/>
        <v>1404</v>
      </c>
      <c r="F17" s="241">
        <f t="shared" si="0"/>
        <v>2040</v>
      </c>
      <c r="G17" s="241">
        <f t="shared" si="0"/>
        <v>610</v>
      </c>
      <c r="H17" s="241">
        <f t="shared" si="0"/>
        <v>0</v>
      </c>
      <c r="I17" s="241">
        <f t="shared" si="0"/>
        <v>764</v>
      </c>
      <c r="J17" s="241">
        <f t="shared" si="0"/>
        <v>0</v>
      </c>
      <c r="K17" s="241">
        <f t="shared" si="0"/>
        <v>0</v>
      </c>
      <c r="L17" s="241">
        <f t="shared" si="0"/>
        <v>600</v>
      </c>
    </row>
    <row r="18" spans="1:25" ht="15.75">
      <c r="M18" s="124" t="s">
        <v>102</v>
      </c>
      <c r="N18" s="139"/>
      <c r="O18" s="139"/>
      <c r="P18" s="139"/>
      <c r="Q18" s="139"/>
      <c r="R18" s="139"/>
      <c r="S18" s="139"/>
      <c r="T18" s="120"/>
      <c r="U18" s="120"/>
      <c r="V18" s="120"/>
      <c r="W18" s="120"/>
      <c r="X18" s="5"/>
    </row>
    <row r="19" spans="1:25" ht="15.75">
      <c r="M19" s="235"/>
      <c r="N19" s="124" t="s">
        <v>432</v>
      </c>
      <c r="O19" s="235"/>
      <c r="P19" s="235"/>
      <c r="Q19" s="235"/>
      <c r="R19" s="235"/>
      <c r="S19" s="235"/>
      <c r="T19" s="235"/>
      <c r="U19" s="235"/>
      <c r="V19" s="235"/>
      <c r="W19" s="243"/>
      <c r="X19" s="243"/>
      <c r="Y19" s="243"/>
    </row>
    <row r="20" spans="1:25" ht="15.75">
      <c r="M20" s="243"/>
      <c r="N20" s="243"/>
      <c r="O20" s="139" t="s">
        <v>103</v>
      </c>
      <c r="P20" s="139"/>
      <c r="Q20" s="139"/>
      <c r="R20" s="139"/>
      <c r="S20" s="139"/>
      <c r="T20" s="139"/>
      <c r="U20" s="139"/>
      <c r="V20" s="139"/>
      <c r="W20" s="139"/>
      <c r="X20" s="243"/>
      <c r="Y20" s="242"/>
    </row>
    <row r="21" spans="1:25" ht="15.75">
      <c r="B21" s="130"/>
      <c r="M21" s="243"/>
      <c r="N21" s="243"/>
      <c r="O21" s="243"/>
      <c r="P21" s="244" t="s">
        <v>433</v>
      </c>
      <c r="Q21" s="243"/>
      <c r="R21" s="243"/>
      <c r="S21" s="244"/>
      <c r="T21" s="244"/>
      <c r="U21" s="244"/>
      <c r="V21" s="244"/>
      <c r="W21" s="244"/>
      <c r="X21" s="244"/>
      <c r="Y21" s="242"/>
    </row>
    <row r="22" spans="1:25" ht="15.75">
      <c r="B22" s="131"/>
      <c r="M22" s="243"/>
      <c r="N22" s="243"/>
      <c r="O22" s="243"/>
      <c r="P22" s="243"/>
      <c r="Q22" s="139" t="s">
        <v>434</v>
      </c>
      <c r="R22" s="139"/>
      <c r="S22" s="139"/>
      <c r="T22" s="244"/>
      <c r="U22" s="244"/>
      <c r="V22" s="139"/>
      <c r="W22" s="139"/>
      <c r="X22" s="139"/>
      <c r="Y22" s="242"/>
    </row>
    <row r="23" spans="1:25" ht="15.75">
      <c r="M23" s="243"/>
      <c r="N23" s="243"/>
      <c r="O23" s="243"/>
      <c r="P23" s="243"/>
      <c r="Q23" s="243"/>
      <c r="R23" s="244" t="s">
        <v>435</v>
      </c>
      <c r="S23" s="244"/>
      <c r="T23" s="244"/>
      <c r="U23" s="244"/>
      <c r="V23" s="244"/>
      <c r="W23" s="244"/>
      <c r="X23" s="244"/>
      <c r="Y23" s="242"/>
    </row>
    <row r="24" spans="1:25" ht="15.75">
      <c r="B24" s="130"/>
      <c r="T24" s="126"/>
      <c r="Y24" s="242"/>
    </row>
    <row r="25" spans="1:25" ht="15.75">
      <c r="B25" s="131"/>
      <c r="T25" s="126"/>
    </row>
    <row r="26" spans="1:25" ht="15.75">
      <c r="B26" s="303"/>
      <c r="C26" s="3"/>
      <c r="T26" s="126"/>
    </row>
    <row r="27" spans="1:25" ht="15.75">
      <c r="B27" s="3"/>
      <c r="C27" s="3"/>
      <c r="L27" s="3"/>
      <c r="T27" s="126"/>
    </row>
    <row r="28" spans="1:25">
      <c r="B28" s="3"/>
      <c r="C28" s="3"/>
      <c r="L28" s="3"/>
    </row>
    <row r="29" spans="1:25">
      <c r="B29" s="3"/>
      <c r="C29" s="3"/>
      <c r="L29" s="3"/>
    </row>
    <row r="30" spans="1:25">
      <c r="B30" s="3"/>
      <c r="C30" s="3"/>
      <c r="L30" s="3"/>
    </row>
    <row r="31" spans="1:25">
      <c r="B31" s="3"/>
      <c r="C31" s="3"/>
      <c r="L31" s="3"/>
    </row>
    <row r="32" spans="1:25">
      <c r="B32" s="303"/>
      <c r="C32" s="3"/>
      <c r="L32" s="3"/>
    </row>
    <row r="33" spans="2:12">
      <c r="B33" s="3"/>
      <c r="C33" s="3"/>
      <c r="L33" s="3"/>
    </row>
    <row r="34" spans="2:12">
      <c r="B34" s="3"/>
      <c r="C34" s="3"/>
      <c r="D34" s="5"/>
      <c r="E34" s="58"/>
    </row>
  </sheetData>
  <mergeCells count="8">
    <mergeCell ref="M1:S2"/>
    <mergeCell ref="L1:L2"/>
    <mergeCell ref="A17:C17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46"/>
  <sheetViews>
    <sheetView workbookViewId="0">
      <pane ySplit="2" topLeftCell="A3" activePane="bottomLeft" state="frozen"/>
      <selection pane="bottomLeft" activeCell="E31" sqref="E31"/>
    </sheetView>
  </sheetViews>
  <sheetFormatPr defaultRowHeight="15"/>
  <cols>
    <col min="1" max="1" width="11.5703125" style="103" bestFit="1" customWidth="1"/>
    <col min="2" max="2" width="68.85546875" style="104" bestFit="1" customWidth="1"/>
    <col min="3" max="3" width="14.28515625" style="105" customWidth="1"/>
    <col min="4" max="4" width="12.85546875" style="105" bestFit="1" customWidth="1"/>
    <col min="5" max="5" width="16.7109375" style="105" bestFit="1" customWidth="1"/>
    <col min="6" max="6" width="7.85546875" style="102" customWidth="1"/>
    <col min="7" max="7" width="10" style="102" customWidth="1"/>
    <col min="8" max="8" width="6.140625" style="102" bestFit="1" customWidth="1"/>
    <col min="9" max="12" width="7.140625" style="102" customWidth="1"/>
    <col min="13" max="13" width="6.28515625" style="102" customWidth="1"/>
    <col min="14" max="21" width="7.140625" style="102" customWidth="1"/>
    <col min="22" max="22" width="30.85546875" style="102" customWidth="1"/>
    <col min="23" max="220" width="9.140625" style="98"/>
    <col min="221" max="221" width="9" style="98" bestFit="1" customWidth="1"/>
    <col min="222" max="222" width="9.85546875" style="98" bestFit="1" customWidth="1"/>
    <col min="223" max="223" width="9.140625" style="98" bestFit="1" customWidth="1"/>
    <col min="224" max="224" width="16" style="98" bestFit="1" customWidth="1"/>
    <col min="225" max="225" width="9" style="98" bestFit="1" customWidth="1"/>
    <col min="226" max="226" width="7.85546875" style="98" bestFit="1" customWidth="1"/>
    <col min="227" max="227" width="11.7109375" style="98" bestFit="1" customWidth="1"/>
    <col min="228" max="228" width="14.28515625" style="98" customWidth="1"/>
    <col min="229" max="229" width="11.7109375" style="98" bestFit="1" customWidth="1"/>
    <col min="230" max="230" width="14.140625" style="98" bestFit="1" customWidth="1"/>
    <col min="231" max="231" width="16.7109375" style="98" customWidth="1"/>
    <col min="232" max="232" width="16.5703125" style="98" customWidth="1"/>
    <col min="233" max="234" width="7.85546875" style="98" bestFit="1" customWidth="1"/>
    <col min="235" max="235" width="8" style="98" bestFit="1" customWidth="1"/>
    <col min="236" max="237" width="7.85546875" style="98" bestFit="1" customWidth="1"/>
    <col min="238" max="238" width="9.7109375" style="98" customWidth="1"/>
    <col min="239" max="239" width="12.85546875" style="98" customWidth="1"/>
    <col min="240" max="476" width="9.140625" style="98"/>
    <col min="477" max="477" width="9" style="98" bestFit="1" customWidth="1"/>
    <col min="478" max="478" width="9.85546875" style="98" bestFit="1" customWidth="1"/>
    <col min="479" max="479" width="9.140625" style="98" bestFit="1" customWidth="1"/>
    <col min="480" max="480" width="16" style="98" bestFit="1" customWidth="1"/>
    <col min="481" max="481" width="9" style="98" bestFit="1" customWidth="1"/>
    <col min="482" max="482" width="7.85546875" style="98" bestFit="1" customWidth="1"/>
    <col min="483" max="483" width="11.7109375" style="98" bestFit="1" customWidth="1"/>
    <col min="484" max="484" width="14.28515625" style="98" customWidth="1"/>
    <col min="485" max="485" width="11.7109375" style="98" bestFit="1" customWidth="1"/>
    <col min="486" max="486" width="14.140625" style="98" bestFit="1" customWidth="1"/>
    <col min="487" max="487" width="16.7109375" style="98" customWidth="1"/>
    <col min="488" max="488" width="16.5703125" style="98" customWidth="1"/>
    <col min="489" max="490" width="7.85546875" style="98" bestFit="1" customWidth="1"/>
    <col min="491" max="491" width="8" style="98" bestFit="1" customWidth="1"/>
    <col min="492" max="493" width="7.85546875" style="98" bestFit="1" customWidth="1"/>
    <col min="494" max="494" width="9.7109375" style="98" customWidth="1"/>
    <col min="495" max="495" width="12.85546875" style="98" customWidth="1"/>
    <col min="496" max="732" width="9.140625" style="98"/>
    <col min="733" max="733" width="9" style="98" bestFit="1" customWidth="1"/>
    <col min="734" max="734" width="9.85546875" style="98" bestFit="1" customWidth="1"/>
    <col min="735" max="735" width="9.140625" style="98" bestFit="1" customWidth="1"/>
    <col min="736" max="736" width="16" style="98" bestFit="1" customWidth="1"/>
    <col min="737" max="737" width="9" style="98" bestFit="1" customWidth="1"/>
    <col min="738" max="738" width="7.85546875" style="98" bestFit="1" customWidth="1"/>
    <col min="739" max="739" width="11.7109375" style="98" bestFit="1" customWidth="1"/>
    <col min="740" max="740" width="14.28515625" style="98" customWidth="1"/>
    <col min="741" max="741" width="11.7109375" style="98" bestFit="1" customWidth="1"/>
    <col min="742" max="742" width="14.140625" style="98" bestFit="1" customWidth="1"/>
    <col min="743" max="743" width="16.7109375" style="98" customWidth="1"/>
    <col min="744" max="744" width="16.5703125" style="98" customWidth="1"/>
    <col min="745" max="746" width="7.85546875" style="98" bestFit="1" customWidth="1"/>
    <col min="747" max="747" width="8" style="98" bestFit="1" customWidth="1"/>
    <col min="748" max="749" width="7.85546875" style="98" bestFit="1" customWidth="1"/>
    <col min="750" max="750" width="9.7109375" style="98" customWidth="1"/>
    <col min="751" max="751" width="12.85546875" style="98" customWidth="1"/>
    <col min="752" max="988" width="9.140625" style="98"/>
    <col min="989" max="989" width="9" style="98" bestFit="1" customWidth="1"/>
    <col min="990" max="990" width="9.85546875" style="98" bestFit="1" customWidth="1"/>
    <col min="991" max="991" width="9.140625" style="98" bestFit="1" customWidth="1"/>
    <col min="992" max="992" width="16" style="98" bestFit="1" customWidth="1"/>
    <col min="993" max="993" width="9" style="98" bestFit="1" customWidth="1"/>
    <col min="994" max="994" width="7.85546875" style="98" bestFit="1" customWidth="1"/>
    <col min="995" max="995" width="11.7109375" style="98" bestFit="1" customWidth="1"/>
    <col min="996" max="996" width="14.28515625" style="98" customWidth="1"/>
    <col min="997" max="997" width="11.7109375" style="98" bestFit="1" customWidth="1"/>
    <col min="998" max="998" width="14.140625" style="98" bestFit="1" customWidth="1"/>
    <col min="999" max="999" width="16.7109375" style="98" customWidth="1"/>
    <col min="1000" max="1000" width="16.5703125" style="98" customWidth="1"/>
    <col min="1001" max="1002" width="7.85546875" style="98" bestFit="1" customWidth="1"/>
    <col min="1003" max="1003" width="8" style="98" bestFit="1" customWidth="1"/>
    <col min="1004" max="1005" width="7.85546875" style="98" bestFit="1" customWidth="1"/>
    <col min="1006" max="1006" width="9.7109375" style="98" customWidth="1"/>
    <col min="1007" max="1007" width="12.85546875" style="98" customWidth="1"/>
    <col min="1008" max="1244" width="9.140625" style="98"/>
    <col min="1245" max="1245" width="9" style="98" bestFit="1" customWidth="1"/>
    <col min="1246" max="1246" width="9.85546875" style="98" bestFit="1" customWidth="1"/>
    <col min="1247" max="1247" width="9.140625" style="98" bestFit="1" customWidth="1"/>
    <col min="1248" max="1248" width="16" style="98" bestFit="1" customWidth="1"/>
    <col min="1249" max="1249" width="9" style="98" bestFit="1" customWidth="1"/>
    <col min="1250" max="1250" width="7.85546875" style="98" bestFit="1" customWidth="1"/>
    <col min="1251" max="1251" width="11.7109375" style="98" bestFit="1" customWidth="1"/>
    <col min="1252" max="1252" width="14.28515625" style="98" customWidth="1"/>
    <col min="1253" max="1253" width="11.7109375" style="98" bestFit="1" customWidth="1"/>
    <col min="1254" max="1254" width="14.140625" style="98" bestFit="1" customWidth="1"/>
    <col min="1255" max="1255" width="16.7109375" style="98" customWidth="1"/>
    <col min="1256" max="1256" width="16.5703125" style="98" customWidth="1"/>
    <col min="1257" max="1258" width="7.85546875" style="98" bestFit="1" customWidth="1"/>
    <col min="1259" max="1259" width="8" style="98" bestFit="1" customWidth="1"/>
    <col min="1260" max="1261" width="7.85546875" style="98" bestFit="1" customWidth="1"/>
    <col min="1262" max="1262" width="9.7109375" style="98" customWidth="1"/>
    <col min="1263" max="1263" width="12.85546875" style="98" customWidth="1"/>
    <col min="1264" max="1500" width="9.140625" style="98"/>
    <col min="1501" max="1501" width="9" style="98" bestFit="1" customWidth="1"/>
    <col min="1502" max="1502" width="9.85546875" style="98" bestFit="1" customWidth="1"/>
    <col min="1503" max="1503" width="9.140625" style="98" bestFit="1" customWidth="1"/>
    <col min="1504" max="1504" width="16" style="98" bestFit="1" customWidth="1"/>
    <col min="1505" max="1505" width="9" style="98" bestFit="1" customWidth="1"/>
    <col min="1506" max="1506" width="7.85546875" style="98" bestFit="1" customWidth="1"/>
    <col min="1507" max="1507" width="11.7109375" style="98" bestFit="1" customWidth="1"/>
    <col min="1508" max="1508" width="14.28515625" style="98" customWidth="1"/>
    <col min="1509" max="1509" width="11.7109375" style="98" bestFit="1" customWidth="1"/>
    <col min="1510" max="1510" width="14.140625" style="98" bestFit="1" customWidth="1"/>
    <col min="1511" max="1511" width="16.7109375" style="98" customWidth="1"/>
    <col min="1512" max="1512" width="16.5703125" style="98" customWidth="1"/>
    <col min="1513" max="1514" width="7.85546875" style="98" bestFit="1" customWidth="1"/>
    <col min="1515" max="1515" width="8" style="98" bestFit="1" customWidth="1"/>
    <col min="1516" max="1517" width="7.85546875" style="98" bestFit="1" customWidth="1"/>
    <col min="1518" max="1518" width="9.7109375" style="98" customWidth="1"/>
    <col min="1519" max="1519" width="12.85546875" style="98" customWidth="1"/>
    <col min="1520" max="1756" width="9.140625" style="98"/>
    <col min="1757" max="1757" width="9" style="98" bestFit="1" customWidth="1"/>
    <col min="1758" max="1758" width="9.85546875" style="98" bestFit="1" customWidth="1"/>
    <col min="1759" max="1759" width="9.140625" style="98" bestFit="1" customWidth="1"/>
    <col min="1760" max="1760" width="16" style="98" bestFit="1" customWidth="1"/>
    <col min="1761" max="1761" width="9" style="98" bestFit="1" customWidth="1"/>
    <col min="1762" max="1762" width="7.85546875" style="98" bestFit="1" customWidth="1"/>
    <col min="1763" max="1763" width="11.7109375" style="98" bestFit="1" customWidth="1"/>
    <col min="1764" max="1764" width="14.28515625" style="98" customWidth="1"/>
    <col min="1765" max="1765" width="11.7109375" style="98" bestFit="1" customWidth="1"/>
    <col min="1766" max="1766" width="14.140625" style="98" bestFit="1" customWidth="1"/>
    <col min="1767" max="1767" width="16.7109375" style="98" customWidth="1"/>
    <col min="1768" max="1768" width="16.5703125" style="98" customWidth="1"/>
    <col min="1769" max="1770" width="7.85546875" style="98" bestFit="1" customWidth="1"/>
    <col min="1771" max="1771" width="8" style="98" bestFit="1" customWidth="1"/>
    <col min="1772" max="1773" width="7.85546875" style="98" bestFit="1" customWidth="1"/>
    <col min="1774" max="1774" width="9.7109375" style="98" customWidth="1"/>
    <col min="1775" max="1775" width="12.85546875" style="98" customWidth="1"/>
    <col min="1776" max="2012" width="9.140625" style="98"/>
    <col min="2013" max="2013" width="9" style="98" bestFit="1" customWidth="1"/>
    <col min="2014" max="2014" width="9.85546875" style="98" bestFit="1" customWidth="1"/>
    <col min="2015" max="2015" width="9.140625" style="98" bestFit="1" customWidth="1"/>
    <col min="2016" max="2016" width="16" style="98" bestFit="1" customWidth="1"/>
    <col min="2017" max="2017" width="9" style="98" bestFit="1" customWidth="1"/>
    <col min="2018" max="2018" width="7.85546875" style="98" bestFit="1" customWidth="1"/>
    <col min="2019" max="2019" width="11.7109375" style="98" bestFit="1" customWidth="1"/>
    <col min="2020" max="2020" width="14.28515625" style="98" customWidth="1"/>
    <col min="2021" max="2021" width="11.7109375" style="98" bestFit="1" customWidth="1"/>
    <col min="2022" max="2022" width="14.140625" style="98" bestFit="1" customWidth="1"/>
    <col min="2023" max="2023" width="16.7109375" style="98" customWidth="1"/>
    <col min="2024" max="2024" width="16.5703125" style="98" customWidth="1"/>
    <col min="2025" max="2026" width="7.85546875" style="98" bestFit="1" customWidth="1"/>
    <col min="2027" max="2027" width="8" style="98" bestFit="1" customWidth="1"/>
    <col min="2028" max="2029" width="7.85546875" style="98" bestFit="1" customWidth="1"/>
    <col min="2030" max="2030" width="9.7109375" style="98" customWidth="1"/>
    <col min="2031" max="2031" width="12.85546875" style="98" customWidth="1"/>
    <col min="2032" max="2268" width="9.140625" style="98"/>
    <col min="2269" max="2269" width="9" style="98" bestFit="1" customWidth="1"/>
    <col min="2270" max="2270" width="9.85546875" style="98" bestFit="1" customWidth="1"/>
    <col min="2271" max="2271" width="9.140625" style="98" bestFit="1" customWidth="1"/>
    <col min="2272" max="2272" width="16" style="98" bestFit="1" customWidth="1"/>
    <col min="2273" max="2273" width="9" style="98" bestFit="1" customWidth="1"/>
    <col min="2274" max="2274" width="7.85546875" style="98" bestFit="1" customWidth="1"/>
    <col min="2275" max="2275" width="11.7109375" style="98" bestFit="1" customWidth="1"/>
    <col min="2276" max="2276" width="14.28515625" style="98" customWidth="1"/>
    <col min="2277" max="2277" width="11.7109375" style="98" bestFit="1" customWidth="1"/>
    <col min="2278" max="2278" width="14.140625" style="98" bestFit="1" customWidth="1"/>
    <col min="2279" max="2279" width="16.7109375" style="98" customWidth="1"/>
    <col min="2280" max="2280" width="16.5703125" style="98" customWidth="1"/>
    <col min="2281" max="2282" width="7.85546875" style="98" bestFit="1" customWidth="1"/>
    <col min="2283" max="2283" width="8" style="98" bestFit="1" customWidth="1"/>
    <col min="2284" max="2285" width="7.85546875" style="98" bestFit="1" customWidth="1"/>
    <col min="2286" max="2286" width="9.7109375" style="98" customWidth="1"/>
    <col min="2287" max="2287" width="12.85546875" style="98" customWidth="1"/>
    <col min="2288" max="2524" width="9.140625" style="98"/>
    <col min="2525" max="2525" width="9" style="98" bestFit="1" customWidth="1"/>
    <col min="2526" max="2526" width="9.85546875" style="98" bestFit="1" customWidth="1"/>
    <col min="2527" max="2527" width="9.140625" style="98" bestFit="1" customWidth="1"/>
    <col min="2528" max="2528" width="16" style="98" bestFit="1" customWidth="1"/>
    <col min="2529" max="2529" width="9" style="98" bestFit="1" customWidth="1"/>
    <col min="2530" max="2530" width="7.85546875" style="98" bestFit="1" customWidth="1"/>
    <col min="2531" max="2531" width="11.7109375" style="98" bestFit="1" customWidth="1"/>
    <col min="2532" max="2532" width="14.28515625" style="98" customWidth="1"/>
    <col min="2533" max="2533" width="11.7109375" style="98" bestFit="1" customWidth="1"/>
    <col min="2534" max="2534" width="14.140625" style="98" bestFit="1" customWidth="1"/>
    <col min="2535" max="2535" width="16.7109375" style="98" customWidth="1"/>
    <col min="2536" max="2536" width="16.5703125" style="98" customWidth="1"/>
    <col min="2537" max="2538" width="7.85546875" style="98" bestFit="1" customWidth="1"/>
    <col min="2539" max="2539" width="8" style="98" bestFit="1" customWidth="1"/>
    <col min="2540" max="2541" width="7.85546875" style="98" bestFit="1" customWidth="1"/>
    <col min="2542" max="2542" width="9.7109375" style="98" customWidth="1"/>
    <col min="2543" max="2543" width="12.85546875" style="98" customWidth="1"/>
    <col min="2544" max="2780" width="9.140625" style="98"/>
    <col min="2781" max="2781" width="9" style="98" bestFit="1" customWidth="1"/>
    <col min="2782" max="2782" width="9.85546875" style="98" bestFit="1" customWidth="1"/>
    <col min="2783" max="2783" width="9.140625" style="98" bestFit="1" customWidth="1"/>
    <col min="2784" max="2784" width="16" style="98" bestFit="1" customWidth="1"/>
    <col min="2785" max="2785" width="9" style="98" bestFit="1" customWidth="1"/>
    <col min="2786" max="2786" width="7.85546875" style="98" bestFit="1" customWidth="1"/>
    <col min="2787" max="2787" width="11.7109375" style="98" bestFit="1" customWidth="1"/>
    <col min="2788" max="2788" width="14.28515625" style="98" customWidth="1"/>
    <col min="2789" max="2789" width="11.7109375" style="98" bestFit="1" customWidth="1"/>
    <col min="2790" max="2790" width="14.140625" style="98" bestFit="1" customWidth="1"/>
    <col min="2791" max="2791" width="16.7109375" style="98" customWidth="1"/>
    <col min="2792" max="2792" width="16.5703125" style="98" customWidth="1"/>
    <col min="2793" max="2794" width="7.85546875" style="98" bestFit="1" customWidth="1"/>
    <col min="2795" max="2795" width="8" style="98" bestFit="1" customWidth="1"/>
    <col min="2796" max="2797" width="7.85546875" style="98" bestFit="1" customWidth="1"/>
    <col min="2798" max="2798" width="9.7109375" style="98" customWidth="1"/>
    <col min="2799" max="2799" width="12.85546875" style="98" customWidth="1"/>
    <col min="2800" max="3036" width="9.140625" style="98"/>
    <col min="3037" max="3037" width="9" style="98" bestFit="1" customWidth="1"/>
    <col min="3038" max="3038" width="9.85546875" style="98" bestFit="1" customWidth="1"/>
    <col min="3039" max="3039" width="9.140625" style="98" bestFit="1" customWidth="1"/>
    <col min="3040" max="3040" width="16" style="98" bestFit="1" customWidth="1"/>
    <col min="3041" max="3041" width="9" style="98" bestFit="1" customWidth="1"/>
    <col min="3042" max="3042" width="7.85546875" style="98" bestFit="1" customWidth="1"/>
    <col min="3043" max="3043" width="11.7109375" style="98" bestFit="1" customWidth="1"/>
    <col min="3044" max="3044" width="14.28515625" style="98" customWidth="1"/>
    <col min="3045" max="3045" width="11.7109375" style="98" bestFit="1" customWidth="1"/>
    <col min="3046" max="3046" width="14.140625" style="98" bestFit="1" customWidth="1"/>
    <col min="3047" max="3047" width="16.7109375" style="98" customWidth="1"/>
    <col min="3048" max="3048" width="16.5703125" style="98" customWidth="1"/>
    <col min="3049" max="3050" width="7.85546875" style="98" bestFit="1" customWidth="1"/>
    <col min="3051" max="3051" width="8" style="98" bestFit="1" customWidth="1"/>
    <col min="3052" max="3053" width="7.85546875" style="98" bestFit="1" customWidth="1"/>
    <col min="3054" max="3054" width="9.7109375" style="98" customWidth="1"/>
    <col min="3055" max="3055" width="12.85546875" style="98" customWidth="1"/>
    <col min="3056" max="3292" width="9.140625" style="98"/>
    <col min="3293" max="3293" width="9" style="98" bestFit="1" customWidth="1"/>
    <col min="3294" max="3294" width="9.85546875" style="98" bestFit="1" customWidth="1"/>
    <col min="3295" max="3295" width="9.140625" style="98" bestFit="1" customWidth="1"/>
    <col min="3296" max="3296" width="16" style="98" bestFit="1" customWidth="1"/>
    <col min="3297" max="3297" width="9" style="98" bestFit="1" customWidth="1"/>
    <col min="3298" max="3298" width="7.85546875" style="98" bestFit="1" customWidth="1"/>
    <col min="3299" max="3299" width="11.7109375" style="98" bestFit="1" customWidth="1"/>
    <col min="3300" max="3300" width="14.28515625" style="98" customWidth="1"/>
    <col min="3301" max="3301" width="11.7109375" style="98" bestFit="1" customWidth="1"/>
    <col min="3302" max="3302" width="14.140625" style="98" bestFit="1" customWidth="1"/>
    <col min="3303" max="3303" width="16.7109375" style="98" customWidth="1"/>
    <col min="3304" max="3304" width="16.5703125" style="98" customWidth="1"/>
    <col min="3305" max="3306" width="7.85546875" style="98" bestFit="1" customWidth="1"/>
    <col min="3307" max="3307" width="8" style="98" bestFit="1" customWidth="1"/>
    <col min="3308" max="3309" width="7.85546875" style="98" bestFit="1" customWidth="1"/>
    <col min="3310" max="3310" width="9.7109375" style="98" customWidth="1"/>
    <col min="3311" max="3311" width="12.85546875" style="98" customWidth="1"/>
    <col min="3312" max="3548" width="9.140625" style="98"/>
    <col min="3549" max="3549" width="9" style="98" bestFit="1" customWidth="1"/>
    <col min="3550" max="3550" width="9.85546875" style="98" bestFit="1" customWidth="1"/>
    <col min="3551" max="3551" width="9.140625" style="98" bestFit="1" customWidth="1"/>
    <col min="3552" max="3552" width="16" style="98" bestFit="1" customWidth="1"/>
    <col min="3553" max="3553" width="9" style="98" bestFit="1" customWidth="1"/>
    <col min="3554" max="3554" width="7.85546875" style="98" bestFit="1" customWidth="1"/>
    <col min="3555" max="3555" width="11.7109375" style="98" bestFit="1" customWidth="1"/>
    <col min="3556" max="3556" width="14.28515625" style="98" customWidth="1"/>
    <col min="3557" max="3557" width="11.7109375" style="98" bestFit="1" customWidth="1"/>
    <col min="3558" max="3558" width="14.140625" style="98" bestFit="1" customWidth="1"/>
    <col min="3559" max="3559" width="16.7109375" style="98" customWidth="1"/>
    <col min="3560" max="3560" width="16.5703125" style="98" customWidth="1"/>
    <col min="3561" max="3562" width="7.85546875" style="98" bestFit="1" customWidth="1"/>
    <col min="3563" max="3563" width="8" style="98" bestFit="1" customWidth="1"/>
    <col min="3564" max="3565" width="7.85546875" style="98" bestFit="1" customWidth="1"/>
    <col min="3566" max="3566" width="9.7109375" style="98" customWidth="1"/>
    <col min="3567" max="3567" width="12.85546875" style="98" customWidth="1"/>
    <col min="3568" max="3804" width="9.140625" style="98"/>
    <col min="3805" max="3805" width="9" style="98" bestFit="1" customWidth="1"/>
    <col min="3806" max="3806" width="9.85546875" style="98" bestFit="1" customWidth="1"/>
    <col min="3807" max="3807" width="9.140625" style="98" bestFit="1" customWidth="1"/>
    <col min="3808" max="3808" width="16" style="98" bestFit="1" customWidth="1"/>
    <col min="3809" max="3809" width="9" style="98" bestFit="1" customWidth="1"/>
    <col min="3810" max="3810" width="7.85546875" style="98" bestFit="1" customWidth="1"/>
    <col min="3811" max="3811" width="11.7109375" style="98" bestFit="1" customWidth="1"/>
    <col min="3812" max="3812" width="14.28515625" style="98" customWidth="1"/>
    <col min="3813" max="3813" width="11.7109375" style="98" bestFit="1" customWidth="1"/>
    <col min="3814" max="3814" width="14.140625" style="98" bestFit="1" customWidth="1"/>
    <col min="3815" max="3815" width="16.7109375" style="98" customWidth="1"/>
    <col min="3816" max="3816" width="16.5703125" style="98" customWidth="1"/>
    <col min="3817" max="3818" width="7.85546875" style="98" bestFit="1" customWidth="1"/>
    <col min="3819" max="3819" width="8" style="98" bestFit="1" customWidth="1"/>
    <col min="3820" max="3821" width="7.85546875" style="98" bestFit="1" customWidth="1"/>
    <col min="3822" max="3822" width="9.7109375" style="98" customWidth="1"/>
    <col min="3823" max="3823" width="12.85546875" style="98" customWidth="1"/>
    <col min="3824" max="4060" width="9.140625" style="98"/>
    <col min="4061" max="4061" width="9" style="98" bestFit="1" customWidth="1"/>
    <col min="4062" max="4062" width="9.85546875" style="98" bestFit="1" customWidth="1"/>
    <col min="4063" max="4063" width="9.140625" style="98" bestFit="1" customWidth="1"/>
    <col min="4064" max="4064" width="16" style="98" bestFit="1" customWidth="1"/>
    <col min="4065" max="4065" width="9" style="98" bestFit="1" customWidth="1"/>
    <col min="4066" max="4066" width="7.85546875" style="98" bestFit="1" customWidth="1"/>
    <col min="4067" max="4067" width="11.7109375" style="98" bestFit="1" customWidth="1"/>
    <col min="4068" max="4068" width="14.28515625" style="98" customWidth="1"/>
    <col min="4069" max="4069" width="11.7109375" style="98" bestFit="1" customWidth="1"/>
    <col min="4070" max="4070" width="14.140625" style="98" bestFit="1" customWidth="1"/>
    <col min="4071" max="4071" width="16.7109375" style="98" customWidth="1"/>
    <col min="4072" max="4072" width="16.5703125" style="98" customWidth="1"/>
    <col min="4073" max="4074" width="7.85546875" style="98" bestFit="1" customWidth="1"/>
    <col min="4075" max="4075" width="8" style="98" bestFit="1" customWidth="1"/>
    <col min="4076" max="4077" width="7.85546875" style="98" bestFit="1" customWidth="1"/>
    <col min="4078" max="4078" width="9.7109375" style="98" customWidth="1"/>
    <col min="4079" max="4079" width="12.85546875" style="98" customWidth="1"/>
    <col min="4080" max="4316" width="9.140625" style="98"/>
    <col min="4317" max="4317" width="9" style="98" bestFit="1" customWidth="1"/>
    <col min="4318" max="4318" width="9.85546875" style="98" bestFit="1" customWidth="1"/>
    <col min="4319" max="4319" width="9.140625" style="98" bestFit="1" customWidth="1"/>
    <col min="4320" max="4320" width="16" style="98" bestFit="1" customWidth="1"/>
    <col min="4321" max="4321" width="9" style="98" bestFit="1" customWidth="1"/>
    <col min="4322" max="4322" width="7.85546875" style="98" bestFit="1" customWidth="1"/>
    <col min="4323" max="4323" width="11.7109375" style="98" bestFit="1" customWidth="1"/>
    <col min="4324" max="4324" width="14.28515625" style="98" customWidth="1"/>
    <col min="4325" max="4325" width="11.7109375" style="98" bestFit="1" customWidth="1"/>
    <col min="4326" max="4326" width="14.140625" style="98" bestFit="1" customWidth="1"/>
    <col min="4327" max="4327" width="16.7109375" style="98" customWidth="1"/>
    <col min="4328" max="4328" width="16.5703125" style="98" customWidth="1"/>
    <col min="4329" max="4330" width="7.85546875" style="98" bestFit="1" customWidth="1"/>
    <col min="4331" max="4331" width="8" style="98" bestFit="1" customWidth="1"/>
    <col min="4332" max="4333" width="7.85546875" style="98" bestFit="1" customWidth="1"/>
    <col min="4334" max="4334" width="9.7109375" style="98" customWidth="1"/>
    <col min="4335" max="4335" width="12.85546875" style="98" customWidth="1"/>
    <col min="4336" max="4572" width="9.140625" style="98"/>
    <col min="4573" max="4573" width="9" style="98" bestFit="1" customWidth="1"/>
    <col min="4574" max="4574" width="9.85546875" style="98" bestFit="1" customWidth="1"/>
    <col min="4575" max="4575" width="9.140625" style="98" bestFit="1" customWidth="1"/>
    <col min="4576" max="4576" width="16" style="98" bestFit="1" customWidth="1"/>
    <col min="4577" max="4577" width="9" style="98" bestFit="1" customWidth="1"/>
    <col min="4578" max="4578" width="7.85546875" style="98" bestFit="1" customWidth="1"/>
    <col min="4579" max="4579" width="11.7109375" style="98" bestFit="1" customWidth="1"/>
    <col min="4580" max="4580" width="14.28515625" style="98" customWidth="1"/>
    <col min="4581" max="4581" width="11.7109375" style="98" bestFit="1" customWidth="1"/>
    <col min="4582" max="4582" width="14.140625" style="98" bestFit="1" customWidth="1"/>
    <col min="4583" max="4583" width="16.7109375" style="98" customWidth="1"/>
    <col min="4584" max="4584" width="16.5703125" style="98" customWidth="1"/>
    <col min="4585" max="4586" width="7.85546875" style="98" bestFit="1" customWidth="1"/>
    <col min="4587" max="4587" width="8" style="98" bestFit="1" customWidth="1"/>
    <col min="4588" max="4589" width="7.85546875" style="98" bestFit="1" customWidth="1"/>
    <col min="4590" max="4590" width="9.7109375" style="98" customWidth="1"/>
    <col min="4591" max="4591" width="12.85546875" style="98" customWidth="1"/>
    <col min="4592" max="4828" width="9.140625" style="98"/>
    <col min="4829" max="4829" width="9" style="98" bestFit="1" customWidth="1"/>
    <col min="4830" max="4830" width="9.85546875" style="98" bestFit="1" customWidth="1"/>
    <col min="4831" max="4831" width="9.140625" style="98" bestFit="1" customWidth="1"/>
    <col min="4832" max="4832" width="16" style="98" bestFit="1" customWidth="1"/>
    <col min="4833" max="4833" width="9" style="98" bestFit="1" customWidth="1"/>
    <col min="4834" max="4834" width="7.85546875" style="98" bestFit="1" customWidth="1"/>
    <col min="4835" max="4835" width="11.7109375" style="98" bestFit="1" customWidth="1"/>
    <col min="4836" max="4836" width="14.28515625" style="98" customWidth="1"/>
    <col min="4837" max="4837" width="11.7109375" style="98" bestFit="1" customWidth="1"/>
    <col min="4838" max="4838" width="14.140625" style="98" bestFit="1" customWidth="1"/>
    <col min="4839" max="4839" width="16.7109375" style="98" customWidth="1"/>
    <col min="4840" max="4840" width="16.5703125" style="98" customWidth="1"/>
    <col min="4841" max="4842" width="7.85546875" style="98" bestFit="1" customWidth="1"/>
    <col min="4843" max="4843" width="8" style="98" bestFit="1" customWidth="1"/>
    <col min="4844" max="4845" width="7.85546875" style="98" bestFit="1" customWidth="1"/>
    <col min="4846" max="4846" width="9.7109375" style="98" customWidth="1"/>
    <col min="4847" max="4847" width="12.85546875" style="98" customWidth="1"/>
    <col min="4848" max="5084" width="9.140625" style="98"/>
    <col min="5085" max="5085" width="9" style="98" bestFit="1" customWidth="1"/>
    <col min="5086" max="5086" width="9.85546875" style="98" bestFit="1" customWidth="1"/>
    <col min="5087" max="5087" width="9.140625" style="98" bestFit="1" customWidth="1"/>
    <col min="5088" max="5088" width="16" style="98" bestFit="1" customWidth="1"/>
    <col min="5089" max="5089" width="9" style="98" bestFit="1" customWidth="1"/>
    <col min="5090" max="5090" width="7.85546875" style="98" bestFit="1" customWidth="1"/>
    <col min="5091" max="5091" width="11.7109375" style="98" bestFit="1" customWidth="1"/>
    <col min="5092" max="5092" width="14.28515625" style="98" customWidth="1"/>
    <col min="5093" max="5093" width="11.7109375" style="98" bestFit="1" customWidth="1"/>
    <col min="5094" max="5094" width="14.140625" style="98" bestFit="1" customWidth="1"/>
    <col min="5095" max="5095" width="16.7109375" style="98" customWidth="1"/>
    <col min="5096" max="5096" width="16.5703125" style="98" customWidth="1"/>
    <col min="5097" max="5098" width="7.85546875" style="98" bestFit="1" customWidth="1"/>
    <col min="5099" max="5099" width="8" style="98" bestFit="1" customWidth="1"/>
    <col min="5100" max="5101" width="7.85546875" style="98" bestFit="1" customWidth="1"/>
    <col min="5102" max="5102" width="9.7109375" style="98" customWidth="1"/>
    <col min="5103" max="5103" width="12.85546875" style="98" customWidth="1"/>
    <col min="5104" max="5340" width="9.140625" style="98"/>
    <col min="5341" max="5341" width="9" style="98" bestFit="1" customWidth="1"/>
    <col min="5342" max="5342" width="9.85546875" style="98" bestFit="1" customWidth="1"/>
    <col min="5343" max="5343" width="9.140625" style="98" bestFit="1" customWidth="1"/>
    <col min="5344" max="5344" width="16" style="98" bestFit="1" customWidth="1"/>
    <col min="5345" max="5345" width="9" style="98" bestFit="1" customWidth="1"/>
    <col min="5346" max="5346" width="7.85546875" style="98" bestFit="1" customWidth="1"/>
    <col min="5347" max="5347" width="11.7109375" style="98" bestFit="1" customWidth="1"/>
    <col min="5348" max="5348" width="14.28515625" style="98" customWidth="1"/>
    <col min="5349" max="5349" width="11.7109375" style="98" bestFit="1" customWidth="1"/>
    <col min="5350" max="5350" width="14.140625" style="98" bestFit="1" customWidth="1"/>
    <col min="5351" max="5351" width="16.7109375" style="98" customWidth="1"/>
    <col min="5352" max="5352" width="16.5703125" style="98" customWidth="1"/>
    <col min="5353" max="5354" width="7.85546875" style="98" bestFit="1" customWidth="1"/>
    <col min="5355" max="5355" width="8" style="98" bestFit="1" customWidth="1"/>
    <col min="5356" max="5357" width="7.85546875" style="98" bestFit="1" customWidth="1"/>
    <col min="5358" max="5358" width="9.7109375" style="98" customWidth="1"/>
    <col min="5359" max="5359" width="12.85546875" style="98" customWidth="1"/>
    <col min="5360" max="5596" width="9.140625" style="98"/>
    <col min="5597" max="5597" width="9" style="98" bestFit="1" customWidth="1"/>
    <col min="5598" max="5598" width="9.85546875" style="98" bestFit="1" customWidth="1"/>
    <col min="5599" max="5599" width="9.140625" style="98" bestFit="1" customWidth="1"/>
    <col min="5600" max="5600" width="16" style="98" bestFit="1" customWidth="1"/>
    <col min="5601" max="5601" width="9" style="98" bestFit="1" customWidth="1"/>
    <col min="5602" max="5602" width="7.85546875" style="98" bestFit="1" customWidth="1"/>
    <col min="5603" max="5603" width="11.7109375" style="98" bestFit="1" customWidth="1"/>
    <col min="5604" max="5604" width="14.28515625" style="98" customWidth="1"/>
    <col min="5605" max="5605" width="11.7109375" style="98" bestFit="1" customWidth="1"/>
    <col min="5606" max="5606" width="14.140625" style="98" bestFit="1" customWidth="1"/>
    <col min="5607" max="5607" width="16.7109375" style="98" customWidth="1"/>
    <col min="5608" max="5608" width="16.5703125" style="98" customWidth="1"/>
    <col min="5609" max="5610" width="7.85546875" style="98" bestFit="1" customWidth="1"/>
    <col min="5611" max="5611" width="8" style="98" bestFit="1" customWidth="1"/>
    <col min="5612" max="5613" width="7.85546875" style="98" bestFit="1" customWidth="1"/>
    <col min="5614" max="5614" width="9.7109375" style="98" customWidth="1"/>
    <col min="5615" max="5615" width="12.85546875" style="98" customWidth="1"/>
    <col min="5616" max="5852" width="9.140625" style="98"/>
    <col min="5853" max="5853" width="9" style="98" bestFit="1" customWidth="1"/>
    <col min="5854" max="5854" width="9.85546875" style="98" bestFit="1" customWidth="1"/>
    <col min="5855" max="5855" width="9.140625" style="98" bestFit="1" customWidth="1"/>
    <col min="5856" max="5856" width="16" style="98" bestFit="1" customWidth="1"/>
    <col min="5857" max="5857" width="9" style="98" bestFit="1" customWidth="1"/>
    <col min="5858" max="5858" width="7.85546875" style="98" bestFit="1" customWidth="1"/>
    <col min="5859" max="5859" width="11.7109375" style="98" bestFit="1" customWidth="1"/>
    <col min="5860" max="5860" width="14.28515625" style="98" customWidth="1"/>
    <col min="5861" max="5861" width="11.7109375" style="98" bestFit="1" customWidth="1"/>
    <col min="5862" max="5862" width="14.140625" style="98" bestFit="1" customWidth="1"/>
    <col min="5863" max="5863" width="16.7109375" style="98" customWidth="1"/>
    <col min="5864" max="5864" width="16.5703125" style="98" customWidth="1"/>
    <col min="5865" max="5866" width="7.85546875" style="98" bestFit="1" customWidth="1"/>
    <col min="5867" max="5867" width="8" style="98" bestFit="1" customWidth="1"/>
    <col min="5868" max="5869" width="7.85546875" style="98" bestFit="1" customWidth="1"/>
    <col min="5870" max="5870" width="9.7109375" style="98" customWidth="1"/>
    <col min="5871" max="5871" width="12.85546875" style="98" customWidth="1"/>
    <col min="5872" max="6108" width="9.140625" style="98"/>
    <col min="6109" max="6109" width="9" style="98" bestFit="1" customWidth="1"/>
    <col min="6110" max="6110" width="9.85546875" style="98" bestFit="1" customWidth="1"/>
    <col min="6111" max="6111" width="9.140625" style="98" bestFit="1" customWidth="1"/>
    <col min="6112" max="6112" width="16" style="98" bestFit="1" customWidth="1"/>
    <col min="6113" max="6113" width="9" style="98" bestFit="1" customWidth="1"/>
    <col min="6114" max="6114" width="7.85546875" style="98" bestFit="1" customWidth="1"/>
    <col min="6115" max="6115" width="11.7109375" style="98" bestFit="1" customWidth="1"/>
    <col min="6116" max="6116" width="14.28515625" style="98" customWidth="1"/>
    <col min="6117" max="6117" width="11.7109375" style="98" bestFit="1" customWidth="1"/>
    <col min="6118" max="6118" width="14.140625" style="98" bestFit="1" customWidth="1"/>
    <col min="6119" max="6119" width="16.7109375" style="98" customWidth="1"/>
    <col min="6120" max="6120" width="16.5703125" style="98" customWidth="1"/>
    <col min="6121" max="6122" width="7.85546875" style="98" bestFit="1" customWidth="1"/>
    <col min="6123" max="6123" width="8" style="98" bestFit="1" customWidth="1"/>
    <col min="6124" max="6125" width="7.85546875" style="98" bestFit="1" customWidth="1"/>
    <col min="6126" max="6126" width="9.7109375" style="98" customWidth="1"/>
    <col min="6127" max="6127" width="12.85546875" style="98" customWidth="1"/>
    <col min="6128" max="6364" width="9.140625" style="98"/>
    <col min="6365" max="6365" width="9" style="98" bestFit="1" customWidth="1"/>
    <col min="6366" max="6366" width="9.85546875" style="98" bestFit="1" customWidth="1"/>
    <col min="6367" max="6367" width="9.140625" style="98" bestFit="1" customWidth="1"/>
    <col min="6368" max="6368" width="16" style="98" bestFit="1" customWidth="1"/>
    <col min="6369" max="6369" width="9" style="98" bestFit="1" customWidth="1"/>
    <col min="6370" max="6370" width="7.85546875" style="98" bestFit="1" customWidth="1"/>
    <col min="6371" max="6371" width="11.7109375" style="98" bestFit="1" customWidth="1"/>
    <col min="6372" max="6372" width="14.28515625" style="98" customWidth="1"/>
    <col min="6373" max="6373" width="11.7109375" style="98" bestFit="1" customWidth="1"/>
    <col min="6374" max="6374" width="14.140625" style="98" bestFit="1" customWidth="1"/>
    <col min="6375" max="6375" width="16.7109375" style="98" customWidth="1"/>
    <col min="6376" max="6376" width="16.5703125" style="98" customWidth="1"/>
    <col min="6377" max="6378" width="7.85546875" style="98" bestFit="1" customWidth="1"/>
    <col min="6379" max="6379" width="8" style="98" bestFit="1" customWidth="1"/>
    <col min="6380" max="6381" width="7.85546875" style="98" bestFit="1" customWidth="1"/>
    <col min="6382" max="6382" width="9.7109375" style="98" customWidth="1"/>
    <col min="6383" max="6383" width="12.85546875" style="98" customWidth="1"/>
    <col min="6384" max="6620" width="9.140625" style="98"/>
    <col min="6621" max="6621" width="9" style="98" bestFit="1" customWidth="1"/>
    <col min="6622" max="6622" width="9.85546875" style="98" bestFit="1" customWidth="1"/>
    <col min="6623" max="6623" width="9.140625" style="98" bestFit="1" customWidth="1"/>
    <col min="6624" max="6624" width="16" style="98" bestFit="1" customWidth="1"/>
    <col min="6625" max="6625" width="9" style="98" bestFit="1" customWidth="1"/>
    <col min="6626" max="6626" width="7.85546875" style="98" bestFit="1" customWidth="1"/>
    <col min="6627" max="6627" width="11.7109375" style="98" bestFit="1" customWidth="1"/>
    <col min="6628" max="6628" width="14.28515625" style="98" customWidth="1"/>
    <col min="6629" max="6629" width="11.7109375" style="98" bestFit="1" customWidth="1"/>
    <col min="6630" max="6630" width="14.140625" style="98" bestFit="1" customWidth="1"/>
    <col min="6631" max="6631" width="16.7109375" style="98" customWidth="1"/>
    <col min="6632" max="6632" width="16.5703125" style="98" customWidth="1"/>
    <col min="6633" max="6634" width="7.85546875" style="98" bestFit="1" customWidth="1"/>
    <col min="6635" max="6635" width="8" style="98" bestFit="1" customWidth="1"/>
    <col min="6636" max="6637" width="7.85546875" style="98" bestFit="1" customWidth="1"/>
    <col min="6638" max="6638" width="9.7109375" style="98" customWidth="1"/>
    <col min="6639" max="6639" width="12.85546875" style="98" customWidth="1"/>
    <col min="6640" max="6876" width="9.140625" style="98"/>
    <col min="6877" max="6877" width="9" style="98" bestFit="1" customWidth="1"/>
    <col min="6878" max="6878" width="9.85546875" style="98" bestFit="1" customWidth="1"/>
    <col min="6879" max="6879" width="9.140625" style="98" bestFit="1" customWidth="1"/>
    <col min="6880" max="6880" width="16" style="98" bestFit="1" customWidth="1"/>
    <col min="6881" max="6881" width="9" style="98" bestFit="1" customWidth="1"/>
    <col min="6882" max="6882" width="7.85546875" style="98" bestFit="1" customWidth="1"/>
    <col min="6883" max="6883" width="11.7109375" style="98" bestFit="1" customWidth="1"/>
    <col min="6884" max="6884" width="14.28515625" style="98" customWidth="1"/>
    <col min="6885" max="6885" width="11.7109375" style="98" bestFit="1" customWidth="1"/>
    <col min="6886" max="6886" width="14.140625" style="98" bestFit="1" customWidth="1"/>
    <col min="6887" max="6887" width="16.7109375" style="98" customWidth="1"/>
    <col min="6888" max="6888" width="16.5703125" style="98" customWidth="1"/>
    <col min="6889" max="6890" width="7.85546875" style="98" bestFit="1" customWidth="1"/>
    <col min="6891" max="6891" width="8" style="98" bestFit="1" customWidth="1"/>
    <col min="6892" max="6893" width="7.85546875" style="98" bestFit="1" customWidth="1"/>
    <col min="6894" max="6894" width="9.7109375" style="98" customWidth="1"/>
    <col min="6895" max="6895" width="12.85546875" style="98" customWidth="1"/>
    <col min="6896" max="7132" width="9.140625" style="98"/>
    <col min="7133" max="7133" width="9" style="98" bestFit="1" customWidth="1"/>
    <col min="7134" max="7134" width="9.85546875" style="98" bestFit="1" customWidth="1"/>
    <col min="7135" max="7135" width="9.140625" style="98" bestFit="1" customWidth="1"/>
    <col min="7136" max="7136" width="16" style="98" bestFit="1" customWidth="1"/>
    <col min="7137" max="7137" width="9" style="98" bestFit="1" customWidth="1"/>
    <col min="7138" max="7138" width="7.85546875" style="98" bestFit="1" customWidth="1"/>
    <col min="7139" max="7139" width="11.7109375" style="98" bestFit="1" customWidth="1"/>
    <col min="7140" max="7140" width="14.28515625" style="98" customWidth="1"/>
    <col min="7141" max="7141" width="11.7109375" style="98" bestFit="1" customWidth="1"/>
    <col min="7142" max="7142" width="14.140625" style="98" bestFit="1" customWidth="1"/>
    <col min="7143" max="7143" width="16.7109375" style="98" customWidth="1"/>
    <col min="7144" max="7144" width="16.5703125" style="98" customWidth="1"/>
    <col min="7145" max="7146" width="7.85546875" style="98" bestFit="1" customWidth="1"/>
    <col min="7147" max="7147" width="8" style="98" bestFit="1" customWidth="1"/>
    <col min="7148" max="7149" width="7.85546875" style="98" bestFit="1" customWidth="1"/>
    <col min="7150" max="7150" width="9.7109375" style="98" customWidth="1"/>
    <col min="7151" max="7151" width="12.85546875" style="98" customWidth="1"/>
    <col min="7152" max="7388" width="9.140625" style="98"/>
    <col min="7389" max="7389" width="9" style="98" bestFit="1" customWidth="1"/>
    <col min="7390" max="7390" width="9.85546875" style="98" bestFit="1" customWidth="1"/>
    <col min="7391" max="7391" width="9.140625" style="98" bestFit="1" customWidth="1"/>
    <col min="7392" max="7392" width="16" style="98" bestFit="1" customWidth="1"/>
    <col min="7393" max="7393" width="9" style="98" bestFit="1" customWidth="1"/>
    <col min="7394" max="7394" width="7.85546875" style="98" bestFit="1" customWidth="1"/>
    <col min="7395" max="7395" width="11.7109375" style="98" bestFit="1" customWidth="1"/>
    <col min="7396" max="7396" width="14.28515625" style="98" customWidth="1"/>
    <col min="7397" max="7397" width="11.7109375" style="98" bestFit="1" customWidth="1"/>
    <col min="7398" max="7398" width="14.140625" style="98" bestFit="1" customWidth="1"/>
    <col min="7399" max="7399" width="16.7109375" style="98" customWidth="1"/>
    <col min="7400" max="7400" width="16.5703125" style="98" customWidth="1"/>
    <col min="7401" max="7402" width="7.85546875" style="98" bestFit="1" customWidth="1"/>
    <col min="7403" max="7403" width="8" style="98" bestFit="1" customWidth="1"/>
    <col min="7404" max="7405" width="7.85546875" style="98" bestFit="1" customWidth="1"/>
    <col min="7406" max="7406" width="9.7109375" style="98" customWidth="1"/>
    <col min="7407" max="7407" width="12.85546875" style="98" customWidth="1"/>
    <col min="7408" max="7644" width="9.140625" style="98"/>
    <col min="7645" max="7645" width="9" style="98" bestFit="1" customWidth="1"/>
    <col min="7646" max="7646" width="9.85546875" style="98" bestFit="1" customWidth="1"/>
    <col min="7647" max="7647" width="9.140625" style="98" bestFit="1" customWidth="1"/>
    <col min="7648" max="7648" width="16" style="98" bestFit="1" customWidth="1"/>
    <col min="7649" max="7649" width="9" style="98" bestFit="1" customWidth="1"/>
    <col min="7650" max="7650" width="7.85546875" style="98" bestFit="1" customWidth="1"/>
    <col min="7651" max="7651" width="11.7109375" style="98" bestFit="1" customWidth="1"/>
    <col min="7652" max="7652" width="14.28515625" style="98" customWidth="1"/>
    <col min="7653" max="7653" width="11.7109375" style="98" bestFit="1" customWidth="1"/>
    <col min="7654" max="7654" width="14.140625" style="98" bestFit="1" customWidth="1"/>
    <col min="7655" max="7655" width="16.7109375" style="98" customWidth="1"/>
    <col min="7656" max="7656" width="16.5703125" style="98" customWidth="1"/>
    <col min="7657" max="7658" width="7.85546875" style="98" bestFit="1" customWidth="1"/>
    <col min="7659" max="7659" width="8" style="98" bestFit="1" customWidth="1"/>
    <col min="7660" max="7661" width="7.85546875" style="98" bestFit="1" customWidth="1"/>
    <col min="7662" max="7662" width="9.7109375" style="98" customWidth="1"/>
    <col min="7663" max="7663" width="12.85546875" style="98" customWidth="1"/>
    <col min="7664" max="7900" width="9.140625" style="98"/>
    <col min="7901" max="7901" width="9" style="98" bestFit="1" customWidth="1"/>
    <col min="7902" max="7902" width="9.85546875" style="98" bestFit="1" customWidth="1"/>
    <col min="7903" max="7903" width="9.140625" style="98" bestFit="1" customWidth="1"/>
    <col min="7904" max="7904" width="16" style="98" bestFit="1" customWidth="1"/>
    <col min="7905" max="7905" width="9" style="98" bestFit="1" customWidth="1"/>
    <col min="7906" max="7906" width="7.85546875" style="98" bestFit="1" customWidth="1"/>
    <col min="7907" max="7907" width="11.7109375" style="98" bestFit="1" customWidth="1"/>
    <col min="7908" max="7908" width="14.28515625" style="98" customWidth="1"/>
    <col min="7909" max="7909" width="11.7109375" style="98" bestFit="1" customWidth="1"/>
    <col min="7910" max="7910" width="14.140625" style="98" bestFit="1" customWidth="1"/>
    <col min="7911" max="7911" width="16.7109375" style="98" customWidth="1"/>
    <col min="7912" max="7912" width="16.5703125" style="98" customWidth="1"/>
    <col min="7913" max="7914" width="7.85546875" style="98" bestFit="1" customWidth="1"/>
    <col min="7915" max="7915" width="8" style="98" bestFit="1" customWidth="1"/>
    <col min="7916" max="7917" width="7.85546875" style="98" bestFit="1" customWidth="1"/>
    <col min="7918" max="7918" width="9.7109375" style="98" customWidth="1"/>
    <col min="7919" max="7919" width="12.85546875" style="98" customWidth="1"/>
    <col min="7920" max="8156" width="9.140625" style="98"/>
    <col min="8157" max="8157" width="9" style="98" bestFit="1" customWidth="1"/>
    <col min="8158" max="8158" width="9.85546875" style="98" bestFit="1" customWidth="1"/>
    <col min="8159" max="8159" width="9.140625" style="98" bestFit="1" customWidth="1"/>
    <col min="8160" max="8160" width="16" style="98" bestFit="1" customWidth="1"/>
    <col min="8161" max="8161" width="9" style="98" bestFit="1" customWidth="1"/>
    <col min="8162" max="8162" width="7.85546875" style="98" bestFit="1" customWidth="1"/>
    <col min="8163" max="8163" width="11.7109375" style="98" bestFit="1" customWidth="1"/>
    <col min="8164" max="8164" width="14.28515625" style="98" customWidth="1"/>
    <col min="8165" max="8165" width="11.7109375" style="98" bestFit="1" customWidth="1"/>
    <col min="8166" max="8166" width="14.140625" style="98" bestFit="1" customWidth="1"/>
    <col min="8167" max="8167" width="16.7109375" style="98" customWidth="1"/>
    <col min="8168" max="8168" width="16.5703125" style="98" customWidth="1"/>
    <col min="8169" max="8170" width="7.85546875" style="98" bestFit="1" customWidth="1"/>
    <col min="8171" max="8171" width="8" style="98" bestFit="1" customWidth="1"/>
    <col min="8172" max="8173" width="7.85546875" style="98" bestFit="1" customWidth="1"/>
    <col min="8174" max="8174" width="9.7109375" style="98" customWidth="1"/>
    <col min="8175" max="8175" width="12.85546875" style="98" customWidth="1"/>
    <col min="8176" max="8412" width="9.140625" style="98"/>
    <col min="8413" max="8413" width="9" style="98" bestFit="1" customWidth="1"/>
    <col min="8414" max="8414" width="9.85546875" style="98" bestFit="1" customWidth="1"/>
    <col min="8415" max="8415" width="9.140625" style="98" bestFit="1" customWidth="1"/>
    <col min="8416" max="8416" width="16" style="98" bestFit="1" customWidth="1"/>
    <col min="8417" max="8417" width="9" style="98" bestFit="1" customWidth="1"/>
    <col min="8418" max="8418" width="7.85546875" style="98" bestFit="1" customWidth="1"/>
    <col min="8419" max="8419" width="11.7109375" style="98" bestFit="1" customWidth="1"/>
    <col min="8420" max="8420" width="14.28515625" style="98" customWidth="1"/>
    <col min="8421" max="8421" width="11.7109375" style="98" bestFit="1" customWidth="1"/>
    <col min="8422" max="8422" width="14.140625" style="98" bestFit="1" customWidth="1"/>
    <col min="8423" max="8423" width="16.7109375" style="98" customWidth="1"/>
    <col min="8424" max="8424" width="16.5703125" style="98" customWidth="1"/>
    <col min="8425" max="8426" width="7.85546875" style="98" bestFit="1" customWidth="1"/>
    <col min="8427" max="8427" width="8" style="98" bestFit="1" customWidth="1"/>
    <col min="8428" max="8429" width="7.85546875" style="98" bestFit="1" customWidth="1"/>
    <col min="8430" max="8430" width="9.7109375" style="98" customWidth="1"/>
    <col min="8431" max="8431" width="12.85546875" style="98" customWidth="1"/>
    <col min="8432" max="8668" width="9.140625" style="98"/>
    <col min="8669" max="8669" width="9" style="98" bestFit="1" customWidth="1"/>
    <col min="8670" max="8670" width="9.85546875" style="98" bestFit="1" customWidth="1"/>
    <col min="8671" max="8671" width="9.140625" style="98" bestFit="1" customWidth="1"/>
    <col min="8672" max="8672" width="16" style="98" bestFit="1" customWidth="1"/>
    <col min="8673" max="8673" width="9" style="98" bestFit="1" customWidth="1"/>
    <col min="8674" max="8674" width="7.85546875" style="98" bestFit="1" customWidth="1"/>
    <col min="8675" max="8675" width="11.7109375" style="98" bestFit="1" customWidth="1"/>
    <col min="8676" max="8676" width="14.28515625" style="98" customWidth="1"/>
    <col min="8677" max="8677" width="11.7109375" style="98" bestFit="1" customWidth="1"/>
    <col min="8678" max="8678" width="14.140625" style="98" bestFit="1" customWidth="1"/>
    <col min="8679" max="8679" width="16.7109375" style="98" customWidth="1"/>
    <col min="8680" max="8680" width="16.5703125" style="98" customWidth="1"/>
    <col min="8681" max="8682" width="7.85546875" style="98" bestFit="1" customWidth="1"/>
    <col min="8683" max="8683" width="8" style="98" bestFit="1" customWidth="1"/>
    <col min="8684" max="8685" width="7.85546875" style="98" bestFit="1" customWidth="1"/>
    <col min="8686" max="8686" width="9.7109375" style="98" customWidth="1"/>
    <col min="8687" max="8687" width="12.85546875" style="98" customWidth="1"/>
    <col min="8688" max="8924" width="9.140625" style="98"/>
    <col min="8925" max="8925" width="9" style="98" bestFit="1" customWidth="1"/>
    <col min="8926" max="8926" width="9.85546875" style="98" bestFit="1" customWidth="1"/>
    <col min="8927" max="8927" width="9.140625" style="98" bestFit="1" customWidth="1"/>
    <col min="8928" max="8928" width="16" style="98" bestFit="1" customWidth="1"/>
    <col min="8929" max="8929" width="9" style="98" bestFit="1" customWidth="1"/>
    <col min="8930" max="8930" width="7.85546875" style="98" bestFit="1" customWidth="1"/>
    <col min="8931" max="8931" width="11.7109375" style="98" bestFit="1" customWidth="1"/>
    <col min="8932" max="8932" width="14.28515625" style="98" customWidth="1"/>
    <col min="8933" max="8933" width="11.7109375" style="98" bestFit="1" customWidth="1"/>
    <col min="8934" max="8934" width="14.140625" style="98" bestFit="1" customWidth="1"/>
    <col min="8935" max="8935" width="16.7109375" style="98" customWidth="1"/>
    <col min="8936" max="8936" width="16.5703125" style="98" customWidth="1"/>
    <col min="8937" max="8938" width="7.85546875" style="98" bestFit="1" customWidth="1"/>
    <col min="8939" max="8939" width="8" style="98" bestFit="1" customWidth="1"/>
    <col min="8940" max="8941" width="7.85546875" style="98" bestFit="1" customWidth="1"/>
    <col min="8942" max="8942" width="9.7109375" style="98" customWidth="1"/>
    <col min="8943" max="8943" width="12.85546875" style="98" customWidth="1"/>
    <col min="8944" max="9180" width="9.140625" style="98"/>
    <col min="9181" max="9181" width="9" style="98" bestFit="1" customWidth="1"/>
    <col min="9182" max="9182" width="9.85546875" style="98" bestFit="1" customWidth="1"/>
    <col min="9183" max="9183" width="9.140625" style="98" bestFit="1" customWidth="1"/>
    <col min="9184" max="9184" width="16" style="98" bestFit="1" customWidth="1"/>
    <col min="9185" max="9185" width="9" style="98" bestFit="1" customWidth="1"/>
    <col min="9186" max="9186" width="7.85546875" style="98" bestFit="1" customWidth="1"/>
    <col min="9187" max="9187" width="11.7109375" style="98" bestFit="1" customWidth="1"/>
    <col min="9188" max="9188" width="14.28515625" style="98" customWidth="1"/>
    <col min="9189" max="9189" width="11.7109375" style="98" bestFit="1" customWidth="1"/>
    <col min="9190" max="9190" width="14.140625" style="98" bestFit="1" customWidth="1"/>
    <col min="9191" max="9191" width="16.7109375" style="98" customWidth="1"/>
    <col min="9192" max="9192" width="16.5703125" style="98" customWidth="1"/>
    <col min="9193" max="9194" width="7.85546875" style="98" bestFit="1" customWidth="1"/>
    <col min="9195" max="9195" width="8" style="98" bestFit="1" customWidth="1"/>
    <col min="9196" max="9197" width="7.85546875" style="98" bestFit="1" customWidth="1"/>
    <col min="9198" max="9198" width="9.7109375" style="98" customWidth="1"/>
    <col min="9199" max="9199" width="12.85546875" style="98" customWidth="1"/>
    <col min="9200" max="9436" width="9.140625" style="98"/>
    <col min="9437" max="9437" width="9" style="98" bestFit="1" customWidth="1"/>
    <col min="9438" max="9438" width="9.85546875" style="98" bestFit="1" customWidth="1"/>
    <col min="9439" max="9439" width="9.140625" style="98" bestFit="1" customWidth="1"/>
    <col min="9440" max="9440" width="16" style="98" bestFit="1" customWidth="1"/>
    <col min="9441" max="9441" width="9" style="98" bestFit="1" customWidth="1"/>
    <col min="9442" max="9442" width="7.85546875" style="98" bestFit="1" customWidth="1"/>
    <col min="9443" max="9443" width="11.7109375" style="98" bestFit="1" customWidth="1"/>
    <col min="9444" max="9444" width="14.28515625" style="98" customWidth="1"/>
    <col min="9445" max="9445" width="11.7109375" style="98" bestFit="1" customWidth="1"/>
    <col min="9446" max="9446" width="14.140625" style="98" bestFit="1" customWidth="1"/>
    <col min="9447" max="9447" width="16.7109375" style="98" customWidth="1"/>
    <col min="9448" max="9448" width="16.5703125" style="98" customWidth="1"/>
    <col min="9449" max="9450" width="7.85546875" style="98" bestFit="1" customWidth="1"/>
    <col min="9451" max="9451" width="8" style="98" bestFit="1" customWidth="1"/>
    <col min="9452" max="9453" width="7.85546875" style="98" bestFit="1" customWidth="1"/>
    <col min="9454" max="9454" width="9.7109375" style="98" customWidth="1"/>
    <col min="9455" max="9455" width="12.85546875" style="98" customWidth="1"/>
    <col min="9456" max="9692" width="9.140625" style="98"/>
    <col min="9693" max="9693" width="9" style="98" bestFit="1" customWidth="1"/>
    <col min="9694" max="9694" width="9.85546875" style="98" bestFit="1" customWidth="1"/>
    <col min="9695" max="9695" width="9.140625" style="98" bestFit="1" customWidth="1"/>
    <col min="9696" max="9696" width="16" style="98" bestFit="1" customWidth="1"/>
    <col min="9697" max="9697" width="9" style="98" bestFit="1" customWidth="1"/>
    <col min="9698" max="9698" width="7.85546875" style="98" bestFit="1" customWidth="1"/>
    <col min="9699" max="9699" width="11.7109375" style="98" bestFit="1" customWidth="1"/>
    <col min="9700" max="9700" width="14.28515625" style="98" customWidth="1"/>
    <col min="9701" max="9701" width="11.7109375" style="98" bestFit="1" customWidth="1"/>
    <col min="9702" max="9702" width="14.140625" style="98" bestFit="1" customWidth="1"/>
    <col min="9703" max="9703" width="16.7109375" style="98" customWidth="1"/>
    <col min="9704" max="9704" width="16.5703125" style="98" customWidth="1"/>
    <col min="9705" max="9706" width="7.85546875" style="98" bestFit="1" customWidth="1"/>
    <col min="9707" max="9707" width="8" style="98" bestFit="1" customWidth="1"/>
    <col min="9708" max="9709" width="7.85546875" style="98" bestFit="1" customWidth="1"/>
    <col min="9710" max="9710" width="9.7109375" style="98" customWidth="1"/>
    <col min="9711" max="9711" width="12.85546875" style="98" customWidth="1"/>
    <col min="9712" max="9948" width="9.140625" style="98"/>
    <col min="9949" max="9949" width="9" style="98" bestFit="1" customWidth="1"/>
    <col min="9950" max="9950" width="9.85546875" style="98" bestFit="1" customWidth="1"/>
    <col min="9951" max="9951" width="9.140625" style="98" bestFit="1" customWidth="1"/>
    <col min="9952" max="9952" width="16" style="98" bestFit="1" customWidth="1"/>
    <col min="9953" max="9953" width="9" style="98" bestFit="1" customWidth="1"/>
    <col min="9954" max="9954" width="7.85546875" style="98" bestFit="1" customWidth="1"/>
    <col min="9955" max="9955" width="11.7109375" style="98" bestFit="1" customWidth="1"/>
    <col min="9956" max="9956" width="14.28515625" style="98" customWidth="1"/>
    <col min="9957" max="9957" width="11.7109375" style="98" bestFit="1" customWidth="1"/>
    <col min="9958" max="9958" width="14.140625" style="98" bestFit="1" customWidth="1"/>
    <col min="9959" max="9959" width="16.7109375" style="98" customWidth="1"/>
    <col min="9960" max="9960" width="16.5703125" style="98" customWidth="1"/>
    <col min="9961" max="9962" width="7.85546875" style="98" bestFit="1" customWidth="1"/>
    <col min="9963" max="9963" width="8" style="98" bestFit="1" customWidth="1"/>
    <col min="9964" max="9965" width="7.85546875" style="98" bestFit="1" customWidth="1"/>
    <col min="9966" max="9966" width="9.7109375" style="98" customWidth="1"/>
    <col min="9967" max="9967" width="12.85546875" style="98" customWidth="1"/>
    <col min="9968" max="10204" width="9.140625" style="98"/>
    <col min="10205" max="10205" width="9" style="98" bestFit="1" customWidth="1"/>
    <col min="10206" max="10206" width="9.85546875" style="98" bestFit="1" customWidth="1"/>
    <col min="10207" max="10207" width="9.140625" style="98" bestFit="1" customWidth="1"/>
    <col min="10208" max="10208" width="16" style="98" bestFit="1" customWidth="1"/>
    <col min="10209" max="10209" width="9" style="98" bestFit="1" customWidth="1"/>
    <col min="10210" max="10210" width="7.85546875" style="98" bestFit="1" customWidth="1"/>
    <col min="10211" max="10211" width="11.7109375" style="98" bestFit="1" customWidth="1"/>
    <col min="10212" max="10212" width="14.28515625" style="98" customWidth="1"/>
    <col min="10213" max="10213" width="11.7109375" style="98" bestFit="1" customWidth="1"/>
    <col min="10214" max="10214" width="14.140625" style="98" bestFit="1" customWidth="1"/>
    <col min="10215" max="10215" width="16.7109375" style="98" customWidth="1"/>
    <col min="10216" max="10216" width="16.5703125" style="98" customWidth="1"/>
    <col min="10217" max="10218" width="7.85546875" style="98" bestFit="1" customWidth="1"/>
    <col min="10219" max="10219" width="8" style="98" bestFit="1" customWidth="1"/>
    <col min="10220" max="10221" width="7.85546875" style="98" bestFit="1" customWidth="1"/>
    <col min="10222" max="10222" width="9.7109375" style="98" customWidth="1"/>
    <col min="10223" max="10223" width="12.85546875" style="98" customWidth="1"/>
    <col min="10224" max="10460" width="9.140625" style="98"/>
    <col min="10461" max="10461" width="9" style="98" bestFit="1" customWidth="1"/>
    <col min="10462" max="10462" width="9.85546875" style="98" bestFit="1" customWidth="1"/>
    <col min="10463" max="10463" width="9.140625" style="98" bestFit="1" customWidth="1"/>
    <col min="10464" max="10464" width="16" style="98" bestFit="1" customWidth="1"/>
    <col min="10465" max="10465" width="9" style="98" bestFit="1" customWidth="1"/>
    <col min="10466" max="10466" width="7.85546875" style="98" bestFit="1" customWidth="1"/>
    <col min="10467" max="10467" width="11.7109375" style="98" bestFit="1" customWidth="1"/>
    <col min="10468" max="10468" width="14.28515625" style="98" customWidth="1"/>
    <col min="10469" max="10469" width="11.7109375" style="98" bestFit="1" customWidth="1"/>
    <col min="10470" max="10470" width="14.140625" style="98" bestFit="1" customWidth="1"/>
    <col min="10471" max="10471" width="16.7109375" style="98" customWidth="1"/>
    <col min="10472" max="10472" width="16.5703125" style="98" customWidth="1"/>
    <col min="10473" max="10474" width="7.85546875" style="98" bestFit="1" customWidth="1"/>
    <col min="10475" max="10475" width="8" style="98" bestFit="1" customWidth="1"/>
    <col min="10476" max="10477" width="7.85546875" style="98" bestFit="1" customWidth="1"/>
    <col min="10478" max="10478" width="9.7109375" style="98" customWidth="1"/>
    <col min="10479" max="10479" width="12.85546875" style="98" customWidth="1"/>
    <col min="10480" max="10716" width="9.140625" style="98"/>
    <col min="10717" max="10717" width="9" style="98" bestFit="1" customWidth="1"/>
    <col min="10718" max="10718" width="9.85546875" style="98" bestFit="1" customWidth="1"/>
    <col min="10719" max="10719" width="9.140625" style="98" bestFit="1" customWidth="1"/>
    <col min="10720" max="10720" width="16" style="98" bestFit="1" customWidth="1"/>
    <col min="10721" max="10721" width="9" style="98" bestFit="1" customWidth="1"/>
    <col min="10722" max="10722" width="7.85546875" style="98" bestFit="1" customWidth="1"/>
    <col min="10723" max="10723" width="11.7109375" style="98" bestFit="1" customWidth="1"/>
    <col min="10724" max="10724" width="14.28515625" style="98" customWidth="1"/>
    <col min="10725" max="10725" width="11.7109375" style="98" bestFit="1" customWidth="1"/>
    <col min="10726" max="10726" width="14.140625" style="98" bestFit="1" customWidth="1"/>
    <col min="10727" max="10727" width="16.7109375" style="98" customWidth="1"/>
    <col min="10728" max="10728" width="16.5703125" style="98" customWidth="1"/>
    <col min="10729" max="10730" width="7.85546875" style="98" bestFit="1" customWidth="1"/>
    <col min="10731" max="10731" width="8" style="98" bestFit="1" customWidth="1"/>
    <col min="10732" max="10733" width="7.85546875" style="98" bestFit="1" customWidth="1"/>
    <col min="10734" max="10734" width="9.7109375" style="98" customWidth="1"/>
    <col min="10735" max="10735" width="12.85546875" style="98" customWidth="1"/>
    <col min="10736" max="10972" width="9.140625" style="98"/>
    <col min="10973" max="10973" width="9" style="98" bestFit="1" customWidth="1"/>
    <col min="10974" max="10974" width="9.85546875" style="98" bestFit="1" customWidth="1"/>
    <col min="10975" max="10975" width="9.140625" style="98" bestFit="1" customWidth="1"/>
    <col min="10976" max="10976" width="16" style="98" bestFit="1" customWidth="1"/>
    <col min="10977" max="10977" width="9" style="98" bestFit="1" customWidth="1"/>
    <col min="10978" max="10978" width="7.85546875" style="98" bestFit="1" customWidth="1"/>
    <col min="10979" max="10979" width="11.7109375" style="98" bestFit="1" customWidth="1"/>
    <col min="10980" max="10980" width="14.28515625" style="98" customWidth="1"/>
    <col min="10981" max="10981" width="11.7109375" style="98" bestFit="1" customWidth="1"/>
    <col min="10982" max="10982" width="14.140625" style="98" bestFit="1" customWidth="1"/>
    <col min="10983" max="10983" width="16.7109375" style="98" customWidth="1"/>
    <col min="10984" max="10984" width="16.5703125" style="98" customWidth="1"/>
    <col min="10985" max="10986" width="7.85546875" style="98" bestFit="1" customWidth="1"/>
    <col min="10987" max="10987" width="8" style="98" bestFit="1" customWidth="1"/>
    <col min="10988" max="10989" width="7.85546875" style="98" bestFit="1" customWidth="1"/>
    <col min="10990" max="10990" width="9.7109375" style="98" customWidth="1"/>
    <col min="10991" max="10991" width="12.85546875" style="98" customWidth="1"/>
    <col min="10992" max="11228" width="9.140625" style="98"/>
    <col min="11229" max="11229" width="9" style="98" bestFit="1" customWidth="1"/>
    <col min="11230" max="11230" width="9.85546875" style="98" bestFit="1" customWidth="1"/>
    <col min="11231" max="11231" width="9.140625" style="98" bestFit="1" customWidth="1"/>
    <col min="11232" max="11232" width="16" style="98" bestFit="1" customWidth="1"/>
    <col min="11233" max="11233" width="9" style="98" bestFit="1" customWidth="1"/>
    <col min="11234" max="11234" width="7.85546875" style="98" bestFit="1" customWidth="1"/>
    <col min="11235" max="11235" width="11.7109375" style="98" bestFit="1" customWidth="1"/>
    <col min="11236" max="11236" width="14.28515625" style="98" customWidth="1"/>
    <col min="11237" max="11237" width="11.7109375" style="98" bestFit="1" customWidth="1"/>
    <col min="11238" max="11238" width="14.140625" style="98" bestFit="1" customWidth="1"/>
    <col min="11239" max="11239" width="16.7109375" style="98" customWidth="1"/>
    <col min="11240" max="11240" width="16.5703125" style="98" customWidth="1"/>
    <col min="11241" max="11242" width="7.85546875" style="98" bestFit="1" customWidth="1"/>
    <col min="11243" max="11243" width="8" style="98" bestFit="1" customWidth="1"/>
    <col min="11244" max="11245" width="7.85546875" style="98" bestFit="1" customWidth="1"/>
    <col min="11246" max="11246" width="9.7109375" style="98" customWidth="1"/>
    <col min="11247" max="11247" width="12.85546875" style="98" customWidth="1"/>
    <col min="11248" max="11484" width="9.140625" style="98"/>
    <col min="11485" max="11485" width="9" style="98" bestFit="1" customWidth="1"/>
    <col min="11486" max="11486" width="9.85546875" style="98" bestFit="1" customWidth="1"/>
    <col min="11487" max="11487" width="9.140625" style="98" bestFit="1" customWidth="1"/>
    <col min="11488" max="11488" width="16" style="98" bestFit="1" customWidth="1"/>
    <col min="11489" max="11489" width="9" style="98" bestFit="1" customWidth="1"/>
    <col min="11490" max="11490" width="7.85546875" style="98" bestFit="1" customWidth="1"/>
    <col min="11491" max="11491" width="11.7109375" style="98" bestFit="1" customWidth="1"/>
    <col min="11492" max="11492" width="14.28515625" style="98" customWidth="1"/>
    <col min="11493" max="11493" width="11.7109375" style="98" bestFit="1" customWidth="1"/>
    <col min="11494" max="11494" width="14.140625" style="98" bestFit="1" customWidth="1"/>
    <col min="11495" max="11495" width="16.7109375" style="98" customWidth="1"/>
    <col min="11496" max="11496" width="16.5703125" style="98" customWidth="1"/>
    <col min="11497" max="11498" width="7.85546875" style="98" bestFit="1" customWidth="1"/>
    <col min="11499" max="11499" width="8" style="98" bestFit="1" customWidth="1"/>
    <col min="11500" max="11501" width="7.85546875" style="98" bestFit="1" customWidth="1"/>
    <col min="11502" max="11502" width="9.7109375" style="98" customWidth="1"/>
    <col min="11503" max="11503" width="12.85546875" style="98" customWidth="1"/>
    <col min="11504" max="11740" width="9.140625" style="98"/>
    <col min="11741" max="11741" width="9" style="98" bestFit="1" customWidth="1"/>
    <col min="11742" max="11742" width="9.85546875" style="98" bestFit="1" customWidth="1"/>
    <col min="11743" max="11743" width="9.140625" style="98" bestFit="1" customWidth="1"/>
    <col min="11744" max="11744" width="16" style="98" bestFit="1" customWidth="1"/>
    <col min="11745" max="11745" width="9" style="98" bestFit="1" customWidth="1"/>
    <col min="11746" max="11746" width="7.85546875" style="98" bestFit="1" customWidth="1"/>
    <col min="11747" max="11747" width="11.7109375" style="98" bestFit="1" customWidth="1"/>
    <col min="11748" max="11748" width="14.28515625" style="98" customWidth="1"/>
    <col min="11749" max="11749" width="11.7109375" style="98" bestFit="1" customWidth="1"/>
    <col min="11750" max="11750" width="14.140625" style="98" bestFit="1" customWidth="1"/>
    <col min="11751" max="11751" width="16.7109375" style="98" customWidth="1"/>
    <col min="11752" max="11752" width="16.5703125" style="98" customWidth="1"/>
    <col min="11753" max="11754" width="7.85546875" style="98" bestFit="1" customWidth="1"/>
    <col min="11755" max="11755" width="8" style="98" bestFit="1" customWidth="1"/>
    <col min="11756" max="11757" width="7.85546875" style="98" bestFit="1" customWidth="1"/>
    <col min="11758" max="11758" width="9.7109375" style="98" customWidth="1"/>
    <col min="11759" max="11759" width="12.85546875" style="98" customWidth="1"/>
    <col min="11760" max="11996" width="9.140625" style="98"/>
    <col min="11997" max="11997" width="9" style="98" bestFit="1" customWidth="1"/>
    <col min="11998" max="11998" width="9.85546875" style="98" bestFit="1" customWidth="1"/>
    <col min="11999" max="11999" width="9.140625" style="98" bestFit="1" customWidth="1"/>
    <col min="12000" max="12000" width="16" style="98" bestFit="1" customWidth="1"/>
    <col min="12001" max="12001" width="9" style="98" bestFit="1" customWidth="1"/>
    <col min="12002" max="12002" width="7.85546875" style="98" bestFit="1" customWidth="1"/>
    <col min="12003" max="12003" width="11.7109375" style="98" bestFit="1" customWidth="1"/>
    <col min="12004" max="12004" width="14.28515625" style="98" customWidth="1"/>
    <col min="12005" max="12005" width="11.7109375" style="98" bestFit="1" customWidth="1"/>
    <col min="12006" max="12006" width="14.140625" style="98" bestFit="1" customWidth="1"/>
    <col min="12007" max="12007" width="16.7109375" style="98" customWidth="1"/>
    <col min="12008" max="12008" width="16.5703125" style="98" customWidth="1"/>
    <col min="12009" max="12010" width="7.85546875" style="98" bestFit="1" customWidth="1"/>
    <col min="12011" max="12011" width="8" style="98" bestFit="1" customWidth="1"/>
    <col min="12012" max="12013" width="7.85546875" style="98" bestFit="1" customWidth="1"/>
    <col min="12014" max="12014" width="9.7109375" style="98" customWidth="1"/>
    <col min="12015" max="12015" width="12.85546875" style="98" customWidth="1"/>
    <col min="12016" max="12252" width="9.140625" style="98"/>
    <col min="12253" max="12253" width="9" style="98" bestFit="1" customWidth="1"/>
    <col min="12254" max="12254" width="9.85546875" style="98" bestFit="1" customWidth="1"/>
    <col min="12255" max="12255" width="9.140625" style="98" bestFit="1" customWidth="1"/>
    <col min="12256" max="12256" width="16" style="98" bestFit="1" customWidth="1"/>
    <col min="12257" max="12257" width="9" style="98" bestFit="1" customWidth="1"/>
    <col min="12258" max="12258" width="7.85546875" style="98" bestFit="1" customWidth="1"/>
    <col min="12259" max="12259" width="11.7109375" style="98" bestFit="1" customWidth="1"/>
    <col min="12260" max="12260" width="14.28515625" style="98" customWidth="1"/>
    <col min="12261" max="12261" width="11.7109375" style="98" bestFit="1" customWidth="1"/>
    <col min="12262" max="12262" width="14.140625" style="98" bestFit="1" customWidth="1"/>
    <col min="12263" max="12263" width="16.7109375" style="98" customWidth="1"/>
    <col min="12264" max="12264" width="16.5703125" style="98" customWidth="1"/>
    <col min="12265" max="12266" width="7.85546875" style="98" bestFit="1" customWidth="1"/>
    <col min="12267" max="12267" width="8" style="98" bestFit="1" customWidth="1"/>
    <col min="12268" max="12269" width="7.85546875" style="98" bestFit="1" customWidth="1"/>
    <col min="12270" max="12270" width="9.7109375" style="98" customWidth="1"/>
    <col min="12271" max="12271" width="12.85546875" style="98" customWidth="1"/>
    <col min="12272" max="12508" width="9.140625" style="98"/>
    <col min="12509" max="12509" width="9" style="98" bestFit="1" customWidth="1"/>
    <col min="12510" max="12510" width="9.85546875" style="98" bestFit="1" customWidth="1"/>
    <col min="12511" max="12511" width="9.140625" style="98" bestFit="1" customWidth="1"/>
    <col min="12512" max="12512" width="16" style="98" bestFit="1" customWidth="1"/>
    <col min="12513" max="12513" width="9" style="98" bestFit="1" customWidth="1"/>
    <col min="12514" max="12514" width="7.85546875" style="98" bestFit="1" customWidth="1"/>
    <col min="12515" max="12515" width="11.7109375" style="98" bestFit="1" customWidth="1"/>
    <col min="12516" max="12516" width="14.28515625" style="98" customWidth="1"/>
    <col min="12517" max="12517" width="11.7109375" style="98" bestFit="1" customWidth="1"/>
    <col min="12518" max="12518" width="14.140625" style="98" bestFit="1" customWidth="1"/>
    <col min="12519" max="12519" width="16.7109375" style="98" customWidth="1"/>
    <col min="12520" max="12520" width="16.5703125" style="98" customWidth="1"/>
    <col min="12521" max="12522" width="7.85546875" style="98" bestFit="1" customWidth="1"/>
    <col min="12523" max="12523" width="8" style="98" bestFit="1" customWidth="1"/>
    <col min="12524" max="12525" width="7.85546875" style="98" bestFit="1" customWidth="1"/>
    <col min="12526" max="12526" width="9.7109375" style="98" customWidth="1"/>
    <col min="12527" max="12527" width="12.85546875" style="98" customWidth="1"/>
    <col min="12528" max="12764" width="9.140625" style="98"/>
    <col min="12765" max="12765" width="9" style="98" bestFit="1" customWidth="1"/>
    <col min="12766" max="12766" width="9.85546875" style="98" bestFit="1" customWidth="1"/>
    <col min="12767" max="12767" width="9.140625" style="98" bestFit="1" customWidth="1"/>
    <col min="12768" max="12768" width="16" style="98" bestFit="1" customWidth="1"/>
    <col min="12769" max="12769" width="9" style="98" bestFit="1" customWidth="1"/>
    <col min="12770" max="12770" width="7.85546875" style="98" bestFit="1" customWidth="1"/>
    <col min="12771" max="12771" width="11.7109375" style="98" bestFit="1" customWidth="1"/>
    <col min="12772" max="12772" width="14.28515625" style="98" customWidth="1"/>
    <col min="12773" max="12773" width="11.7109375" style="98" bestFit="1" customWidth="1"/>
    <col min="12774" max="12774" width="14.140625" style="98" bestFit="1" customWidth="1"/>
    <col min="12775" max="12775" width="16.7109375" style="98" customWidth="1"/>
    <col min="12776" max="12776" width="16.5703125" style="98" customWidth="1"/>
    <col min="12777" max="12778" width="7.85546875" style="98" bestFit="1" customWidth="1"/>
    <col min="12779" max="12779" width="8" style="98" bestFit="1" customWidth="1"/>
    <col min="12780" max="12781" width="7.85546875" style="98" bestFit="1" customWidth="1"/>
    <col min="12782" max="12782" width="9.7109375" style="98" customWidth="1"/>
    <col min="12783" max="12783" width="12.85546875" style="98" customWidth="1"/>
    <col min="12784" max="13020" width="9.140625" style="98"/>
    <col min="13021" max="13021" width="9" style="98" bestFit="1" customWidth="1"/>
    <col min="13022" max="13022" width="9.85546875" style="98" bestFit="1" customWidth="1"/>
    <col min="13023" max="13023" width="9.140625" style="98" bestFit="1" customWidth="1"/>
    <col min="13024" max="13024" width="16" style="98" bestFit="1" customWidth="1"/>
    <col min="13025" max="13025" width="9" style="98" bestFit="1" customWidth="1"/>
    <col min="13026" max="13026" width="7.85546875" style="98" bestFit="1" customWidth="1"/>
    <col min="13027" max="13027" width="11.7109375" style="98" bestFit="1" customWidth="1"/>
    <col min="13028" max="13028" width="14.28515625" style="98" customWidth="1"/>
    <col min="13029" max="13029" width="11.7109375" style="98" bestFit="1" customWidth="1"/>
    <col min="13030" max="13030" width="14.140625" style="98" bestFit="1" customWidth="1"/>
    <col min="13031" max="13031" width="16.7109375" style="98" customWidth="1"/>
    <col min="13032" max="13032" width="16.5703125" style="98" customWidth="1"/>
    <col min="13033" max="13034" width="7.85546875" style="98" bestFit="1" customWidth="1"/>
    <col min="13035" max="13035" width="8" style="98" bestFit="1" customWidth="1"/>
    <col min="13036" max="13037" width="7.85546875" style="98" bestFit="1" customWidth="1"/>
    <col min="13038" max="13038" width="9.7109375" style="98" customWidth="1"/>
    <col min="13039" max="13039" width="12.85546875" style="98" customWidth="1"/>
    <col min="13040" max="13276" width="9.140625" style="98"/>
    <col min="13277" max="13277" width="9" style="98" bestFit="1" customWidth="1"/>
    <col min="13278" max="13278" width="9.85546875" style="98" bestFit="1" customWidth="1"/>
    <col min="13279" max="13279" width="9.140625" style="98" bestFit="1" customWidth="1"/>
    <col min="13280" max="13280" width="16" style="98" bestFit="1" customWidth="1"/>
    <col min="13281" max="13281" width="9" style="98" bestFit="1" customWidth="1"/>
    <col min="13282" max="13282" width="7.85546875" style="98" bestFit="1" customWidth="1"/>
    <col min="13283" max="13283" width="11.7109375" style="98" bestFit="1" customWidth="1"/>
    <col min="13284" max="13284" width="14.28515625" style="98" customWidth="1"/>
    <col min="13285" max="13285" width="11.7109375" style="98" bestFit="1" customWidth="1"/>
    <col min="13286" max="13286" width="14.140625" style="98" bestFit="1" customWidth="1"/>
    <col min="13287" max="13287" width="16.7109375" style="98" customWidth="1"/>
    <col min="13288" max="13288" width="16.5703125" style="98" customWidth="1"/>
    <col min="13289" max="13290" width="7.85546875" style="98" bestFit="1" customWidth="1"/>
    <col min="13291" max="13291" width="8" style="98" bestFit="1" customWidth="1"/>
    <col min="13292" max="13293" width="7.85546875" style="98" bestFit="1" customWidth="1"/>
    <col min="13294" max="13294" width="9.7109375" style="98" customWidth="1"/>
    <col min="13295" max="13295" width="12.85546875" style="98" customWidth="1"/>
    <col min="13296" max="13532" width="9.140625" style="98"/>
    <col min="13533" max="13533" width="9" style="98" bestFit="1" customWidth="1"/>
    <col min="13534" max="13534" width="9.85546875" style="98" bestFit="1" customWidth="1"/>
    <col min="13535" max="13535" width="9.140625" style="98" bestFit="1" customWidth="1"/>
    <col min="13536" max="13536" width="16" style="98" bestFit="1" customWidth="1"/>
    <col min="13537" max="13537" width="9" style="98" bestFit="1" customWidth="1"/>
    <col min="13538" max="13538" width="7.85546875" style="98" bestFit="1" customWidth="1"/>
    <col min="13539" max="13539" width="11.7109375" style="98" bestFit="1" customWidth="1"/>
    <col min="13540" max="13540" width="14.28515625" style="98" customWidth="1"/>
    <col min="13541" max="13541" width="11.7109375" style="98" bestFit="1" customWidth="1"/>
    <col min="13542" max="13542" width="14.140625" style="98" bestFit="1" customWidth="1"/>
    <col min="13543" max="13543" width="16.7109375" style="98" customWidth="1"/>
    <col min="13544" max="13544" width="16.5703125" style="98" customWidth="1"/>
    <col min="13545" max="13546" width="7.85546875" style="98" bestFit="1" customWidth="1"/>
    <col min="13547" max="13547" width="8" style="98" bestFit="1" customWidth="1"/>
    <col min="13548" max="13549" width="7.85546875" style="98" bestFit="1" customWidth="1"/>
    <col min="13550" max="13550" width="9.7109375" style="98" customWidth="1"/>
    <col min="13551" max="13551" width="12.85546875" style="98" customWidth="1"/>
    <col min="13552" max="13788" width="9.140625" style="98"/>
    <col min="13789" max="13789" width="9" style="98" bestFit="1" customWidth="1"/>
    <col min="13790" max="13790" width="9.85546875" style="98" bestFit="1" customWidth="1"/>
    <col min="13791" max="13791" width="9.140625" style="98" bestFit="1" customWidth="1"/>
    <col min="13792" max="13792" width="16" style="98" bestFit="1" customWidth="1"/>
    <col min="13793" max="13793" width="9" style="98" bestFit="1" customWidth="1"/>
    <col min="13794" max="13794" width="7.85546875" style="98" bestFit="1" customWidth="1"/>
    <col min="13795" max="13795" width="11.7109375" style="98" bestFit="1" customWidth="1"/>
    <col min="13796" max="13796" width="14.28515625" style="98" customWidth="1"/>
    <col min="13797" max="13797" width="11.7109375" style="98" bestFit="1" customWidth="1"/>
    <col min="13798" max="13798" width="14.140625" style="98" bestFit="1" customWidth="1"/>
    <col min="13799" max="13799" width="16.7109375" style="98" customWidth="1"/>
    <col min="13800" max="13800" width="16.5703125" style="98" customWidth="1"/>
    <col min="13801" max="13802" width="7.85546875" style="98" bestFit="1" customWidth="1"/>
    <col min="13803" max="13803" width="8" style="98" bestFit="1" customWidth="1"/>
    <col min="13804" max="13805" width="7.85546875" style="98" bestFit="1" customWidth="1"/>
    <col min="13806" max="13806" width="9.7109375" style="98" customWidth="1"/>
    <col min="13807" max="13807" width="12.85546875" style="98" customWidth="1"/>
    <col min="13808" max="14044" width="9.140625" style="98"/>
    <col min="14045" max="14045" width="9" style="98" bestFit="1" customWidth="1"/>
    <col min="14046" max="14046" width="9.85546875" style="98" bestFit="1" customWidth="1"/>
    <col min="14047" max="14047" width="9.140625" style="98" bestFit="1" customWidth="1"/>
    <col min="14048" max="14048" width="16" style="98" bestFit="1" customWidth="1"/>
    <col min="14049" max="14049" width="9" style="98" bestFit="1" customWidth="1"/>
    <col min="14050" max="14050" width="7.85546875" style="98" bestFit="1" customWidth="1"/>
    <col min="14051" max="14051" width="11.7109375" style="98" bestFit="1" customWidth="1"/>
    <col min="14052" max="14052" width="14.28515625" style="98" customWidth="1"/>
    <col min="14053" max="14053" width="11.7109375" style="98" bestFit="1" customWidth="1"/>
    <col min="14054" max="14054" width="14.140625" style="98" bestFit="1" customWidth="1"/>
    <col min="14055" max="14055" width="16.7109375" style="98" customWidth="1"/>
    <col min="14056" max="14056" width="16.5703125" style="98" customWidth="1"/>
    <col min="14057" max="14058" width="7.85546875" style="98" bestFit="1" customWidth="1"/>
    <col min="14059" max="14059" width="8" style="98" bestFit="1" customWidth="1"/>
    <col min="14060" max="14061" width="7.85546875" style="98" bestFit="1" customWidth="1"/>
    <col min="14062" max="14062" width="9.7109375" style="98" customWidth="1"/>
    <col min="14063" max="14063" width="12.85546875" style="98" customWidth="1"/>
    <col min="14064" max="14300" width="9.140625" style="98"/>
    <col min="14301" max="14301" width="9" style="98" bestFit="1" customWidth="1"/>
    <col min="14302" max="14302" width="9.85546875" style="98" bestFit="1" customWidth="1"/>
    <col min="14303" max="14303" width="9.140625" style="98" bestFit="1" customWidth="1"/>
    <col min="14304" max="14304" width="16" style="98" bestFit="1" customWidth="1"/>
    <col min="14305" max="14305" width="9" style="98" bestFit="1" customWidth="1"/>
    <col min="14306" max="14306" width="7.85546875" style="98" bestFit="1" customWidth="1"/>
    <col min="14307" max="14307" width="11.7109375" style="98" bestFit="1" customWidth="1"/>
    <col min="14308" max="14308" width="14.28515625" style="98" customWidth="1"/>
    <col min="14309" max="14309" width="11.7109375" style="98" bestFit="1" customWidth="1"/>
    <col min="14310" max="14310" width="14.140625" style="98" bestFit="1" customWidth="1"/>
    <col min="14311" max="14311" width="16.7109375" style="98" customWidth="1"/>
    <col min="14312" max="14312" width="16.5703125" style="98" customWidth="1"/>
    <col min="14313" max="14314" width="7.85546875" style="98" bestFit="1" customWidth="1"/>
    <col min="14315" max="14315" width="8" style="98" bestFit="1" customWidth="1"/>
    <col min="14316" max="14317" width="7.85546875" style="98" bestFit="1" customWidth="1"/>
    <col min="14318" max="14318" width="9.7109375" style="98" customWidth="1"/>
    <col min="14319" max="14319" width="12.85546875" style="98" customWidth="1"/>
    <col min="14320" max="14556" width="9.140625" style="98"/>
    <col min="14557" max="14557" width="9" style="98" bestFit="1" customWidth="1"/>
    <col min="14558" max="14558" width="9.85546875" style="98" bestFit="1" customWidth="1"/>
    <col min="14559" max="14559" width="9.140625" style="98" bestFit="1" customWidth="1"/>
    <col min="14560" max="14560" width="16" style="98" bestFit="1" customWidth="1"/>
    <col min="14561" max="14561" width="9" style="98" bestFit="1" customWidth="1"/>
    <col min="14562" max="14562" width="7.85546875" style="98" bestFit="1" customWidth="1"/>
    <col min="14563" max="14563" width="11.7109375" style="98" bestFit="1" customWidth="1"/>
    <col min="14564" max="14564" width="14.28515625" style="98" customWidth="1"/>
    <col min="14565" max="14565" width="11.7109375" style="98" bestFit="1" customWidth="1"/>
    <col min="14566" max="14566" width="14.140625" style="98" bestFit="1" customWidth="1"/>
    <col min="14567" max="14567" width="16.7109375" style="98" customWidth="1"/>
    <col min="14568" max="14568" width="16.5703125" style="98" customWidth="1"/>
    <col min="14569" max="14570" width="7.85546875" style="98" bestFit="1" customWidth="1"/>
    <col min="14571" max="14571" width="8" style="98" bestFit="1" customWidth="1"/>
    <col min="14572" max="14573" width="7.85546875" style="98" bestFit="1" customWidth="1"/>
    <col min="14574" max="14574" width="9.7109375" style="98" customWidth="1"/>
    <col min="14575" max="14575" width="12.85546875" style="98" customWidth="1"/>
    <col min="14576" max="14812" width="9.140625" style="98"/>
    <col min="14813" max="14813" width="9" style="98" bestFit="1" customWidth="1"/>
    <col min="14814" max="14814" width="9.85546875" style="98" bestFit="1" customWidth="1"/>
    <col min="14815" max="14815" width="9.140625" style="98" bestFit="1" customWidth="1"/>
    <col min="14816" max="14816" width="16" style="98" bestFit="1" customWidth="1"/>
    <col min="14817" max="14817" width="9" style="98" bestFit="1" customWidth="1"/>
    <col min="14818" max="14818" width="7.85546875" style="98" bestFit="1" customWidth="1"/>
    <col min="14819" max="14819" width="11.7109375" style="98" bestFit="1" customWidth="1"/>
    <col min="14820" max="14820" width="14.28515625" style="98" customWidth="1"/>
    <col min="14821" max="14821" width="11.7109375" style="98" bestFit="1" customWidth="1"/>
    <col min="14822" max="14822" width="14.140625" style="98" bestFit="1" customWidth="1"/>
    <col min="14823" max="14823" width="16.7109375" style="98" customWidth="1"/>
    <col min="14824" max="14824" width="16.5703125" style="98" customWidth="1"/>
    <col min="14825" max="14826" width="7.85546875" style="98" bestFit="1" customWidth="1"/>
    <col min="14827" max="14827" width="8" style="98" bestFit="1" customWidth="1"/>
    <col min="14828" max="14829" width="7.85546875" style="98" bestFit="1" customWidth="1"/>
    <col min="14830" max="14830" width="9.7109375" style="98" customWidth="1"/>
    <col min="14831" max="14831" width="12.85546875" style="98" customWidth="1"/>
    <col min="14832" max="15068" width="9.140625" style="98"/>
    <col min="15069" max="15069" width="9" style="98" bestFit="1" customWidth="1"/>
    <col min="15070" max="15070" width="9.85546875" style="98" bestFit="1" customWidth="1"/>
    <col min="15071" max="15071" width="9.140625" style="98" bestFit="1" customWidth="1"/>
    <col min="15072" max="15072" width="16" style="98" bestFit="1" customWidth="1"/>
    <col min="15073" max="15073" width="9" style="98" bestFit="1" customWidth="1"/>
    <col min="15074" max="15074" width="7.85546875" style="98" bestFit="1" customWidth="1"/>
    <col min="15075" max="15075" width="11.7109375" style="98" bestFit="1" customWidth="1"/>
    <col min="15076" max="15076" width="14.28515625" style="98" customWidth="1"/>
    <col min="15077" max="15077" width="11.7109375" style="98" bestFit="1" customWidth="1"/>
    <col min="15078" max="15078" width="14.140625" style="98" bestFit="1" customWidth="1"/>
    <col min="15079" max="15079" width="16.7109375" style="98" customWidth="1"/>
    <col min="15080" max="15080" width="16.5703125" style="98" customWidth="1"/>
    <col min="15081" max="15082" width="7.85546875" style="98" bestFit="1" customWidth="1"/>
    <col min="15083" max="15083" width="8" style="98" bestFit="1" customWidth="1"/>
    <col min="15084" max="15085" width="7.85546875" style="98" bestFit="1" customWidth="1"/>
    <col min="15086" max="15086" width="9.7109375" style="98" customWidth="1"/>
    <col min="15087" max="15087" width="12.85546875" style="98" customWidth="1"/>
    <col min="15088" max="15324" width="9.140625" style="98"/>
    <col min="15325" max="15325" width="9" style="98" bestFit="1" customWidth="1"/>
    <col min="15326" max="15326" width="9.85546875" style="98" bestFit="1" customWidth="1"/>
    <col min="15327" max="15327" width="9.140625" style="98" bestFit="1" customWidth="1"/>
    <col min="15328" max="15328" width="16" style="98" bestFit="1" customWidth="1"/>
    <col min="15329" max="15329" width="9" style="98" bestFit="1" customWidth="1"/>
    <col min="15330" max="15330" width="7.85546875" style="98" bestFit="1" customWidth="1"/>
    <col min="15331" max="15331" width="11.7109375" style="98" bestFit="1" customWidth="1"/>
    <col min="15332" max="15332" width="14.28515625" style="98" customWidth="1"/>
    <col min="15333" max="15333" width="11.7109375" style="98" bestFit="1" customWidth="1"/>
    <col min="15334" max="15334" width="14.140625" style="98" bestFit="1" customWidth="1"/>
    <col min="15335" max="15335" width="16.7109375" style="98" customWidth="1"/>
    <col min="15336" max="15336" width="16.5703125" style="98" customWidth="1"/>
    <col min="15337" max="15338" width="7.85546875" style="98" bestFit="1" customWidth="1"/>
    <col min="15339" max="15339" width="8" style="98" bestFit="1" customWidth="1"/>
    <col min="15340" max="15341" width="7.85546875" style="98" bestFit="1" customWidth="1"/>
    <col min="15342" max="15342" width="9.7109375" style="98" customWidth="1"/>
    <col min="15343" max="15343" width="12.85546875" style="98" customWidth="1"/>
    <col min="15344" max="15580" width="9.140625" style="98"/>
    <col min="15581" max="15581" width="9" style="98" bestFit="1" customWidth="1"/>
    <col min="15582" max="15582" width="9.85546875" style="98" bestFit="1" customWidth="1"/>
    <col min="15583" max="15583" width="9.140625" style="98" bestFit="1" customWidth="1"/>
    <col min="15584" max="15584" width="16" style="98" bestFit="1" customWidth="1"/>
    <col min="15585" max="15585" width="9" style="98" bestFit="1" customWidth="1"/>
    <col min="15586" max="15586" width="7.85546875" style="98" bestFit="1" customWidth="1"/>
    <col min="15587" max="15587" width="11.7109375" style="98" bestFit="1" customWidth="1"/>
    <col min="15588" max="15588" width="14.28515625" style="98" customWidth="1"/>
    <col min="15589" max="15589" width="11.7109375" style="98" bestFit="1" customWidth="1"/>
    <col min="15590" max="15590" width="14.140625" style="98" bestFit="1" customWidth="1"/>
    <col min="15591" max="15591" width="16.7109375" style="98" customWidth="1"/>
    <col min="15592" max="15592" width="16.5703125" style="98" customWidth="1"/>
    <col min="15593" max="15594" width="7.85546875" style="98" bestFit="1" customWidth="1"/>
    <col min="15595" max="15595" width="8" style="98" bestFit="1" customWidth="1"/>
    <col min="15596" max="15597" width="7.85546875" style="98" bestFit="1" customWidth="1"/>
    <col min="15598" max="15598" width="9.7109375" style="98" customWidth="1"/>
    <col min="15599" max="15599" width="12.85546875" style="98" customWidth="1"/>
    <col min="15600" max="15836" width="9.140625" style="98"/>
    <col min="15837" max="15837" width="9" style="98" bestFit="1" customWidth="1"/>
    <col min="15838" max="15838" width="9.85546875" style="98" bestFit="1" customWidth="1"/>
    <col min="15839" max="15839" width="9.140625" style="98" bestFit="1" customWidth="1"/>
    <col min="15840" max="15840" width="16" style="98" bestFit="1" customWidth="1"/>
    <col min="15841" max="15841" width="9" style="98" bestFit="1" customWidth="1"/>
    <col min="15842" max="15842" width="7.85546875" style="98" bestFit="1" customWidth="1"/>
    <col min="15843" max="15843" width="11.7109375" style="98" bestFit="1" customWidth="1"/>
    <col min="15844" max="15844" width="14.28515625" style="98" customWidth="1"/>
    <col min="15845" max="15845" width="11.7109375" style="98" bestFit="1" customWidth="1"/>
    <col min="15846" max="15846" width="14.140625" style="98" bestFit="1" customWidth="1"/>
    <col min="15847" max="15847" width="16.7109375" style="98" customWidth="1"/>
    <col min="15848" max="15848" width="16.5703125" style="98" customWidth="1"/>
    <col min="15849" max="15850" width="7.85546875" style="98" bestFit="1" customWidth="1"/>
    <col min="15851" max="15851" width="8" style="98" bestFit="1" customWidth="1"/>
    <col min="15852" max="15853" width="7.85546875" style="98" bestFit="1" customWidth="1"/>
    <col min="15854" max="15854" width="9.7109375" style="98" customWidth="1"/>
    <col min="15855" max="15855" width="12.85546875" style="98" customWidth="1"/>
    <col min="15856" max="16092" width="9.140625" style="98"/>
    <col min="16093" max="16093" width="9" style="98" bestFit="1" customWidth="1"/>
    <col min="16094" max="16094" width="9.85546875" style="98" bestFit="1" customWidth="1"/>
    <col min="16095" max="16095" width="9.140625" style="98" bestFit="1" customWidth="1"/>
    <col min="16096" max="16096" width="16" style="98" bestFit="1" customWidth="1"/>
    <col min="16097" max="16097" width="9" style="98" bestFit="1" customWidth="1"/>
    <col min="16098" max="16098" width="7.85546875" style="98" bestFit="1" customWidth="1"/>
    <col min="16099" max="16099" width="11.7109375" style="98" bestFit="1" customWidth="1"/>
    <col min="16100" max="16100" width="14.28515625" style="98" customWidth="1"/>
    <col min="16101" max="16101" width="11.7109375" style="98" bestFit="1" customWidth="1"/>
    <col min="16102" max="16102" width="14.140625" style="98" bestFit="1" customWidth="1"/>
    <col min="16103" max="16103" width="16.7109375" style="98" customWidth="1"/>
    <col min="16104" max="16104" width="16.5703125" style="98" customWidth="1"/>
    <col min="16105" max="16106" width="7.85546875" style="98" bestFit="1" customWidth="1"/>
    <col min="16107" max="16107" width="8" style="98" bestFit="1" customWidth="1"/>
    <col min="16108" max="16109" width="7.85546875" style="98" bestFit="1" customWidth="1"/>
    <col min="16110" max="16110" width="9.7109375" style="98" customWidth="1"/>
    <col min="16111" max="16111" width="12.85546875" style="98" customWidth="1"/>
    <col min="16112" max="16384" width="9.140625" style="98"/>
  </cols>
  <sheetData>
    <row r="1" spans="1:22" s="100" customFormat="1" ht="15.75" customHeight="1">
      <c r="A1" s="625" t="s">
        <v>1</v>
      </c>
      <c r="B1" s="763" t="s">
        <v>0</v>
      </c>
      <c r="C1" s="765" t="s">
        <v>144</v>
      </c>
      <c r="D1" s="765"/>
      <c r="E1" s="765"/>
      <c r="F1" s="766" t="s">
        <v>29</v>
      </c>
      <c r="G1" s="767"/>
      <c r="H1" s="767"/>
      <c r="I1" s="767"/>
      <c r="J1" s="767"/>
      <c r="K1" s="767"/>
      <c r="L1" s="767"/>
      <c r="M1" s="767"/>
      <c r="N1" s="767"/>
      <c r="O1" s="767"/>
      <c r="P1" s="767"/>
      <c r="Q1" s="767"/>
      <c r="R1" s="767"/>
      <c r="S1" s="767"/>
      <c r="T1" s="767"/>
      <c r="U1" s="767"/>
      <c r="V1" s="768"/>
    </row>
    <row r="2" spans="1:22" ht="16.5" thickBot="1">
      <c r="A2" s="626"/>
      <c r="B2" s="764"/>
      <c r="C2" s="101" t="s">
        <v>23</v>
      </c>
      <c r="D2" s="106" t="s">
        <v>9</v>
      </c>
      <c r="E2" s="109" t="s">
        <v>33</v>
      </c>
      <c r="F2" s="288">
        <v>61</v>
      </c>
      <c r="G2" s="288">
        <v>62</v>
      </c>
      <c r="H2" s="288">
        <v>63</v>
      </c>
      <c r="I2" s="289">
        <v>64</v>
      </c>
      <c r="J2" s="290" t="s">
        <v>469</v>
      </c>
      <c r="K2" s="290" t="s">
        <v>470</v>
      </c>
      <c r="L2" s="290" t="s">
        <v>471</v>
      </c>
      <c r="M2" s="291">
        <v>65</v>
      </c>
      <c r="N2" s="292" t="s">
        <v>472</v>
      </c>
      <c r="O2" s="292" t="s">
        <v>473</v>
      </c>
      <c r="P2" s="292" t="s">
        <v>474</v>
      </c>
      <c r="Q2" s="292" t="s">
        <v>475</v>
      </c>
      <c r="R2" s="292" t="s">
        <v>476</v>
      </c>
      <c r="S2" s="288">
        <v>67</v>
      </c>
      <c r="T2" s="172"/>
      <c r="U2" s="172"/>
      <c r="V2" s="287"/>
    </row>
    <row r="3" spans="1:22" s="136" customFormat="1">
      <c r="A3" s="356" t="str">
        <f>'1-συμβολαια'!A3</f>
        <v>1ο</v>
      </c>
      <c r="B3" s="337" t="str">
        <f>'1-συμβολαια'!C3</f>
        <v>γονικής ΠΡΟΣΥΜΦΩΝΟ</v>
      </c>
      <c r="C3" s="308"/>
      <c r="D3" s="338"/>
      <c r="E3" s="338"/>
      <c r="F3" s="309"/>
      <c r="G3" s="309"/>
      <c r="H3" s="434"/>
      <c r="I3" s="435"/>
      <c r="J3" s="435"/>
      <c r="K3" s="435"/>
      <c r="L3" s="435"/>
      <c r="M3" s="435"/>
      <c r="N3" s="309"/>
      <c r="O3" s="309"/>
      <c r="P3" s="309"/>
      <c r="Q3" s="309"/>
      <c r="R3" s="309"/>
      <c r="S3" s="309"/>
      <c r="T3" s="309"/>
      <c r="U3" s="309"/>
      <c r="V3" s="309"/>
    </row>
    <row r="4" spans="1:22" s="136" customFormat="1">
      <c r="A4" s="356" t="str">
        <f>'1-συμβολαια'!A4</f>
        <v>2ο</v>
      </c>
      <c r="B4" s="337" t="str">
        <f>'1-συμβολαια'!C4</f>
        <v>δωρεάς ΠΡΟΣΥΜΦΩΝΟ</v>
      </c>
      <c r="C4" s="308"/>
      <c r="D4" s="338"/>
      <c r="E4" s="338"/>
      <c r="F4" s="309"/>
      <c r="G4" s="309"/>
      <c r="H4" s="434"/>
      <c r="I4" s="435"/>
      <c r="J4" s="435"/>
      <c r="K4" s="435"/>
      <c r="L4" s="435"/>
      <c r="M4" s="435"/>
      <c r="N4" s="309"/>
      <c r="O4" s="309"/>
      <c r="P4" s="309"/>
      <c r="Q4" s="309"/>
      <c r="R4" s="309"/>
      <c r="S4" s="309"/>
      <c r="T4" s="309"/>
      <c r="U4" s="309"/>
      <c r="V4" s="309"/>
    </row>
    <row r="5" spans="1:22" s="136" customFormat="1">
      <c r="A5" s="356" t="str">
        <f>'1-συμβολαια'!A5</f>
        <v>3ο</v>
      </c>
      <c r="B5" s="337" t="str">
        <f>'1-συμβολαια'!C5</f>
        <v>δωρεάς ΠΡΟΣΥΜΦΩΝΟ [1ο όροφο 55,63μ2</v>
      </c>
      <c r="C5" s="308"/>
      <c r="D5" s="338"/>
      <c r="E5" s="338"/>
      <c r="F5" s="309"/>
      <c r="G5" s="309"/>
      <c r="H5" s="434"/>
      <c r="I5" s="435"/>
      <c r="J5" s="435"/>
      <c r="K5" s="435"/>
      <c r="L5" s="435"/>
      <c r="M5" s="435"/>
      <c r="N5" s="309"/>
      <c r="O5" s="309"/>
      <c r="P5" s="309"/>
      <c r="Q5" s="309"/>
      <c r="R5" s="309"/>
      <c r="S5" s="309"/>
      <c r="T5" s="309"/>
      <c r="U5" s="309"/>
      <c r="V5" s="309"/>
    </row>
    <row r="6" spans="1:22" s="136" customFormat="1">
      <c r="A6" s="356" t="str">
        <f>'1-συμβολαια'!A6</f>
        <v>4ο</v>
      </c>
      <c r="B6" s="337" t="str">
        <f>'1-συμβολαια'!C6</f>
        <v>πληρεξούσιο</v>
      </c>
      <c r="C6" s="308"/>
      <c r="D6" s="338"/>
      <c r="E6" s="338"/>
      <c r="F6" s="309"/>
      <c r="G6" s="309"/>
      <c r="H6" s="434"/>
      <c r="I6" s="435"/>
      <c r="J6" s="435"/>
      <c r="K6" s="435"/>
      <c r="L6" s="435"/>
      <c r="M6" s="435"/>
      <c r="N6" s="309"/>
      <c r="O6" s="309"/>
      <c r="P6" s="309"/>
      <c r="Q6" s="309"/>
      <c r="R6" s="309"/>
      <c r="S6" s="309"/>
      <c r="T6" s="309"/>
      <c r="U6" s="309"/>
      <c r="V6" s="309"/>
    </row>
    <row r="7" spans="1:22" s="136" customFormat="1">
      <c r="A7" s="356" t="str">
        <f>'1-συμβολαια'!A7</f>
        <v>5ο</v>
      </c>
      <c r="B7" s="337" t="str">
        <f>'1-συμβολαια'!C7</f>
        <v>πληρεξούσιο</v>
      </c>
      <c r="C7" s="308"/>
      <c r="D7" s="338"/>
      <c r="E7" s="338"/>
      <c r="F7" s="309"/>
      <c r="G7" s="309"/>
      <c r="H7" s="434"/>
      <c r="I7" s="435"/>
      <c r="J7" s="435"/>
      <c r="K7" s="435"/>
      <c r="L7" s="435"/>
      <c r="M7" s="435"/>
      <c r="N7" s="309"/>
      <c r="O7" s="309"/>
      <c r="P7" s="309"/>
      <c r="Q7" s="309"/>
      <c r="R7" s="309"/>
      <c r="S7" s="309"/>
      <c r="T7" s="309"/>
      <c r="U7" s="309"/>
      <c r="V7" s="309"/>
    </row>
    <row r="8" spans="1:22" s="136" customFormat="1">
      <c r="A8" s="437" t="str">
        <f>'1-συμβολαια'!A8</f>
        <v>7ο</v>
      </c>
      <c r="B8" s="337" t="str">
        <f>'1-συμβολαια'!C8</f>
        <v>διανομή [34,60% {= 7.480.642δρχ}] &amp; {65,40% {= 14.139.710δρχ}]</v>
      </c>
      <c r="C8" s="308"/>
      <c r="D8" s="338"/>
      <c r="E8" s="338"/>
      <c r="F8" s="309"/>
      <c r="G8" s="309"/>
      <c r="H8" s="434"/>
      <c r="I8" s="435"/>
      <c r="J8" s="435"/>
      <c r="K8" s="435"/>
      <c r="L8" s="435"/>
      <c r="M8" s="435"/>
      <c r="N8" s="309"/>
      <c r="O8" s="309"/>
      <c r="P8" s="309"/>
      <c r="Q8" s="309"/>
      <c r="R8" s="309"/>
      <c r="S8" s="309"/>
      <c r="T8" s="309"/>
      <c r="U8" s="309"/>
      <c r="V8" s="309"/>
    </row>
    <row r="9" spans="1:22" s="136" customFormat="1">
      <c r="A9" s="437">
        <f>'1-συμβολαια'!A9</f>
        <v>0</v>
      </c>
      <c r="B9" s="337" t="str">
        <f>'1-συμβολαια'!C9</f>
        <v>εξισορόπηση διαφοράς διανεμομένων</v>
      </c>
      <c r="C9" s="308">
        <f>'1-συμβολαια'!L9</f>
        <v>50477.246800000001</v>
      </c>
      <c r="D9" s="338">
        <f>'1-συμβολαια'!N9</f>
        <v>0</v>
      </c>
      <c r="E9" s="338">
        <f t="shared" ref="E9:E16" si="0">C9-D9</f>
        <v>50477.246800000001</v>
      </c>
      <c r="F9" s="544">
        <v>61</v>
      </c>
      <c r="G9" s="544">
        <v>62</v>
      </c>
      <c r="H9" s="551"/>
      <c r="I9" s="544"/>
      <c r="J9" s="544"/>
      <c r="K9" s="544"/>
      <c r="L9" s="544"/>
      <c r="M9" s="544">
        <v>1</v>
      </c>
      <c r="N9" s="309"/>
      <c r="O9" s="309"/>
      <c r="P9" s="309"/>
      <c r="Q9" s="309"/>
      <c r="R9" s="309"/>
      <c r="S9" s="309"/>
      <c r="T9" s="309"/>
      <c r="U9" s="309"/>
      <c r="V9" s="309"/>
    </row>
    <row r="10" spans="1:22" s="136" customFormat="1">
      <c r="A10" s="437">
        <f>'1-συμβολαια'!A10</f>
        <v>0</v>
      </c>
      <c r="B10" s="337" t="str">
        <f>'1-συμβολαια'!C10</f>
        <v>χρήσης ΚΑΝΟΝΙΣΝΟΣ</v>
      </c>
      <c r="C10" s="308">
        <f>'1-συμβολαια'!L10</f>
        <v>18960</v>
      </c>
      <c r="D10" s="338">
        <f>'1-συμβολαια'!N10</f>
        <v>0</v>
      </c>
      <c r="E10" s="338">
        <f t="shared" si="0"/>
        <v>18960</v>
      </c>
      <c r="F10" s="544">
        <v>61</v>
      </c>
      <c r="G10" s="544">
        <v>62</v>
      </c>
      <c r="H10" s="551"/>
      <c r="I10" s="544">
        <v>1</v>
      </c>
      <c r="J10" s="544"/>
      <c r="K10" s="544"/>
      <c r="L10" s="544"/>
      <c r="M10" s="544"/>
      <c r="N10" s="309"/>
      <c r="O10" s="309"/>
      <c r="P10" s="309"/>
      <c r="Q10" s="309"/>
      <c r="R10" s="309"/>
      <c r="S10" s="309"/>
      <c r="T10" s="309"/>
      <c r="U10" s="309"/>
      <c r="V10" s="309"/>
    </row>
    <row r="11" spans="1:22" s="136" customFormat="1" ht="15.75" thickBot="1">
      <c r="A11" s="532">
        <f>'1-συμβολαια'!A11</f>
        <v>0</v>
      </c>
      <c r="B11" s="533" t="str">
        <f>'1-συμβολαια'!C11</f>
        <v xml:space="preserve">κάθετος ΣΥΣΤΑΣΗ </v>
      </c>
      <c r="C11" s="483">
        <f>'1-συμβολαια'!L11</f>
        <v>39590</v>
      </c>
      <c r="D11" s="483">
        <f>'1-συμβολαια'!N11</f>
        <v>0</v>
      </c>
      <c r="E11" s="483">
        <f t="shared" si="0"/>
        <v>39590</v>
      </c>
      <c r="F11" s="552"/>
      <c r="G11" s="552"/>
      <c r="H11" s="553"/>
      <c r="I11" s="552">
        <v>1</v>
      </c>
      <c r="J11" s="552"/>
      <c r="K11" s="552"/>
      <c r="L11" s="552"/>
      <c r="M11" s="552"/>
      <c r="N11" s="484"/>
      <c r="O11" s="484"/>
      <c r="P11" s="484"/>
      <c r="Q11" s="484"/>
      <c r="R11" s="484"/>
      <c r="S11" s="484"/>
      <c r="T11" s="484"/>
      <c r="U11" s="484"/>
      <c r="V11" s="484"/>
    </row>
    <row r="12" spans="1:22" s="136" customFormat="1">
      <c r="A12" s="528" t="str">
        <f>'1-συμβολαια'!A12</f>
        <v>6ο</v>
      </c>
      <c r="B12" s="529" t="str">
        <f>'1-συμβολαια'!C12</f>
        <v>πληρεξούσιο</v>
      </c>
      <c r="C12" s="338"/>
      <c r="D12" s="338"/>
      <c r="E12" s="338"/>
      <c r="F12" s="478"/>
      <c r="G12" s="478"/>
      <c r="H12" s="530"/>
      <c r="I12" s="531"/>
      <c r="J12" s="531"/>
      <c r="K12" s="531"/>
      <c r="L12" s="531"/>
      <c r="M12" s="531"/>
      <c r="N12" s="478"/>
      <c r="O12" s="478"/>
      <c r="P12" s="478"/>
      <c r="Q12" s="478"/>
      <c r="R12" s="478"/>
      <c r="S12" s="478"/>
      <c r="T12" s="478"/>
      <c r="U12" s="478"/>
      <c r="V12" s="478"/>
    </row>
    <row r="13" spans="1:22" s="136" customFormat="1">
      <c r="A13" s="356" t="str">
        <f>'1-συμβολαια'!A13</f>
        <v>8ο</v>
      </c>
      <c r="B13" s="337" t="str">
        <f>'1-συμβολαια'!C13</f>
        <v>δωρεα [οικόπεδο42μ2</v>
      </c>
      <c r="C13" s="308"/>
      <c r="D13" s="338"/>
      <c r="E13" s="338"/>
      <c r="F13" s="309"/>
      <c r="G13" s="309"/>
      <c r="H13" s="434"/>
      <c r="I13" s="435"/>
      <c r="J13" s="435"/>
      <c r="K13" s="435"/>
      <c r="L13" s="435"/>
      <c r="M13" s="435"/>
      <c r="N13" s="309"/>
      <c r="O13" s="309"/>
      <c r="P13" s="309"/>
      <c r="Q13" s="309"/>
      <c r="R13" s="309"/>
      <c r="S13" s="309"/>
      <c r="T13" s="309"/>
      <c r="U13" s="309"/>
      <c r="V13" s="309"/>
    </row>
    <row r="14" spans="1:22" s="136" customFormat="1">
      <c r="A14" s="356" t="str">
        <f>'1-συμβολαια'!A14</f>
        <v>9ο</v>
      </c>
      <c r="B14" s="337" t="str">
        <f>'1-συμβολαια'!C14</f>
        <v xml:space="preserve">γονική ΒΑΣΕΙ 1.113 προσυμφώνου </v>
      </c>
      <c r="C14" s="308"/>
      <c r="D14" s="338"/>
      <c r="E14" s="338"/>
      <c r="F14" s="309"/>
      <c r="G14" s="309"/>
      <c r="H14" s="434"/>
      <c r="I14" s="435"/>
      <c r="J14" s="435"/>
      <c r="K14" s="435"/>
      <c r="L14" s="435"/>
      <c r="M14" s="435"/>
      <c r="N14" s="309"/>
      <c r="O14" s="309"/>
      <c r="P14" s="309"/>
      <c r="Q14" s="309"/>
      <c r="R14" s="309"/>
      <c r="S14" s="309"/>
      <c r="T14" s="309"/>
      <c r="U14" s="309"/>
      <c r="V14" s="309"/>
    </row>
    <row r="15" spans="1:22" s="136" customFormat="1">
      <c r="A15" s="437" t="str">
        <f>'1-συμβολαια'!A15</f>
        <v>10ο</v>
      </c>
      <c r="B15" s="337" t="str">
        <f>'1-συμβολαια'!C15</f>
        <v>δωρεά  ΒΑΣΕΙ 1.114 προσυμφώνου</v>
      </c>
      <c r="C15" s="308"/>
      <c r="D15" s="338"/>
      <c r="E15" s="338"/>
      <c r="F15" s="309"/>
      <c r="G15" s="309"/>
      <c r="H15" s="434"/>
      <c r="I15" s="435"/>
      <c r="J15" s="435"/>
      <c r="K15" s="435"/>
      <c r="L15" s="435"/>
      <c r="M15" s="435"/>
      <c r="N15" s="309"/>
      <c r="O15" s="309"/>
      <c r="P15" s="309"/>
      <c r="Q15" s="309"/>
      <c r="R15" s="309"/>
      <c r="S15" s="309"/>
      <c r="T15" s="309"/>
      <c r="U15" s="309"/>
      <c r="V15" s="309"/>
    </row>
    <row r="16" spans="1:22" s="136" customFormat="1">
      <c r="A16" s="437">
        <f>'1-συμβολαια'!A16</f>
        <v>0</v>
      </c>
      <c r="B16" s="337" t="str">
        <f>'1-συμβολαια'!C16</f>
        <v xml:space="preserve">κάθετος ΣΥΣΤΑΣΗ </v>
      </c>
      <c r="C16" s="308"/>
      <c r="D16" s="338"/>
      <c r="E16" s="338">
        <f t="shared" si="0"/>
        <v>0</v>
      </c>
      <c r="F16" s="309"/>
      <c r="G16" s="309"/>
      <c r="H16" s="434"/>
      <c r="I16" s="435"/>
      <c r="J16" s="435"/>
      <c r="K16" s="435"/>
      <c r="L16" s="435"/>
      <c r="M16" s="435"/>
      <c r="N16" s="309"/>
      <c r="O16" s="309"/>
      <c r="P16" s="309"/>
      <c r="Q16" s="309"/>
      <c r="R16" s="309"/>
      <c r="S16" s="309"/>
      <c r="T16" s="309"/>
      <c r="U16" s="309"/>
      <c r="V16" s="309"/>
    </row>
    <row r="17" spans="1:22" ht="15.75">
      <c r="A17" s="643" t="s">
        <v>47</v>
      </c>
      <c r="B17" s="644"/>
      <c r="C17" s="107">
        <f>SUM(C3:C13)</f>
        <v>109027.24679999999</v>
      </c>
      <c r="D17" s="107">
        <f>SUM(D3:D13)</f>
        <v>0</v>
      </c>
      <c r="E17" s="107">
        <f>SUM(E3:E13)</f>
        <v>109027.24679999999</v>
      </c>
      <c r="I17" s="69">
        <f t="shared" ref="I17:T17" si="1">SUM(I3:I13)</f>
        <v>2</v>
      </c>
      <c r="J17" s="69">
        <f t="shared" si="1"/>
        <v>0</v>
      </c>
      <c r="K17" s="69">
        <f t="shared" si="1"/>
        <v>0</v>
      </c>
      <c r="L17" s="69">
        <f t="shared" si="1"/>
        <v>0</v>
      </c>
      <c r="M17" s="69">
        <f t="shared" si="1"/>
        <v>1</v>
      </c>
      <c r="N17" s="69">
        <f t="shared" si="1"/>
        <v>0</v>
      </c>
      <c r="O17" s="69">
        <f t="shared" si="1"/>
        <v>0</v>
      </c>
      <c r="P17" s="69">
        <f t="shared" si="1"/>
        <v>0</v>
      </c>
      <c r="Q17" s="69">
        <f t="shared" si="1"/>
        <v>0</v>
      </c>
      <c r="R17" s="69">
        <f t="shared" si="1"/>
        <v>0</v>
      </c>
      <c r="S17" s="69">
        <f t="shared" si="1"/>
        <v>0</v>
      </c>
      <c r="T17" s="69">
        <f t="shared" si="1"/>
        <v>0</v>
      </c>
    </row>
    <row r="18" spans="1:22">
      <c r="F18" s="118"/>
      <c r="G18" s="118"/>
      <c r="H18" s="118"/>
      <c r="I18" s="118"/>
      <c r="J18" s="118"/>
      <c r="K18" s="118"/>
      <c r="L18" s="118"/>
      <c r="M18" s="118"/>
      <c r="N18" s="118"/>
      <c r="O18" s="118"/>
      <c r="P18" s="118"/>
      <c r="Q18" s="118"/>
      <c r="R18" s="118"/>
      <c r="S18" s="118"/>
      <c r="T18" s="118"/>
      <c r="U18" s="118"/>
    </row>
    <row r="19" spans="1:22" ht="15.75">
      <c r="F19" s="153" t="s">
        <v>243</v>
      </c>
      <c r="G19" s="124"/>
      <c r="H19" s="293"/>
      <c r="I19" s="293"/>
      <c r="J19" s="293"/>
      <c r="K19" s="293"/>
      <c r="L19" s="293"/>
      <c r="M19" s="293"/>
      <c r="N19" s="293"/>
      <c r="O19" s="293"/>
      <c r="P19" s="293"/>
      <c r="Q19" s="293"/>
      <c r="R19" s="293"/>
      <c r="S19" s="293"/>
      <c r="T19" s="293"/>
      <c r="U19" s="293"/>
      <c r="V19" s="294"/>
    </row>
    <row r="20" spans="1:22" ht="15.75">
      <c r="F20" s="295"/>
      <c r="G20" s="139" t="s">
        <v>244</v>
      </c>
      <c r="H20" s="293"/>
      <c r="I20" s="293"/>
      <c r="J20" s="293"/>
      <c r="K20" s="293"/>
      <c r="L20" s="293"/>
      <c r="M20" s="293"/>
      <c r="N20" s="293"/>
      <c r="O20" s="293"/>
      <c r="P20" s="293"/>
      <c r="Q20" s="293"/>
      <c r="R20" s="293"/>
      <c r="S20" s="293"/>
      <c r="T20" s="293"/>
      <c r="U20" s="293"/>
      <c r="V20" s="294"/>
    </row>
    <row r="21" spans="1:22" ht="15.75">
      <c r="F21" s="294"/>
      <c r="G21" s="294"/>
      <c r="H21" s="153" t="s">
        <v>245</v>
      </c>
      <c r="I21" s="124"/>
      <c r="J21" s="124"/>
      <c r="K21" s="124"/>
      <c r="L21" s="293"/>
      <c r="M21" s="293"/>
      <c r="N21" s="293"/>
      <c r="O21" s="293"/>
      <c r="P21" s="293"/>
      <c r="Q21" s="293"/>
      <c r="R21" s="293"/>
      <c r="S21" s="293"/>
      <c r="T21" s="293"/>
      <c r="U21" s="293"/>
      <c r="V21" s="294"/>
    </row>
    <row r="22" spans="1:22" ht="15.75">
      <c r="F22" s="294"/>
      <c r="G22" s="295"/>
      <c r="H22" s="294"/>
      <c r="I22" s="139" t="s">
        <v>265</v>
      </c>
      <c r="J22" s="139"/>
      <c r="K22" s="139"/>
      <c r="L22" s="296"/>
      <c r="M22" s="296"/>
      <c r="N22" s="296"/>
      <c r="O22" s="296"/>
      <c r="P22" s="296"/>
      <c r="Q22" s="296"/>
      <c r="R22" s="296"/>
      <c r="S22" s="296"/>
      <c r="T22" s="296"/>
      <c r="U22" s="293"/>
      <c r="V22" s="294"/>
    </row>
    <row r="23" spans="1:22" ht="15.75">
      <c r="F23" s="294"/>
      <c r="G23" s="295"/>
      <c r="H23" s="294"/>
      <c r="I23" s="139"/>
      <c r="J23" s="153" t="s">
        <v>477</v>
      </c>
      <c r="K23" s="139"/>
      <c r="L23" s="296"/>
      <c r="M23" s="296"/>
      <c r="N23" s="296"/>
      <c r="O23" s="296"/>
      <c r="P23" s="296"/>
      <c r="Q23" s="296"/>
      <c r="R23" s="296"/>
      <c r="S23" s="296"/>
      <c r="T23" s="296"/>
      <c r="U23" s="293"/>
      <c r="V23" s="294"/>
    </row>
    <row r="24" spans="1:22" ht="15.75">
      <c r="F24" s="294"/>
      <c r="G24" s="295"/>
      <c r="H24" s="294"/>
      <c r="I24" s="139"/>
      <c r="J24" s="139"/>
      <c r="K24" s="139" t="s">
        <v>478</v>
      </c>
      <c r="L24" s="296"/>
      <c r="M24" s="296"/>
      <c r="N24" s="296"/>
      <c r="O24" s="296"/>
      <c r="P24" s="296"/>
      <c r="Q24" s="296"/>
      <c r="R24" s="296"/>
      <c r="S24" s="296"/>
      <c r="T24" s="296"/>
      <c r="U24" s="293"/>
      <c r="V24" s="294"/>
    </row>
    <row r="25" spans="1:22" ht="15.75">
      <c r="F25" s="294"/>
      <c r="G25" s="294"/>
      <c r="H25" s="293"/>
      <c r="I25" s="296"/>
      <c r="J25" s="296"/>
      <c r="K25" s="296"/>
      <c r="L25" s="153" t="s">
        <v>479</v>
      </c>
      <c r="M25" s="296"/>
      <c r="N25" s="296"/>
      <c r="O25" s="296"/>
      <c r="P25" s="296"/>
      <c r="Q25" s="296"/>
      <c r="R25" s="296"/>
      <c r="S25" s="296"/>
      <c r="T25" s="296"/>
      <c r="U25" s="293"/>
      <c r="V25" s="294"/>
    </row>
    <row r="26" spans="1:22" ht="15.75">
      <c r="B26" s="130"/>
      <c r="C26" s="105">
        <f>SUM(C18:C19)</f>
        <v>0</v>
      </c>
      <c r="F26" s="293"/>
      <c r="G26" s="293"/>
      <c r="H26" s="293"/>
      <c r="I26" s="296"/>
      <c r="J26" s="296"/>
      <c r="K26" s="296"/>
      <c r="L26" s="296"/>
      <c r="M26" s="139" t="s">
        <v>266</v>
      </c>
      <c r="N26" s="296"/>
      <c r="O26" s="296"/>
      <c r="P26" s="296"/>
      <c r="Q26" s="296"/>
      <c r="R26" s="296"/>
      <c r="S26" s="296"/>
      <c r="T26" s="296"/>
      <c r="U26" s="293"/>
      <c r="V26" s="294"/>
    </row>
    <row r="27" spans="1:22" ht="15.75">
      <c r="B27" s="131"/>
      <c r="F27" s="294"/>
      <c r="G27" s="294"/>
      <c r="H27" s="293"/>
      <c r="I27" s="296"/>
      <c r="J27" s="296"/>
      <c r="K27" s="296"/>
      <c r="L27" s="296"/>
      <c r="M27" s="296"/>
      <c r="N27" s="153" t="s">
        <v>480</v>
      </c>
      <c r="O27" s="296"/>
      <c r="P27" s="296"/>
      <c r="Q27" s="296"/>
      <c r="R27" s="296"/>
      <c r="S27" s="296"/>
      <c r="T27" s="296"/>
      <c r="U27" s="293"/>
      <c r="V27" s="294"/>
    </row>
    <row r="28" spans="1:22" ht="15.75">
      <c r="F28" s="294"/>
      <c r="G28" s="294"/>
      <c r="H28" s="293"/>
      <c r="I28" s="296"/>
      <c r="J28" s="296"/>
      <c r="K28" s="296"/>
      <c r="L28" s="296"/>
      <c r="M28" s="296"/>
      <c r="N28" s="296"/>
      <c r="O28" s="139" t="s">
        <v>481</v>
      </c>
      <c r="P28" s="296"/>
      <c r="Q28" s="296"/>
      <c r="R28" s="296"/>
      <c r="S28" s="296"/>
      <c r="T28" s="296"/>
      <c r="U28" s="293"/>
      <c r="V28" s="294"/>
    </row>
    <row r="29" spans="1:22" ht="15.75">
      <c r="F29" s="294"/>
      <c r="G29" s="294"/>
      <c r="H29" s="293"/>
      <c r="I29" s="296"/>
      <c r="J29" s="296"/>
      <c r="K29" s="296"/>
      <c r="L29" s="296"/>
      <c r="M29" s="296"/>
      <c r="N29" s="296"/>
      <c r="O29" s="296"/>
      <c r="P29" s="153" t="s">
        <v>267</v>
      </c>
      <c r="Q29" s="296"/>
      <c r="R29" s="296"/>
      <c r="S29" s="296"/>
      <c r="T29" s="296"/>
      <c r="U29" s="293"/>
      <c r="V29" s="294"/>
    </row>
    <row r="30" spans="1:22" ht="15.75">
      <c r="F30" s="294"/>
      <c r="G30" s="294"/>
      <c r="H30" s="293"/>
      <c r="I30" s="296"/>
      <c r="J30" s="296"/>
      <c r="K30" s="296"/>
      <c r="L30" s="296"/>
      <c r="M30" s="296"/>
      <c r="N30" s="296"/>
      <c r="O30" s="296"/>
      <c r="P30" s="296"/>
      <c r="Q30" s="139" t="s">
        <v>268</v>
      </c>
      <c r="R30" s="139"/>
      <c r="S30" s="139"/>
      <c r="T30" s="296"/>
      <c r="U30" s="293"/>
      <c r="V30" s="294"/>
    </row>
    <row r="31" spans="1:22" ht="15.75">
      <c r="F31" s="294"/>
      <c r="G31" s="294"/>
      <c r="H31" s="293"/>
      <c r="I31" s="296"/>
      <c r="J31" s="296"/>
      <c r="K31" s="296"/>
      <c r="L31" s="296"/>
      <c r="M31" s="296"/>
      <c r="N31" s="296"/>
      <c r="O31" s="296"/>
      <c r="P31" s="296"/>
      <c r="Q31" s="296"/>
      <c r="R31" s="153" t="s">
        <v>269</v>
      </c>
      <c r="S31" s="296"/>
      <c r="T31" s="296"/>
      <c r="U31" s="293"/>
      <c r="V31" s="294"/>
    </row>
    <row r="32" spans="1:22" ht="15.75">
      <c r="F32" s="294"/>
      <c r="G32" s="294"/>
      <c r="H32" s="293"/>
      <c r="I32" s="296"/>
      <c r="J32" s="296"/>
      <c r="K32" s="296"/>
      <c r="L32" s="296"/>
      <c r="M32" s="296"/>
      <c r="N32" s="296"/>
      <c r="O32" s="296"/>
      <c r="P32" s="296"/>
      <c r="Q32" s="296"/>
      <c r="R32" s="296"/>
      <c r="S32" s="139" t="s">
        <v>270</v>
      </c>
      <c r="T32" s="296"/>
      <c r="U32" s="293"/>
      <c r="V32" s="294"/>
    </row>
    <row r="33" spans="6:22" ht="15.75">
      <c r="F33" s="294"/>
      <c r="G33" s="294"/>
      <c r="H33" s="293"/>
      <c r="I33" s="296"/>
      <c r="J33" s="296"/>
      <c r="K33" s="296"/>
      <c r="L33" s="296"/>
      <c r="M33" s="296"/>
      <c r="N33" s="296"/>
      <c r="O33" s="296"/>
      <c r="P33" s="296"/>
      <c r="Q33" s="296"/>
      <c r="R33" s="296"/>
      <c r="S33" s="296"/>
      <c r="T33" s="153" t="s">
        <v>482</v>
      </c>
      <c r="U33" s="293"/>
      <c r="V33" s="294"/>
    </row>
    <row r="34" spans="6:22">
      <c r="F34" s="294"/>
      <c r="G34" s="294"/>
      <c r="H34" s="293"/>
      <c r="I34" s="293"/>
      <c r="J34" s="293"/>
      <c r="K34" s="293"/>
      <c r="L34" s="293"/>
      <c r="M34" s="293"/>
      <c r="N34" s="293"/>
      <c r="O34" s="293"/>
      <c r="P34" s="293"/>
      <c r="Q34" s="293"/>
      <c r="R34" s="293"/>
      <c r="S34" s="293"/>
      <c r="T34" s="293"/>
      <c r="U34" s="293"/>
      <c r="V34" s="294"/>
    </row>
    <row r="35" spans="6:22">
      <c r="H35" s="118"/>
      <c r="I35" s="118"/>
      <c r="J35" s="118"/>
      <c r="K35" s="118"/>
      <c r="L35" s="118"/>
      <c r="M35" s="118"/>
      <c r="N35" s="118"/>
      <c r="O35" s="118"/>
      <c r="P35" s="118"/>
      <c r="Q35" s="118"/>
      <c r="R35" s="118"/>
      <c r="S35" s="118"/>
      <c r="T35" s="118"/>
      <c r="U35" s="118"/>
    </row>
    <row r="36" spans="6:22">
      <c r="H36" s="118"/>
      <c r="I36" s="118"/>
      <c r="J36" s="118"/>
      <c r="K36" s="118"/>
      <c r="L36" s="118"/>
      <c r="M36" s="118"/>
      <c r="N36" s="118"/>
      <c r="O36" s="118"/>
      <c r="P36" s="118"/>
      <c r="Q36" s="118"/>
      <c r="R36" s="118"/>
      <c r="S36" s="118"/>
      <c r="T36" s="118"/>
      <c r="U36" s="118"/>
    </row>
    <row r="37" spans="6:22">
      <c r="H37" s="118"/>
      <c r="I37" s="118"/>
      <c r="J37" s="118"/>
      <c r="K37" s="118"/>
      <c r="L37" s="118"/>
      <c r="M37" s="118"/>
      <c r="N37" s="118"/>
      <c r="O37" s="118"/>
      <c r="P37" s="118"/>
      <c r="Q37" s="118"/>
      <c r="R37" s="118"/>
      <c r="S37" s="118"/>
      <c r="T37" s="118"/>
      <c r="U37" s="118"/>
    </row>
    <row r="38" spans="6:22"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</row>
    <row r="39" spans="6:22"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</row>
    <row r="40" spans="6:22"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</row>
    <row r="41" spans="6:22">
      <c r="H41" s="118"/>
      <c r="I41" s="118"/>
      <c r="J41" s="118"/>
      <c r="K41" s="118"/>
      <c r="L41" s="118"/>
      <c r="M41" s="118"/>
      <c r="N41" s="118"/>
      <c r="O41" s="118"/>
      <c r="P41" s="118"/>
      <c r="Q41" s="118"/>
      <c r="R41" s="118"/>
      <c r="S41" s="118"/>
      <c r="T41" s="118"/>
      <c r="U41" s="118"/>
    </row>
    <row r="42" spans="6:22"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8"/>
    </row>
    <row r="43" spans="6:22">
      <c r="H43" s="118"/>
      <c r="I43" s="118"/>
      <c r="J43" s="118"/>
      <c r="K43" s="118"/>
      <c r="L43" s="118"/>
      <c r="M43" s="118"/>
      <c r="N43" s="118"/>
      <c r="O43" s="118"/>
      <c r="P43" s="118"/>
      <c r="Q43" s="118"/>
      <c r="R43" s="118"/>
      <c r="S43" s="118"/>
      <c r="T43" s="118"/>
      <c r="U43" s="118"/>
    </row>
    <row r="44" spans="6:22">
      <c r="H44" s="118"/>
      <c r="I44" s="118"/>
      <c r="J44" s="118"/>
      <c r="K44" s="118"/>
      <c r="L44" s="118"/>
      <c r="M44" s="118"/>
      <c r="N44" s="118"/>
      <c r="O44" s="118"/>
      <c r="P44" s="118"/>
      <c r="Q44" s="118"/>
      <c r="R44" s="118"/>
      <c r="S44" s="118"/>
      <c r="T44" s="118"/>
      <c r="U44" s="118"/>
    </row>
    <row r="45" spans="6:22">
      <c r="H45" s="118"/>
      <c r="I45" s="118"/>
      <c r="J45" s="118"/>
      <c r="K45" s="118"/>
      <c r="L45" s="118"/>
      <c r="M45" s="118"/>
      <c r="N45" s="118"/>
      <c r="O45" s="118"/>
      <c r="P45" s="118"/>
      <c r="Q45" s="118"/>
      <c r="R45" s="118"/>
      <c r="S45" s="118"/>
      <c r="T45" s="118"/>
      <c r="U45" s="118"/>
    </row>
    <row r="46" spans="6:22">
      <c r="H46" s="118"/>
      <c r="I46" s="118"/>
      <c r="J46" s="118"/>
      <c r="K46" s="118"/>
      <c r="L46" s="118"/>
      <c r="M46" s="118"/>
      <c r="N46" s="118"/>
      <c r="O46" s="118"/>
      <c r="P46" s="118"/>
      <c r="Q46" s="118"/>
      <c r="R46" s="118"/>
      <c r="S46" s="118"/>
      <c r="T46" s="118"/>
      <c r="U46" s="118"/>
    </row>
  </sheetData>
  <mergeCells count="5">
    <mergeCell ref="A1:A2"/>
    <mergeCell ref="B1:B2"/>
    <mergeCell ref="C1:E1"/>
    <mergeCell ref="A17:B17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41"/>
  <sheetViews>
    <sheetView workbookViewId="0">
      <pane ySplit="2" topLeftCell="A3" activePane="bottomLeft" state="frozen"/>
      <selection pane="bottomLeft" activeCell="A28" sqref="A28"/>
    </sheetView>
  </sheetViews>
  <sheetFormatPr defaultRowHeight="11.25"/>
  <cols>
    <col min="1" max="1" width="9" style="8" customWidth="1"/>
    <col min="2" max="2" width="50.28515625" style="141" customWidth="1"/>
    <col min="3" max="3" width="11.140625" style="2" bestFit="1" customWidth="1"/>
    <col min="4" max="4" width="10.28515625" style="2" bestFit="1" customWidth="1"/>
    <col min="5" max="6" width="10.28515625" style="82" bestFit="1" customWidth="1"/>
    <col min="7" max="7" width="10.7109375" style="82" customWidth="1"/>
    <col min="8" max="8" width="11.140625" style="82" bestFit="1" customWidth="1"/>
    <col min="9" max="9" width="7.85546875" style="82" customWidth="1"/>
    <col min="10" max="10" width="10.28515625" style="82" customWidth="1"/>
    <col min="11" max="11" width="8.28515625" style="82" customWidth="1"/>
    <col min="12" max="12" width="8.85546875" style="82" customWidth="1"/>
    <col min="13" max="14" width="7.140625" style="82" customWidth="1"/>
    <col min="15" max="15" width="8.7109375" style="82" customWidth="1"/>
    <col min="16" max="16" width="8.5703125" style="82" customWidth="1"/>
    <col min="17" max="17" width="8.140625" style="82" customWidth="1"/>
    <col min="18" max="18" width="7.140625" style="82" customWidth="1"/>
    <col min="19" max="19" width="8.28515625" style="82" customWidth="1"/>
    <col min="20" max="22" width="7.140625" style="82" customWidth="1"/>
    <col min="23" max="23" width="6.140625" style="82" customWidth="1"/>
    <col min="24" max="24" width="7.140625" style="82" customWidth="1"/>
    <col min="25" max="28" width="6.140625" style="82" customWidth="1"/>
    <col min="29" max="29" width="9" style="82" bestFit="1" customWidth="1"/>
    <col min="30" max="30" width="16.28515625" style="82" customWidth="1"/>
    <col min="31" max="31" width="8.85546875" style="82" customWidth="1"/>
    <col min="32" max="32" width="7.140625" style="82" customWidth="1"/>
    <col min="33" max="33" width="8.140625" style="82" customWidth="1"/>
    <col min="34" max="34" width="7.7109375" style="82" customWidth="1"/>
    <col min="35" max="35" width="7" style="82" customWidth="1"/>
    <col min="36" max="36" width="6.140625" style="82" customWidth="1"/>
    <col min="37" max="41" width="7.85546875" style="82" customWidth="1"/>
    <col min="42" max="43" width="6.140625" style="82" customWidth="1"/>
    <col min="44" max="44" width="8.28515625" style="82" customWidth="1"/>
    <col min="45" max="45" width="8.42578125" style="82" customWidth="1"/>
    <col min="46" max="46" width="6.140625" style="82" customWidth="1"/>
    <col min="47" max="47" width="10.140625" style="82" customWidth="1"/>
    <col min="48" max="49" width="6.140625" style="82" customWidth="1"/>
    <col min="50" max="50" width="8" style="82" customWidth="1"/>
    <col min="51" max="52" width="6.140625" style="82" customWidth="1"/>
    <col min="53" max="53" width="7.42578125" style="82" customWidth="1"/>
    <col min="54" max="54" width="8.5703125" style="82" customWidth="1"/>
    <col min="55" max="61" width="6.140625" style="82" customWidth="1"/>
    <col min="62" max="62" width="8.140625" style="82" customWidth="1"/>
    <col min="63" max="64" width="6.140625" style="82" customWidth="1"/>
    <col min="65" max="65" width="5.5703125" style="82" customWidth="1"/>
    <col min="66" max="66" width="10.5703125" style="370" customWidth="1"/>
    <col min="67" max="72" width="10.5703125" style="82" customWidth="1"/>
    <col min="73" max="74" width="12.42578125" style="83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597" t="s">
        <v>1</v>
      </c>
      <c r="B1" s="781" t="s">
        <v>0</v>
      </c>
      <c r="C1" s="784" t="s">
        <v>94</v>
      </c>
      <c r="D1" s="785"/>
      <c r="E1" s="772" t="s">
        <v>95</v>
      </c>
      <c r="F1" s="772"/>
      <c r="G1" s="772"/>
      <c r="H1" s="773" t="s">
        <v>175</v>
      </c>
      <c r="I1" s="773"/>
      <c r="J1" s="772" t="s">
        <v>179</v>
      </c>
      <c r="K1" s="772"/>
      <c r="L1" s="772"/>
      <c r="M1" s="772"/>
      <c r="N1" s="772"/>
      <c r="O1" s="772"/>
      <c r="P1" s="772"/>
      <c r="Q1" s="772"/>
      <c r="R1" s="772"/>
      <c r="S1" s="772"/>
      <c r="T1" s="772"/>
      <c r="U1" s="772"/>
      <c r="V1" s="772"/>
      <c r="W1" s="772"/>
      <c r="X1" s="772"/>
      <c r="Y1" s="772"/>
      <c r="Z1" s="772"/>
      <c r="AA1" s="772"/>
      <c r="AB1" s="772"/>
      <c r="AC1" s="772"/>
      <c r="AD1" s="772"/>
      <c r="AE1" s="783" t="s">
        <v>180</v>
      </c>
      <c r="AF1" s="783"/>
      <c r="AG1" s="783"/>
      <c r="AH1" s="783"/>
      <c r="AI1" s="783"/>
      <c r="AJ1" s="783"/>
      <c r="AK1" s="783"/>
      <c r="AL1" s="783"/>
      <c r="AM1" s="783"/>
      <c r="AN1" s="783"/>
      <c r="AO1" s="783"/>
      <c r="AP1" s="783"/>
      <c r="AQ1" s="783"/>
      <c r="AR1" s="783"/>
      <c r="AS1" s="774" t="s">
        <v>196</v>
      </c>
      <c r="AT1" s="775"/>
      <c r="AU1" s="775"/>
      <c r="AV1" s="775"/>
      <c r="AW1" s="775"/>
      <c r="AX1" s="776"/>
      <c r="AY1" s="777" t="s">
        <v>200</v>
      </c>
      <c r="AZ1" s="778"/>
      <c r="BA1" s="778"/>
      <c r="BB1" s="779"/>
      <c r="BC1" s="780" t="s">
        <v>188</v>
      </c>
      <c r="BD1" s="780"/>
      <c r="BE1" s="780"/>
      <c r="BF1" s="780"/>
      <c r="BG1" s="780"/>
      <c r="BH1" s="780"/>
      <c r="BI1" s="780"/>
      <c r="BJ1" s="780"/>
      <c r="BK1" s="780"/>
      <c r="BL1" s="780"/>
      <c r="BM1" s="780"/>
      <c r="BN1" s="780"/>
      <c r="BO1" s="786" t="s">
        <v>517</v>
      </c>
      <c r="BP1" s="787"/>
      <c r="BQ1" s="787"/>
      <c r="BR1" s="787"/>
      <c r="BS1" s="787"/>
      <c r="BT1" s="788"/>
      <c r="BU1" s="769" t="s">
        <v>292</v>
      </c>
      <c r="BV1" s="769"/>
      <c r="BW1" s="769"/>
    </row>
    <row r="2" spans="1:75" ht="23.25" thickBot="1">
      <c r="A2" s="598"/>
      <c r="B2" s="782"/>
      <c r="C2" s="161"/>
      <c r="D2" s="181" t="s">
        <v>92</v>
      </c>
      <c r="E2" s="144"/>
      <c r="F2" s="182" t="s">
        <v>92</v>
      </c>
      <c r="G2" s="143" t="s">
        <v>174</v>
      </c>
      <c r="H2" s="144"/>
      <c r="I2" s="210" t="s">
        <v>92</v>
      </c>
      <c r="J2" s="144" t="s">
        <v>246</v>
      </c>
      <c r="K2" s="144" t="s">
        <v>247</v>
      </c>
      <c r="L2" s="144" t="s">
        <v>248</v>
      </c>
      <c r="M2" s="144" t="s">
        <v>249</v>
      </c>
      <c r="N2" s="144" t="s">
        <v>250</v>
      </c>
      <c r="O2" s="144" t="s">
        <v>499</v>
      </c>
      <c r="P2" s="144" t="s">
        <v>251</v>
      </c>
      <c r="Q2" s="144" t="s">
        <v>465</v>
      </c>
      <c r="R2" s="144" t="s">
        <v>466</v>
      </c>
      <c r="S2" s="144" t="s">
        <v>493</v>
      </c>
      <c r="T2" s="144" t="s">
        <v>502</v>
      </c>
      <c r="U2" s="144" t="s">
        <v>252</v>
      </c>
      <c r="V2" s="144" t="s">
        <v>253</v>
      </c>
      <c r="W2" s="144" t="s">
        <v>254</v>
      </c>
      <c r="X2" s="144" t="s">
        <v>285</v>
      </c>
      <c r="Y2" s="144" t="s">
        <v>283</v>
      </c>
      <c r="Z2" s="144" t="s">
        <v>284</v>
      </c>
      <c r="AA2" s="144"/>
      <c r="AB2" s="144"/>
      <c r="AC2" s="144" t="s">
        <v>47</v>
      </c>
      <c r="AD2" s="142" t="s">
        <v>29</v>
      </c>
      <c r="AE2" s="144" t="s">
        <v>181</v>
      </c>
      <c r="AF2" s="144" t="s">
        <v>182</v>
      </c>
      <c r="AG2" s="144" t="s">
        <v>183</v>
      </c>
      <c r="AH2" s="144" t="s">
        <v>185</v>
      </c>
      <c r="AI2" s="144" t="s">
        <v>186</v>
      </c>
      <c r="AJ2" s="144" t="s">
        <v>187</v>
      </c>
      <c r="AK2" s="144" t="s">
        <v>271</v>
      </c>
      <c r="AL2" s="144" t="s">
        <v>272</v>
      </c>
      <c r="AM2" s="144" t="s">
        <v>273</v>
      </c>
      <c r="AN2" s="144" t="s">
        <v>495</v>
      </c>
      <c r="AO2" s="144" t="s">
        <v>496</v>
      </c>
      <c r="AP2" s="144"/>
      <c r="AQ2" s="144"/>
      <c r="AR2" s="147" t="s">
        <v>47</v>
      </c>
      <c r="AS2" s="144" t="s">
        <v>193</v>
      </c>
      <c r="AT2" s="144" t="s">
        <v>194</v>
      </c>
      <c r="AU2" s="144" t="s">
        <v>197</v>
      </c>
      <c r="AV2" s="144" t="s">
        <v>195</v>
      </c>
      <c r="AW2" s="144" t="s">
        <v>199</v>
      </c>
      <c r="AX2" s="142" t="s">
        <v>47</v>
      </c>
      <c r="AY2" s="144" t="s">
        <v>204</v>
      </c>
      <c r="AZ2" s="144" t="s">
        <v>205</v>
      </c>
      <c r="BA2" s="144" t="s">
        <v>206</v>
      </c>
      <c r="BB2" s="145" t="s">
        <v>47</v>
      </c>
      <c r="BC2" s="144" t="s">
        <v>214</v>
      </c>
      <c r="BD2" s="144" t="s">
        <v>215</v>
      </c>
      <c r="BE2" s="144" t="s">
        <v>218</v>
      </c>
      <c r="BF2" s="144" t="s">
        <v>223</v>
      </c>
      <c r="BG2" s="144" t="s">
        <v>224</v>
      </c>
      <c r="BH2" s="144" t="s">
        <v>225</v>
      </c>
      <c r="BI2" s="144" t="s">
        <v>287</v>
      </c>
      <c r="BJ2" s="144" t="s">
        <v>288</v>
      </c>
      <c r="BK2" s="144" t="s">
        <v>483</v>
      </c>
      <c r="BL2" s="144" t="s">
        <v>484</v>
      </c>
      <c r="BM2" s="144"/>
      <c r="BN2" s="368" t="s">
        <v>47</v>
      </c>
      <c r="BO2" s="144"/>
      <c r="BP2" s="144"/>
      <c r="BQ2" s="144"/>
      <c r="BR2" s="144"/>
      <c r="BS2" s="144"/>
      <c r="BT2" s="147" t="s">
        <v>518</v>
      </c>
      <c r="BU2" s="440" t="s">
        <v>139</v>
      </c>
      <c r="BV2" s="441" t="s">
        <v>519</v>
      </c>
      <c r="BW2" s="179" t="s">
        <v>291</v>
      </c>
    </row>
    <row r="3" spans="1:75" s="5" customFormat="1">
      <c r="A3" s="319" t="str">
        <f>'1-συμβολαια'!A3</f>
        <v>1ο</v>
      </c>
      <c r="B3" s="339" t="str">
        <f>'1-συμβολαια'!C3</f>
        <v>γονικής ΠΡΟΣΥΜΦΩΝΟ</v>
      </c>
      <c r="C3" s="438">
        <f>'5-αντίγρ'!AN3</f>
        <v>0</v>
      </c>
      <c r="D3" s="438">
        <f>'5-αντίγρ'!AM3</f>
        <v>0</v>
      </c>
      <c r="E3" s="282">
        <f>'6-μεταγρ'!O3</f>
        <v>0</v>
      </c>
      <c r="F3" s="282">
        <f>'6-μεταγρ'!M3+'6-μεταγρ'!N3</f>
        <v>0</v>
      </c>
      <c r="G3" s="283">
        <f>'6-μεταγρ'!P3</f>
        <v>0</v>
      </c>
      <c r="H3" s="282">
        <f>'7-προςΔΟΥ'!U3</f>
        <v>0</v>
      </c>
      <c r="I3" s="282">
        <f>'7-προςΔΟΥ'!K3</f>
        <v>0</v>
      </c>
      <c r="J3" s="281"/>
      <c r="K3" s="281">
        <v>5100</v>
      </c>
      <c r="L3" s="281">
        <v>5100</v>
      </c>
      <c r="M3" s="281"/>
      <c r="N3" s="281"/>
      <c r="O3" s="281"/>
      <c r="P3" s="281"/>
      <c r="Q3" s="281"/>
      <c r="R3" s="281"/>
      <c r="S3" s="281"/>
      <c r="T3" s="281"/>
      <c r="U3" s="281"/>
      <c r="V3" s="281"/>
      <c r="W3" s="281"/>
      <c r="X3" s="281"/>
      <c r="Y3" s="281"/>
      <c r="Z3" s="281"/>
      <c r="AA3" s="281"/>
      <c r="AB3" s="281"/>
      <c r="AC3" s="281">
        <f t="shared" ref="AC3" si="0">SUM(J3:AB3)-W3-Y3</f>
        <v>10200</v>
      </c>
      <c r="AD3" s="281"/>
      <c r="AE3" s="281">
        <v>2200</v>
      </c>
      <c r="AF3" s="281"/>
      <c r="AG3" s="281">
        <v>2200</v>
      </c>
      <c r="AH3" s="281"/>
      <c r="AI3" s="281"/>
      <c r="AJ3" s="281"/>
      <c r="AK3" s="281"/>
      <c r="AL3" s="281"/>
      <c r="AM3" s="281"/>
      <c r="AN3" s="281"/>
      <c r="AO3" s="281"/>
      <c r="AP3" s="281"/>
      <c r="AQ3" s="281"/>
      <c r="AR3" s="281">
        <f t="shared" ref="AR3" si="1">SUM(AE3:AQ3)</f>
        <v>4400</v>
      </c>
      <c r="AS3" s="281">
        <f>2*1100+2000</f>
        <v>4200</v>
      </c>
      <c r="AT3" s="281"/>
      <c r="AU3" s="281">
        <f>2*1100+2000</f>
        <v>4200</v>
      </c>
      <c r="AV3" s="281"/>
      <c r="AW3" s="281"/>
      <c r="AX3" s="281">
        <f t="shared" ref="AX3" si="2">SUM(AS3:AW3)</f>
        <v>8400</v>
      </c>
      <c r="AY3" s="281"/>
      <c r="AZ3" s="281"/>
      <c r="BA3" s="281"/>
      <c r="BB3" s="281">
        <f t="shared" ref="BB3" si="3">SUM(AY3:BA3)</f>
        <v>0</v>
      </c>
      <c r="BC3" s="281"/>
      <c r="BD3" s="281"/>
      <c r="BE3" s="281"/>
      <c r="BF3" s="281"/>
      <c r="BG3" s="281"/>
      <c r="BH3" s="281"/>
      <c r="BI3" s="281"/>
      <c r="BJ3" s="281"/>
      <c r="BK3" s="281"/>
      <c r="BL3" s="281">
        <v>100</v>
      </c>
      <c r="BM3" s="278"/>
      <c r="BN3" s="281">
        <f t="shared" ref="BN3" si="4">SUM(BC3:BM3)-BJ3</f>
        <v>100</v>
      </c>
      <c r="BO3" s="283"/>
      <c r="BP3" s="283"/>
      <c r="BQ3" s="283"/>
      <c r="BR3" s="283"/>
      <c r="BS3" s="283"/>
      <c r="BT3" s="283">
        <f t="shared" ref="BT3" si="5">SUM(BO3:BS3)</f>
        <v>0</v>
      </c>
      <c r="BU3" s="283">
        <f t="shared" ref="BU3" si="6">C3+E3+H3+AC3-W3-Y3+AR3+AX3+BB3+BN3-BJ3+BT3-BS3</f>
        <v>23100</v>
      </c>
      <c r="BV3" s="283">
        <f t="shared" ref="BV3" si="7">D3+F3+I3+W3+Y3+BJ3+BS3</f>
        <v>0</v>
      </c>
      <c r="BW3" s="329"/>
    </row>
    <row r="4" spans="1:75" s="5" customFormat="1">
      <c r="A4" s="319" t="str">
        <f>'1-συμβολαια'!A4</f>
        <v>2ο</v>
      </c>
      <c r="B4" s="339" t="str">
        <f>'1-συμβολαια'!C4</f>
        <v>δωρεάς ΠΡΟΣΥΜΦΩΝΟ</v>
      </c>
      <c r="C4" s="438">
        <f>'5-αντίγρ'!AN4</f>
        <v>0</v>
      </c>
      <c r="D4" s="438">
        <f>'5-αντίγρ'!AM4</f>
        <v>0</v>
      </c>
      <c r="E4" s="282">
        <f>'6-μεταγρ'!O4</f>
        <v>0</v>
      </c>
      <c r="F4" s="282">
        <f>'6-μεταγρ'!M4+'6-μεταγρ'!N4</f>
        <v>0</v>
      </c>
      <c r="G4" s="283">
        <f>'6-μεταγρ'!P4</f>
        <v>0</v>
      </c>
      <c r="H4" s="282">
        <f>'7-προςΔΟΥ'!U4</f>
        <v>0</v>
      </c>
      <c r="I4" s="282">
        <f>'7-προςΔΟΥ'!K4</f>
        <v>0</v>
      </c>
      <c r="J4" s="281"/>
      <c r="K4" s="281">
        <v>5100</v>
      </c>
      <c r="L4" s="281">
        <v>5100</v>
      </c>
      <c r="M4" s="281"/>
      <c r="N4" s="281"/>
      <c r="O4" s="281"/>
      <c r="P4" s="281"/>
      <c r="Q4" s="281"/>
      <c r="R4" s="281"/>
      <c r="S4" s="281"/>
      <c r="T4" s="281"/>
      <c r="U4" s="281"/>
      <c r="V4" s="281"/>
      <c r="W4" s="281"/>
      <c r="X4" s="281"/>
      <c r="Y4" s="281"/>
      <c r="Z4" s="281"/>
      <c r="AA4" s="281"/>
      <c r="AB4" s="281"/>
      <c r="AC4" s="281">
        <f t="shared" ref="AC4:AC16" si="8">SUM(J4:AB4)-W4-Y4</f>
        <v>10200</v>
      </c>
      <c r="AD4" s="281"/>
      <c r="AE4" s="281">
        <v>2200</v>
      </c>
      <c r="AF4" s="281"/>
      <c r="AG4" s="281">
        <v>2200</v>
      </c>
      <c r="AH4" s="281"/>
      <c r="AI4" s="281"/>
      <c r="AJ4" s="281"/>
      <c r="AK4" s="281"/>
      <c r="AL4" s="281"/>
      <c r="AM4" s="281"/>
      <c r="AN4" s="281"/>
      <c r="AO4" s="281"/>
      <c r="AP4" s="281"/>
      <c r="AQ4" s="281"/>
      <c r="AR4" s="281">
        <f t="shared" ref="AR4:AR16" si="9">SUM(AE4:AQ4)</f>
        <v>4400</v>
      </c>
      <c r="AS4" s="281">
        <f t="shared" ref="AS4:AS14" si="10">2*1100+2000</f>
        <v>4200</v>
      </c>
      <c r="AT4" s="281"/>
      <c r="AU4" s="281">
        <f t="shared" ref="AU4:AU14" si="11">2*1100+2000</f>
        <v>4200</v>
      </c>
      <c r="AV4" s="281"/>
      <c r="AW4" s="281"/>
      <c r="AX4" s="281">
        <f t="shared" ref="AX4:AX16" si="12">SUM(AS4:AW4)</f>
        <v>8400</v>
      </c>
      <c r="AY4" s="281"/>
      <c r="AZ4" s="281"/>
      <c r="BA4" s="281"/>
      <c r="BB4" s="281">
        <f t="shared" ref="BB4:BB16" si="13">SUM(AY4:BA4)</f>
        <v>0</v>
      </c>
      <c r="BC4" s="281"/>
      <c r="BD4" s="281"/>
      <c r="BE4" s="281"/>
      <c r="BF4" s="281"/>
      <c r="BG4" s="281"/>
      <c r="BH4" s="281"/>
      <c r="BI4" s="281"/>
      <c r="BJ4" s="281"/>
      <c r="BK4" s="281"/>
      <c r="BL4" s="281">
        <v>150</v>
      </c>
      <c r="BM4" s="278"/>
      <c r="BN4" s="281">
        <f t="shared" ref="BN4:BN16" si="14">SUM(BC4:BM4)-BJ4</f>
        <v>150</v>
      </c>
      <c r="BO4" s="283"/>
      <c r="BP4" s="283"/>
      <c r="BQ4" s="283"/>
      <c r="BR4" s="283"/>
      <c r="BS4" s="283"/>
      <c r="BT4" s="283">
        <f t="shared" ref="BT4:BT16" si="15">SUM(BO4:BS4)</f>
        <v>0</v>
      </c>
      <c r="BU4" s="283">
        <f t="shared" ref="BU4:BU16" si="16">C4+E4+H4+AC4-W4-Y4+AR4+AX4+BB4+BN4-BJ4+BT4-BS4</f>
        <v>23150</v>
      </c>
      <c r="BV4" s="283">
        <f t="shared" ref="BV4:BV16" si="17">D4+F4+I4+W4+Y4+BJ4+BS4</f>
        <v>0</v>
      </c>
      <c r="BW4" s="329"/>
    </row>
    <row r="5" spans="1:75" s="5" customFormat="1">
      <c r="A5" s="319" t="str">
        <f>'1-συμβολαια'!A5</f>
        <v>3ο</v>
      </c>
      <c r="B5" s="339" t="str">
        <f>'1-συμβολαια'!C5</f>
        <v>δωρεάς ΠΡΟΣΥΜΦΩΝΟ [1ο όροφο 55,63μ2</v>
      </c>
      <c r="C5" s="438">
        <f>'5-αντίγρ'!AN5</f>
        <v>0</v>
      </c>
      <c r="D5" s="438">
        <f>'5-αντίγρ'!AM5</f>
        <v>0</v>
      </c>
      <c r="E5" s="282">
        <f>'6-μεταγρ'!O5</f>
        <v>0</v>
      </c>
      <c r="F5" s="282">
        <f>'6-μεταγρ'!M5+'6-μεταγρ'!N5</f>
        <v>0</v>
      </c>
      <c r="G5" s="283">
        <f>'6-μεταγρ'!P5</f>
        <v>0</v>
      </c>
      <c r="H5" s="282">
        <f>'7-προςΔΟΥ'!U5</f>
        <v>0</v>
      </c>
      <c r="I5" s="282">
        <f>'7-προςΔΟΥ'!K5</f>
        <v>0</v>
      </c>
      <c r="J5" s="281"/>
      <c r="K5" s="281">
        <v>5100</v>
      </c>
      <c r="L5" s="281">
        <v>5100</v>
      </c>
      <c r="M5" s="281"/>
      <c r="N5" s="281"/>
      <c r="O5" s="281"/>
      <c r="P5" s="281"/>
      <c r="Q5" s="281"/>
      <c r="R5" s="281"/>
      <c r="S5" s="281"/>
      <c r="T5" s="281"/>
      <c r="U5" s="281"/>
      <c r="V5" s="281"/>
      <c r="W5" s="281"/>
      <c r="X5" s="281"/>
      <c r="Y5" s="281"/>
      <c r="Z5" s="281"/>
      <c r="AA5" s="281"/>
      <c r="AB5" s="281"/>
      <c r="AC5" s="281">
        <f t="shared" si="8"/>
        <v>10200</v>
      </c>
      <c r="AD5" s="281"/>
      <c r="AE5" s="281">
        <v>2200</v>
      </c>
      <c r="AF5" s="281"/>
      <c r="AG5" s="281">
        <v>2200</v>
      </c>
      <c r="AH5" s="281"/>
      <c r="AI5" s="281"/>
      <c r="AJ5" s="281"/>
      <c r="AK5" s="281"/>
      <c r="AL5" s="281"/>
      <c r="AM5" s="281"/>
      <c r="AN5" s="281"/>
      <c r="AO5" s="281"/>
      <c r="AP5" s="281"/>
      <c r="AQ5" s="281"/>
      <c r="AR5" s="281">
        <f t="shared" si="9"/>
        <v>4400</v>
      </c>
      <c r="AS5" s="281">
        <f t="shared" si="10"/>
        <v>4200</v>
      </c>
      <c r="AT5" s="281"/>
      <c r="AU5" s="281">
        <f t="shared" si="11"/>
        <v>4200</v>
      </c>
      <c r="AV5" s="281"/>
      <c r="AW5" s="281"/>
      <c r="AX5" s="281">
        <f t="shared" si="12"/>
        <v>8400</v>
      </c>
      <c r="AY5" s="281"/>
      <c r="AZ5" s="281"/>
      <c r="BA5" s="281"/>
      <c r="BB5" s="281">
        <f t="shared" si="13"/>
        <v>0</v>
      </c>
      <c r="BC5" s="281"/>
      <c r="BD5" s="281"/>
      <c r="BE5" s="281"/>
      <c r="BF5" s="281"/>
      <c r="BG5" s="281"/>
      <c r="BH5" s="281"/>
      <c r="BI5" s="281"/>
      <c r="BJ5" s="281"/>
      <c r="BK5" s="281"/>
      <c r="BL5" s="281">
        <v>100</v>
      </c>
      <c r="BM5" s="278"/>
      <c r="BN5" s="281">
        <f t="shared" si="14"/>
        <v>100</v>
      </c>
      <c r="BO5" s="283"/>
      <c r="BP5" s="283"/>
      <c r="BQ5" s="283"/>
      <c r="BR5" s="283"/>
      <c r="BS5" s="283"/>
      <c r="BT5" s="283">
        <f t="shared" si="15"/>
        <v>0</v>
      </c>
      <c r="BU5" s="283">
        <f t="shared" si="16"/>
        <v>23100</v>
      </c>
      <c r="BV5" s="283">
        <f t="shared" si="17"/>
        <v>0</v>
      </c>
      <c r="BW5" s="329"/>
    </row>
    <row r="6" spans="1:75" s="5" customFormat="1">
      <c r="A6" s="319" t="str">
        <f>'1-συμβολαια'!A6</f>
        <v>4ο</v>
      </c>
      <c r="B6" s="339" t="str">
        <f>'1-συμβολαια'!C6</f>
        <v>πληρεξούσιο</v>
      </c>
      <c r="C6" s="438">
        <f>'5-αντίγρ'!AN6</f>
        <v>0</v>
      </c>
      <c r="D6" s="438">
        <f>'5-αντίγρ'!AM6</f>
        <v>0</v>
      </c>
      <c r="E6" s="282">
        <f>'6-μεταγρ'!O6</f>
        <v>0</v>
      </c>
      <c r="F6" s="282">
        <f>'6-μεταγρ'!M6+'6-μεταγρ'!N6</f>
        <v>0</v>
      </c>
      <c r="G6" s="283">
        <f>'6-μεταγρ'!P6</f>
        <v>0</v>
      </c>
      <c r="H6" s="282">
        <f>'7-προςΔΟΥ'!U6</f>
        <v>0</v>
      </c>
      <c r="I6" s="282">
        <f>'7-προςΔΟΥ'!K6</f>
        <v>0</v>
      </c>
      <c r="J6" s="281"/>
      <c r="K6" s="281"/>
      <c r="L6" s="281"/>
      <c r="M6" s="281"/>
      <c r="N6" s="281"/>
      <c r="O6" s="281"/>
      <c r="P6" s="281"/>
      <c r="Q6" s="281"/>
      <c r="R6" s="281"/>
      <c r="S6" s="281"/>
      <c r="T6" s="281"/>
      <c r="U6" s="281"/>
      <c r="V6" s="281"/>
      <c r="W6" s="281"/>
      <c r="X6" s="281"/>
      <c r="Y6" s="281"/>
      <c r="Z6" s="281"/>
      <c r="AA6" s="281"/>
      <c r="AB6" s="281"/>
      <c r="AC6" s="281">
        <f t="shared" si="8"/>
        <v>0</v>
      </c>
      <c r="AD6" s="281"/>
      <c r="AE6" s="281"/>
      <c r="AF6" s="281"/>
      <c r="AG6" s="281"/>
      <c r="AH6" s="281"/>
      <c r="AI6" s="281"/>
      <c r="AJ6" s="281"/>
      <c r="AK6" s="281"/>
      <c r="AL6" s="281"/>
      <c r="AM6" s="281"/>
      <c r="AN6" s="281"/>
      <c r="AO6" s="281"/>
      <c r="AP6" s="281"/>
      <c r="AQ6" s="281"/>
      <c r="AR6" s="281">
        <f t="shared" si="9"/>
        <v>0</v>
      </c>
      <c r="AS6" s="281"/>
      <c r="AT6" s="281"/>
      <c r="AU6" s="281"/>
      <c r="AV6" s="281"/>
      <c r="AW6" s="281"/>
      <c r="AX6" s="281">
        <f t="shared" si="12"/>
        <v>0</v>
      </c>
      <c r="AY6" s="281"/>
      <c r="AZ6" s="281"/>
      <c r="BA6" s="281"/>
      <c r="BB6" s="281">
        <f t="shared" si="13"/>
        <v>0</v>
      </c>
      <c r="BC6" s="281"/>
      <c r="BD6" s="281"/>
      <c r="BE6" s="281"/>
      <c r="BF6" s="281"/>
      <c r="BG6" s="281"/>
      <c r="BH6" s="281"/>
      <c r="BI6" s="281"/>
      <c r="BJ6" s="281"/>
      <c r="BK6" s="281"/>
      <c r="BL6" s="281">
        <v>100</v>
      </c>
      <c r="BM6" s="278"/>
      <c r="BN6" s="281">
        <f t="shared" si="14"/>
        <v>100</v>
      </c>
      <c r="BO6" s="283"/>
      <c r="BP6" s="283"/>
      <c r="BQ6" s="283"/>
      <c r="BR6" s="283"/>
      <c r="BS6" s="283"/>
      <c r="BT6" s="283">
        <f t="shared" si="15"/>
        <v>0</v>
      </c>
      <c r="BU6" s="283">
        <f t="shared" si="16"/>
        <v>100</v>
      </c>
      <c r="BV6" s="283">
        <f t="shared" si="17"/>
        <v>0</v>
      </c>
      <c r="BW6" s="329"/>
    </row>
    <row r="7" spans="1:75" s="5" customFormat="1">
      <c r="A7" s="319" t="str">
        <f>'1-συμβολαια'!A7</f>
        <v>5ο</v>
      </c>
      <c r="B7" s="339" t="str">
        <f>'1-συμβολαια'!C7</f>
        <v>πληρεξούσιο</v>
      </c>
      <c r="C7" s="438">
        <f>'5-αντίγρ'!AN7</f>
        <v>0</v>
      </c>
      <c r="D7" s="438">
        <f>'5-αντίγρ'!AM7</f>
        <v>0</v>
      </c>
      <c r="E7" s="282">
        <f>'6-μεταγρ'!O7</f>
        <v>0</v>
      </c>
      <c r="F7" s="282">
        <f>'6-μεταγρ'!M7+'6-μεταγρ'!N7</f>
        <v>0</v>
      </c>
      <c r="G7" s="283">
        <f>'6-μεταγρ'!P7</f>
        <v>0</v>
      </c>
      <c r="H7" s="282">
        <f>'7-προςΔΟΥ'!U7</f>
        <v>0</v>
      </c>
      <c r="I7" s="282">
        <f>'7-προςΔΟΥ'!K7</f>
        <v>0</v>
      </c>
      <c r="J7" s="281"/>
      <c r="K7" s="281"/>
      <c r="L7" s="281"/>
      <c r="M7" s="281"/>
      <c r="N7" s="281"/>
      <c r="O7" s="281"/>
      <c r="P7" s="281"/>
      <c r="Q7" s="281"/>
      <c r="R7" s="281"/>
      <c r="S7" s="281"/>
      <c r="T7" s="281"/>
      <c r="U7" s="281"/>
      <c r="V7" s="281"/>
      <c r="W7" s="281"/>
      <c r="X7" s="281"/>
      <c r="Y7" s="281"/>
      <c r="Z7" s="281"/>
      <c r="AA7" s="281"/>
      <c r="AB7" s="281"/>
      <c r="AC7" s="281">
        <f t="shared" si="8"/>
        <v>0</v>
      </c>
      <c r="AD7" s="281"/>
      <c r="AE7" s="281"/>
      <c r="AF7" s="281"/>
      <c r="AG7" s="281"/>
      <c r="AH7" s="281"/>
      <c r="AI7" s="281"/>
      <c r="AJ7" s="281"/>
      <c r="AK7" s="281"/>
      <c r="AL7" s="281"/>
      <c r="AM7" s="281"/>
      <c r="AN7" s="281"/>
      <c r="AO7" s="281"/>
      <c r="AP7" s="281"/>
      <c r="AQ7" s="281"/>
      <c r="AR7" s="281">
        <f t="shared" si="9"/>
        <v>0</v>
      </c>
      <c r="AS7" s="281"/>
      <c r="AT7" s="281"/>
      <c r="AU7" s="281"/>
      <c r="AV7" s="281"/>
      <c r="AW7" s="281"/>
      <c r="AX7" s="281">
        <f t="shared" si="12"/>
        <v>0</v>
      </c>
      <c r="AY7" s="281"/>
      <c r="AZ7" s="281"/>
      <c r="BA7" s="281"/>
      <c r="BB7" s="281">
        <f t="shared" si="13"/>
        <v>0</v>
      </c>
      <c r="BC7" s="281"/>
      <c r="BD7" s="281"/>
      <c r="BE7" s="281"/>
      <c r="BF7" s="281"/>
      <c r="BG7" s="281"/>
      <c r="BH7" s="281"/>
      <c r="BI7" s="281"/>
      <c r="BJ7" s="281"/>
      <c r="BK7" s="281"/>
      <c r="BL7" s="281">
        <v>100</v>
      </c>
      <c r="BM7" s="278"/>
      <c r="BN7" s="281">
        <f t="shared" si="14"/>
        <v>100</v>
      </c>
      <c r="BO7" s="283"/>
      <c r="BP7" s="283"/>
      <c r="BQ7" s="283"/>
      <c r="BR7" s="283"/>
      <c r="BS7" s="283"/>
      <c r="BT7" s="283">
        <f t="shared" si="15"/>
        <v>0</v>
      </c>
      <c r="BU7" s="283">
        <f t="shared" si="16"/>
        <v>100</v>
      </c>
      <c r="BV7" s="283">
        <f t="shared" si="17"/>
        <v>0</v>
      </c>
      <c r="BW7" s="329"/>
    </row>
    <row r="8" spans="1:75" s="5" customFormat="1">
      <c r="A8" s="442" t="str">
        <f>'1-συμβολαια'!A8</f>
        <v>7ο</v>
      </c>
      <c r="B8" s="339" t="str">
        <f>'1-συμβολαια'!C8</f>
        <v>διανομή [34,60% {= 7.480.642δρχ}] &amp; {65,40% {= 14.139.710δρχ}]</v>
      </c>
      <c r="C8" s="438">
        <f>'5-αντίγρ'!AN8</f>
        <v>15000</v>
      </c>
      <c r="D8" s="438">
        <f>'5-αντίγρ'!AM8</f>
        <v>1600</v>
      </c>
      <c r="E8" s="282">
        <f>'6-μεταγρ'!O8</f>
        <v>4000</v>
      </c>
      <c r="F8" s="282">
        <f>'6-μεταγρ'!M8+'6-μεταγρ'!N8</f>
        <v>2255</v>
      </c>
      <c r="G8" s="283">
        <f>'6-μεταγρ'!P8</f>
        <v>0</v>
      </c>
      <c r="H8" s="282">
        <f>'7-προςΔΟΥ'!U8</f>
        <v>56200</v>
      </c>
      <c r="I8" s="282">
        <f>'7-προςΔΟΥ'!K8</f>
        <v>1210</v>
      </c>
      <c r="J8" s="281"/>
      <c r="K8" s="281">
        <v>5100</v>
      </c>
      <c r="L8" s="281">
        <v>5100</v>
      </c>
      <c r="M8" s="281"/>
      <c r="N8" s="281"/>
      <c r="O8" s="281"/>
      <c r="P8" s="281">
        <v>5100</v>
      </c>
      <c r="Q8" s="281"/>
      <c r="R8" s="281"/>
      <c r="S8" s="281">
        <v>5100</v>
      </c>
      <c r="T8" s="281"/>
      <c r="U8" s="281"/>
      <c r="V8" s="281"/>
      <c r="W8" s="281"/>
      <c r="X8" s="281"/>
      <c r="Y8" s="281"/>
      <c r="Z8" s="281"/>
      <c r="AA8" s="281"/>
      <c r="AB8" s="281"/>
      <c r="AC8" s="281">
        <f t="shared" si="8"/>
        <v>20400</v>
      </c>
      <c r="AD8" s="281"/>
      <c r="AE8" s="281">
        <v>2200</v>
      </c>
      <c r="AF8" s="281"/>
      <c r="AG8" s="281">
        <v>2200</v>
      </c>
      <c r="AH8" s="281"/>
      <c r="AI8" s="281"/>
      <c r="AJ8" s="281"/>
      <c r="AK8" s="281"/>
      <c r="AL8" s="281"/>
      <c r="AM8" s="281"/>
      <c r="AN8" s="281"/>
      <c r="AO8" s="281"/>
      <c r="AP8" s="281"/>
      <c r="AQ8" s="281"/>
      <c r="AR8" s="281">
        <f t="shared" si="9"/>
        <v>4400</v>
      </c>
      <c r="AS8" s="281">
        <f>2*1100+2000</f>
        <v>4200</v>
      </c>
      <c r="AT8" s="281"/>
      <c r="AU8" s="281">
        <f>2*1100+2000</f>
        <v>4200</v>
      </c>
      <c r="AV8" s="281"/>
      <c r="AW8" s="281"/>
      <c r="AX8" s="281">
        <f t="shared" si="12"/>
        <v>8400</v>
      </c>
      <c r="AY8" s="281"/>
      <c r="AZ8" s="281"/>
      <c r="BA8" s="281"/>
      <c r="BB8" s="281">
        <f t="shared" si="13"/>
        <v>0</v>
      </c>
      <c r="BC8" s="281"/>
      <c r="BD8" s="281"/>
      <c r="BE8" s="281"/>
      <c r="BF8" s="281"/>
      <c r="BG8" s="281"/>
      <c r="BH8" s="281"/>
      <c r="BI8" s="281"/>
      <c r="BJ8" s="281">
        <v>489</v>
      </c>
      <c r="BK8" s="281">
        <v>100</v>
      </c>
      <c r="BL8" s="281">
        <v>100</v>
      </c>
      <c r="BM8" s="278"/>
      <c r="BN8" s="281">
        <f t="shared" si="14"/>
        <v>200</v>
      </c>
      <c r="BO8" s="283">
        <v>1100</v>
      </c>
      <c r="BP8" s="283">
        <f>6*2200</f>
        <v>13200</v>
      </c>
      <c r="BQ8" s="283">
        <v>5500</v>
      </c>
      <c r="BR8" s="283"/>
      <c r="BS8" s="283">
        <v>655</v>
      </c>
      <c r="BT8" s="283">
        <f t="shared" si="15"/>
        <v>20455</v>
      </c>
      <c r="BU8" s="283">
        <f t="shared" si="16"/>
        <v>127911</v>
      </c>
      <c r="BV8" s="283">
        <f t="shared" si="17"/>
        <v>6209</v>
      </c>
      <c r="BW8" s="329"/>
    </row>
    <row r="9" spans="1:75" s="5" customFormat="1">
      <c r="A9" s="442">
        <f>'1-συμβολαια'!A9</f>
        <v>0</v>
      </c>
      <c r="B9" s="339" t="str">
        <f>'1-συμβολαια'!C9</f>
        <v>εξισορόπηση διαφοράς διανεμομένων</v>
      </c>
      <c r="C9" s="438">
        <f>'5-αντίγρ'!AN9</f>
        <v>0</v>
      </c>
      <c r="D9" s="438">
        <f>'5-αντίγρ'!AM9</f>
        <v>0</v>
      </c>
      <c r="E9" s="282">
        <f>'6-μεταγρ'!O9</f>
        <v>0</v>
      </c>
      <c r="F9" s="282">
        <f>'6-μεταγρ'!M9+'6-μεταγρ'!N9</f>
        <v>0</v>
      </c>
      <c r="G9" s="283">
        <f>'6-μεταγρ'!P9</f>
        <v>0</v>
      </c>
      <c r="H9" s="282">
        <f>'7-προςΔΟΥ'!U9</f>
        <v>0</v>
      </c>
      <c r="I9" s="282">
        <f>'7-προςΔΟΥ'!K9</f>
        <v>0</v>
      </c>
      <c r="J9" s="281"/>
      <c r="K9" s="281"/>
      <c r="L9" s="281"/>
      <c r="M9" s="281"/>
      <c r="N9" s="281"/>
      <c r="O9" s="281"/>
      <c r="P9" s="281"/>
      <c r="Q9" s="281"/>
      <c r="R9" s="281"/>
      <c r="S9" s="281"/>
      <c r="T9" s="281"/>
      <c r="U9" s="281"/>
      <c r="V9" s="281"/>
      <c r="W9" s="281"/>
      <c r="X9" s="281"/>
      <c r="Y9" s="281"/>
      <c r="Z9" s="281"/>
      <c r="AA9" s="281"/>
      <c r="AB9" s="281"/>
      <c r="AC9" s="281">
        <f t="shared" si="8"/>
        <v>0</v>
      </c>
      <c r="AD9" s="281"/>
      <c r="AE9" s="281"/>
      <c r="AF9" s="281"/>
      <c r="AG9" s="281"/>
      <c r="AH9" s="281"/>
      <c r="AI9" s="281"/>
      <c r="AJ9" s="281"/>
      <c r="AK9" s="281"/>
      <c r="AL9" s="281"/>
      <c r="AM9" s="281"/>
      <c r="AN9" s="281"/>
      <c r="AO9" s="281"/>
      <c r="AP9" s="281"/>
      <c r="AQ9" s="281"/>
      <c r="AR9" s="281">
        <f t="shared" si="9"/>
        <v>0</v>
      </c>
      <c r="AS9" s="281"/>
      <c r="AT9" s="281"/>
      <c r="AU9" s="281"/>
      <c r="AV9" s="281"/>
      <c r="AW9" s="281"/>
      <c r="AX9" s="281">
        <f t="shared" si="12"/>
        <v>0</v>
      </c>
      <c r="AY9" s="281"/>
      <c r="AZ9" s="281"/>
      <c r="BA9" s="281"/>
      <c r="BB9" s="281">
        <f t="shared" si="13"/>
        <v>0</v>
      </c>
      <c r="BC9" s="281"/>
      <c r="BD9" s="281"/>
      <c r="BE9" s="281"/>
      <c r="BF9" s="281"/>
      <c r="BG9" s="281"/>
      <c r="BH9" s="281"/>
      <c r="BI9" s="281"/>
      <c r="BJ9" s="281"/>
      <c r="BK9" s="281"/>
      <c r="BL9" s="281"/>
      <c r="BM9" s="278"/>
      <c r="BN9" s="281">
        <f t="shared" si="14"/>
        <v>0</v>
      </c>
      <c r="BO9" s="283"/>
      <c r="BP9" s="283"/>
      <c r="BQ9" s="283"/>
      <c r="BR9" s="283"/>
      <c r="BS9" s="283"/>
      <c r="BT9" s="283">
        <f t="shared" si="15"/>
        <v>0</v>
      </c>
      <c r="BU9" s="283">
        <f t="shared" si="16"/>
        <v>0</v>
      </c>
      <c r="BV9" s="283">
        <f t="shared" si="17"/>
        <v>0</v>
      </c>
      <c r="BW9" s="329"/>
    </row>
    <row r="10" spans="1:75" s="5" customFormat="1">
      <c r="A10" s="442">
        <f>'1-συμβολαια'!A10</f>
        <v>0</v>
      </c>
      <c r="B10" s="339" t="str">
        <f>'1-συμβολαια'!C10</f>
        <v>χρήσης ΚΑΝΟΝΙΣΝΟΣ</v>
      </c>
      <c r="C10" s="438">
        <f>'5-αντίγρ'!AN10</f>
        <v>0</v>
      </c>
      <c r="D10" s="438">
        <f>'5-αντίγρ'!AM10</f>
        <v>0</v>
      </c>
      <c r="E10" s="282">
        <f>'6-μεταγρ'!O10</f>
        <v>0</v>
      </c>
      <c r="F10" s="282">
        <f>'6-μεταγρ'!M10+'6-μεταγρ'!N10</f>
        <v>222</v>
      </c>
      <c r="G10" s="283">
        <f>'6-μεταγρ'!P10</f>
        <v>0</v>
      </c>
      <c r="H10" s="282">
        <f>'7-προςΔΟΥ'!U10</f>
        <v>0</v>
      </c>
      <c r="I10" s="282">
        <f>'7-προςΔΟΥ'!K10</f>
        <v>0</v>
      </c>
      <c r="J10" s="281"/>
      <c r="K10" s="281"/>
      <c r="L10" s="281"/>
      <c r="M10" s="281"/>
      <c r="N10" s="281"/>
      <c r="O10" s="281"/>
      <c r="P10" s="281"/>
      <c r="Q10" s="281"/>
      <c r="R10" s="281"/>
      <c r="S10" s="281"/>
      <c r="T10" s="281"/>
      <c r="U10" s="281"/>
      <c r="V10" s="281"/>
      <c r="W10" s="281"/>
      <c r="X10" s="281"/>
      <c r="Y10" s="281"/>
      <c r="Z10" s="281"/>
      <c r="AA10" s="281"/>
      <c r="AB10" s="281"/>
      <c r="AC10" s="281">
        <f t="shared" si="8"/>
        <v>0</v>
      </c>
      <c r="AD10" s="281"/>
      <c r="AE10" s="281"/>
      <c r="AF10" s="281"/>
      <c r="AG10" s="281"/>
      <c r="AH10" s="281"/>
      <c r="AI10" s="281"/>
      <c r="AJ10" s="281"/>
      <c r="AK10" s="281"/>
      <c r="AL10" s="281"/>
      <c r="AM10" s="281"/>
      <c r="AN10" s="281"/>
      <c r="AO10" s="281"/>
      <c r="AP10" s="281"/>
      <c r="AQ10" s="281"/>
      <c r="AR10" s="281">
        <f t="shared" si="9"/>
        <v>0</v>
      </c>
      <c r="AS10" s="281"/>
      <c r="AT10" s="281"/>
      <c r="AU10" s="281"/>
      <c r="AV10" s="281"/>
      <c r="AW10" s="281"/>
      <c r="AX10" s="281">
        <f t="shared" si="12"/>
        <v>0</v>
      </c>
      <c r="AY10" s="281"/>
      <c r="AZ10" s="281"/>
      <c r="BA10" s="281"/>
      <c r="BB10" s="281">
        <f t="shared" si="13"/>
        <v>0</v>
      </c>
      <c r="BC10" s="281"/>
      <c r="BD10" s="281"/>
      <c r="BE10" s="281"/>
      <c r="BF10" s="281"/>
      <c r="BG10" s="281"/>
      <c r="BH10" s="281"/>
      <c r="BI10" s="281"/>
      <c r="BJ10" s="281"/>
      <c r="BK10" s="281">
        <v>100</v>
      </c>
      <c r="BL10" s="281"/>
      <c r="BM10" s="278"/>
      <c r="BN10" s="281">
        <f t="shared" si="14"/>
        <v>100</v>
      </c>
      <c r="BO10" s="283"/>
      <c r="BP10" s="283"/>
      <c r="BQ10" s="283"/>
      <c r="BR10" s="283"/>
      <c r="BS10" s="283"/>
      <c r="BT10" s="283">
        <f t="shared" si="15"/>
        <v>0</v>
      </c>
      <c r="BU10" s="283">
        <f t="shared" si="16"/>
        <v>100</v>
      </c>
      <c r="BV10" s="283">
        <f t="shared" si="17"/>
        <v>222</v>
      </c>
      <c r="BW10" s="329"/>
    </row>
    <row r="11" spans="1:75" s="5" customFormat="1" ht="12" thickBot="1">
      <c r="A11" s="535">
        <f>'1-συμβολαια'!A11</f>
        <v>0</v>
      </c>
      <c r="B11" s="536" t="str">
        <f>'1-συμβολαια'!C11</f>
        <v xml:space="preserve">κάθετος ΣΥΣΤΑΣΗ </v>
      </c>
      <c r="C11" s="537">
        <f>'5-αντίγρ'!AN11</f>
        <v>2200</v>
      </c>
      <c r="D11" s="537">
        <f>'5-αντίγρ'!AM11</f>
        <v>800</v>
      </c>
      <c r="E11" s="538">
        <f>'6-μεταγρ'!O11</f>
        <v>0</v>
      </c>
      <c r="F11" s="538">
        <f>'6-μεταγρ'!M11+'6-μεταγρ'!N11</f>
        <v>666</v>
      </c>
      <c r="G11" s="539">
        <f>'6-μεταγρ'!P11</f>
        <v>0</v>
      </c>
      <c r="H11" s="538">
        <f>'7-προςΔΟΥ'!U11</f>
        <v>52200</v>
      </c>
      <c r="I11" s="538">
        <f>'7-προςΔΟΥ'!K11</f>
        <v>1210</v>
      </c>
      <c r="J11" s="539"/>
      <c r="K11" s="539"/>
      <c r="L11" s="539"/>
      <c r="M11" s="539"/>
      <c r="N11" s="539"/>
      <c r="O11" s="539"/>
      <c r="P11" s="539"/>
      <c r="Q11" s="539"/>
      <c r="R11" s="539"/>
      <c r="S11" s="539"/>
      <c r="T11" s="539"/>
      <c r="U11" s="539"/>
      <c r="V11" s="539"/>
      <c r="W11" s="539"/>
      <c r="X11" s="539"/>
      <c r="Y11" s="539"/>
      <c r="Z11" s="539"/>
      <c r="AA11" s="539"/>
      <c r="AB11" s="539"/>
      <c r="AC11" s="539">
        <f t="shared" si="8"/>
        <v>0</v>
      </c>
      <c r="AD11" s="539"/>
      <c r="AE11" s="539"/>
      <c r="AF11" s="539"/>
      <c r="AG11" s="539"/>
      <c r="AH11" s="539"/>
      <c r="AI11" s="539"/>
      <c r="AJ11" s="539"/>
      <c r="AK11" s="539"/>
      <c r="AL11" s="539"/>
      <c r="AM11" s="539"/>
      <c r="AN11" s="539"/>
      <c r="AO11" s="539"/>
      <c r="AP11" s="539"/>
      <c r="AQ11" s="539"/>
      <c r="AR11" s="539">
        <f t="shared" si="9"/>
        <v>0</v>
      </c>
      <c r="AS11" s="539"/>
      <c r="AT11" s="539"/>
      <c r="AU11" s="539"/>
      <c r="AV11" s="539"/>
      <c r="AW11" s="539"/>
      <c r="AX11" s="539">
        <f t="shared" si="12"/>
        <v>0</v>
      </c>
      <c r="AY11" s="539"/>
      <c r="AZ11" s="539"/>
      <c r="BA11" s="539"/>
      <c r="BB11" s="539">
        <f t="shared" si="13"/>
        <v>0</v>
      </c>
      <c r="BC11" s="539"/>
      <c r="BD11" s="539"/>
      <c r="BE11" s="539"/>
      <c r="BF11" s="539"/>
      <c r="BG11" s="539"/>
      <c r="BH11" s="539"/>
      <c r="BI11" s="539"/>
      <c r="BJ11" s="539"/>
      <c r="BK11" s="539">
        <v>100</v>
      </c>
      <c r="BL11" s="539"/>
      <c r="BM11" s="473"/>
      <c r="BN11" s="539">
        <f t="shared" si="14"/>
        <v>100</v>
      </c>
      <c r="BO11" s="539"/>
      <c r="BP11" s="539"/>
      <c r="BQ11" s="539"/>
      <c r="BR11" s="539"/>
      <c r="BS11" s="539"/>
      <c r="BT11" s="539">
        <f t="shared" si="15"/>
        <v>0</v>
      </c>
      <c r="BU11" s="539">
        <f t="shared" si="16"/>
        <v>54500</v>
      </c>
      <c r="BV11" s="539">
        <f t="shared" si="17"/>
        <v>2676</v>
      </c>
      <c r="BW11" s="540"/>
    </row>
    <row r="12" spans="1:75" s="5" customFormat="1">
      <c r="A12" s="340" t="str">
        <f>'1-συμβολαια'!A12</f>
        <v>6ο</v>
      </c>
      <c r="B12" s="534" t="str">
        <f>'1-συμβολαια'!C12</f>
        <v>πληρεξούσιο</v>
      </c>
      <c r="C12" s="438">
        <f>'5-αντίγρ'!AN12</f>
        <v>0</v>
      </c>
      <c r="D12" s="438">
        <f>'5-αντίγρ'!AM12</f>
        <v>0</v>
      </c>
      <c r="E12" s="282">
        <f>'6-μεταγρ'!O12</f>
        <v>0</v>
      </c>
      <c r="F12" s="282">
        <f>'6-μεταγρ'!M12+'6-μεταγρ'!N12</f>
        <v>0</v>
      </c>
      <c r="G12" s="283">
        <f>'6-μεταγρ'!P12</f>
        <v>0</v>
      </c>
      <c r="H12" s="282">
        <f>'7-προςΔΟΥ'!U12</f>
        <v>0</v>
      </c>
      <c r="I12" s="282">
        <f>'7-προςΔΟΥ'!K12</f>
        <v>0</v>
      </c>
      <c r="J12" s="283"/>
      <c r="K12" s="283"/>
      <c r="L12" s="283"/>
      <c r="M12" s="283"/>
      <c r="N12" s="283"/>
      <c r="O12" s="283"/>
      <c r="P12" s="283"/>
      <c r="Q12" s="283"/>
      <c r="R12" s="283"/>
      <c r="S12" s="283"/>
      <c r="T12" s="283"/>
      <c r="U12" s="283"/>
      <c r="V12" s="283"/>
      <c r="W12" s="283"/>
      <c r="X12" s="283"/>
      <c r="Y12" s="283"/>
      <c r="Z12" s="283"/>
      <c r="AA12" s="283"/>
      <c r="AB12" s="283"/>
      <c r="AC12" s="283">
        <f t="shared" si="8"/>
        <v>0</v>
      </c>
      <c r="AD12" s="283"/>
      <c r="AE12" s="283"/>
      <c r="AF12" s="283"/>
      <c r="AG12" s="283"/>
      <c r="AH12" s="283"/>
      <c r="AI12" s="283"/>
      <c r="AJ12" s="283"/>
      <c r="AK12" s="283"/>
      <c r="AL12" s="283"/>
      <c r="AM12" s="283"/>
      <c r="AN12" s="283"/>
      <c r="AO12" s="283"/>
      <c r="AP12" s="283"/>
      <c r="AQ12" s="283"/>
      <c r="AR12" s="283">
        <f t="shared" si="9"/>
        <v>0</v>
      </c>
      <c r="AS12" s="283"/>
      <c r="AT12" s="283"/>
      <c r="AU12" s="283"/>
      <c r="AV12" s="283"/>
      <c r="AW12" s="283"/>
      <c r="AX12" s="283">
        <f t="shared" si="12"/>
        <v>0</v>
      </c>
      <c r="AY12" s="283"/>
      <c r="AZ12" s="283"/>
      <c r="BA12" s="283"/>
      <c r="BB12" s="283">
        <f t="shared" si="13"/>
        <v>0</v>
      </c>
      <c r="BC12" s="283"/>
      <c r="BD12" s="283"/>
      <c r="BE12" s="283"/>
      <c r="BF12" s="283"/>
      <c r="BG12" s="283"/>
      <c r="BH12" s="283"/>
      <c r="BI12" s="283"/>
      <c r="BJ12" s="283"/>
      <c r="BK12" s="283">
        <v>100</v>
      </c>
      <c r="BL12" s="283">
        <v>100</v>
      </c>
      <c r="BM12" s="470"/>
      <c r="BN12" s="283">
        <f t="shared" si="14"/>
        <v>200</v>
      </c>
      <c r="BO12" s="283"/>
      <c r="BP12" s="283"/>
      <c r="BQ12" s="283"/>
      <c r="BR12" s="283"/>
      <c r="BS12" s="283"/>
      <c r="BT12" s="283">
        <f t="shared" si="15"/>
        <v>0</v>
      </c>
      <c r="BU12" s="283">
        <f t="shared" si="16"/>
        <v>200</v>
      </c>
      <c r="BV12" s="283">
        <f t="shared" si="17"/>
        <v>0</v>
      </c>
      <c r="BW12" s="343"/>
    </row>
    <row r="13" spans="1:75" s="5" customFormat="1">
      <c r="A13" s="319" t="str">
        <f>'1-συμβολαια'!A13</f>
        <v>8ο</v>
      </c>
      <c r="B13" s="339" t="str">
        <f>'1-συμβολαια'!C13</f>
        <v>δωρεα [οικόπεδο42μ2</v>
      </c>
      <c r="C13" s="438">
        <f>'5-αντίγρ'!AN13</f>
        <v>23700</v>
      </c>
      <c r="D13" s="438">
        <f>'5-αντίγρ'!AM13</f>
        <v>1600</v>
      </c>
      <c r="E13" s="282">
        <f>'6-μεταγρ'!O13</f>
        <v>4000</v>
      </c>
      <c r="F13" s="282">
        <f>'6-μεταγρ'!M13+'6-μεταγρ'!N13</f>
        <v>3055</v>
      </c>
      <c r="G13" s="283">
        <f>'6-μεταγρ'!P13</f>
        <v>0</v>
      </c>
      <c r="H13" s="282">
        <f>'7-προςΔΟΥ'!U13</f>
        <v>26900</v>
      </c>
      <c r="I13" s="282">
        <f>'7-προςΔΟΥ'!K13</f>
        <v>605</v>
      </c>
      <c r="J13" s="281">
        <v>5100</v>
      </c>
      <c r="K13" s="281">
        <v>5100</v>
      </c>
      <c r="L13" s="281">
        <v>5100</v>
      </c>
      <c r="M13" s="281"/>
      <c r="N13" s="281"/>
      <c r="O13" s="281">
        <v>5100</v>
      </c>
      <c r="P13" s="281">
        <v>5100</v>
      </c>
      <c r="Q13" s="281">
        <v>5100</v>
      </c>
      <c r="R13" s="281"/>
      <c r="S13" s="281">
        <v>5100</v>
      </c>
      <c r="T13" s="281"/>
      <c r="U13" s="281"/>
      <c r="V13" s="281"/>
      <c r="W13" s="281"/>
      <c r="X13" s="281"/>
      <c r="Y13" s="281"/>
      <c r="Z13" s="281"/>
      <c r="AA13" s="281"/>
      <c r="AB13" s="281"/>
      <c r="AC13" s="281">
        <f t="shared" si="8"/>
        <v>35700</v>
      </c>
      <c r="AD13" s="281"/>
      <c r="AE13" s="281">
        <v>4400</v>
      </c>
      <c r="AF13" s="281"/>
      <c r="AG13" s="281">
        <v>4400</v>
      </c>
      <c r="AH13" s="281"/>
      <c r="AI13" s="281"/>
      <c r="AJ13" s="281"/>
      <c r="AK13" s="281"/>
      <c r="AL13" s="281"/>
      <c r="AM13" s="281"/>
      <c r="AN13" s="281"/>
      <c r="AO13" s="281"/>
      <c r="AP13" s="281"/>
      <c r="AQ13" s="281"/>
      <c r="AR13" s="281">
        <f t="shared" si="9"/>
        <v>8800</v>
      </c>
      <c r="AS13" s="281">
        <v>6400</v>
      </c>
      <c r="AT13" s="281"/>
      <c r="AU13" s="281">
        <v>6400</v>
      </c>
      <c r="AV13" s="281"/>
      <c r="AW13" s="281"/>
      <c r="AX13" s="281">
        <f t="shared" si="12"/>
        <v>12800</v>
      </c>
      <c r="AY13" s="281"/>
      <c r="AZ13" s="281"/>
      <c r="BA13" s="281"/>
      <c r="BB13" s="281">
        <f t="shared" si="13"/>
        <v>0</v>
      </c>
      <c r="BC13" s="281"/>
      <c r="BD13" s="281"/>
      <c r="BE13" s="281"/>
      <c r="BF13" s="281"/>
      <c r="BG13" s="281"/>
      <c r="BH13" s="281"/>
      <c r="BI13" s="281"/>
      <c r="BJ13" s="281">
        <v>489</v>
      </c>
      <c r="BK13" s="281">
        <v>100</v>
      </c>
      <c r="BL13" s="281">
        <v>200</v>
      </c>
      <c r="BM13" s="278"/>
      <c r="BN13" s="281">
        <f t="shared" si="14"/>
        <v>300</v>
      </c>
      <c r="BO13" s="283">
        <v>1100</v>
      </c>
      <c r="BP13" s="283">
        <v>3300</v>
      </c>
      <c r="BQ13" s="283">
        <v>4400</v>
      </c>
      <c r="BR13" s="283"/>
      <c r="BS13" s="283">
        <v>655</v>
      </c>
      <c r="BT13" s="283">
        <f t="shared" si="15"/>
        <v>9455</v>
      </c>
      <c r="BU13" s="283">
        <f t="shared" si="16"/>
        <v>120511</v>
      </c>
      <c r="BV13" s="283">
        <f t="shared" si="17"/>
        <v>6404</v>
      </c>
      <c r="BW13" s="329"/>
    </row>
    <row r="14" spans="1:75" s="5" customFormat="1">
      <c r="A14" s="319" t="str">
        <f>'1-συμβολαια'!A14</f>
        <v>9ο</v>
      </c>
      <c r="B14" s="339" t="str">
        <f>'1-συμβολαια'!C14</f>
        <v xml:space="preserve">γονική ΒΑΣΕΙ 1.113 προσυμφώνου </v>
      </c>
      <c r="C14" s="438">
        <f>'5-αντίγρ'!AN14</f>
        <v>25700</v>
      </c>
      <c r="D14" s="438">
        <f>'5-αντίγρ'!AM14</f>
        <v>1600</v>
      </c>
      <c r="E14" s="282">
        <f>'6-μεταγρ'!O14</f>
        <v>4000</v>
      </c>
      <c r="F14" s="282">
        <f>'6-μεταγρ'!M14+'6-μεταγρ'!N14</f>
        <v>1455</v>
      </c>
      <c r="G14" s="283">
        <f>'6-μεταγρ'!P14</f>
        <v>0</v>
      </c>
      <c r="H14" s="282">
        <f>'7-προςΔΟΥ'!U14</f>
        <v>44400</v>
      </c>
      <c r="I14" s="282">
        <f>'7-προςΔΟΥ'!K14</f>
        <v>605</v>
      </c>
      <c r="J14" s="281">
        <v>5100</v>
      </c>
      <c r="K14" s="281">
        <v>5100</v>
      </c>
      <c r="L14" s="281">
        <v>5100</v>
      </c>
      <c r="M14" s="281"/>
      <c r="N14" s="281"/>
      <c r="O14" s="281">
        <v>5100</v>
      </c>
      <c r="P14" s="281">
        <v>5100</v>
      </c>
      <c r="Q14" s="281">
        <v>5100</v>
      </c>
      <c r="R14" s="281"/>
      <c r="S14" s="281">
        <v>5100</v>
      </c>
      <c r="T14" s="281"/>
      <c r="U14" s="281"/>
      <c r="V14" s="281"/>
      <c r="W14" s="281"/>
      <c r="X14" s="281"/>
      <c r="Y14" s="281"/>
      <c r="Z14" s="281"/>
      <c r="AA14" s="281"/>
      <c r="AB14" s="281"/>
      <c r="AC14" s="281">
        <f t="shared" si="8"/>
        <v>35700</v>
      </c>
      <c r="AD14" s="281"/>
      <c r="AE14" s="281">
        <v>2200</v>
      </c>
      <c r="AF14" s="281"/>
      <c r="AG14" s="281">
        <v>2200</v>
      </c>
      <c r="AH14" s="281"/>
      <c r="AI14" s="281"/>
      <c r="AJ14" s="281"/>
      <c r="AK14" s="281"/>
      <c r="AL14" s="281"/>
      <c r="AM14" s="281"/>
      <c r="AN14" s="281"/>
      <c r="AO14" s="281"/>
      <c r="AP14" s="281"/>
      <c r="AQ14" s="281"/>
      <c r="AR14" s="281">
        <f t="shared" si="9"/>
        <v>4400</v>
      </c>
      <c r="AS14" s="281">
        <f t="shared" si="10"/>
        <v>4200</v>
      </c>
      <c r="AT14" s="281"/>
      <c r="AU14" s="281">
        <f t="shared" si="11"/>
        <v>4200</v>
      </c>
      <c r="AV14" s="281"/>
      <c r="AW14" s="281"/>
      <c r="AX14" s="281">
        <f t="shared" si="12"/>
        <v>8400</v>
      </c>
      <c r="AY14" s="281"/>
      <c r="AZ14" s="281"/>
      <c r="BA14" s="281"/>
      <c r="BB14" s="281">
        <f t="shared" si="13"/>
        <v>0</v>
      </c>
      <c r="BC14" s="281"/>
      <c r="BD14" s="281"/>
      <c r="BE14" s="281"/>
      <c r="BF14" s="281"/>
      <c r="BG14" s="281"/>
      <c r="BH14" s="281"/>
      <c r="BI14" s="281"/>
      <c r="BJ14" s="281">
        <v>489</v>
      </c>
      <c r="BK14" s="281">
        <v>100</v>
      </c>
      <c r="BL14" s="281">
        <v>100</v>
      </c>
      <c r="BM14" s="278"/>
      <c r="BN14" s="281">
        <f t="shared" si="14"/>
        <v>200</v>
      </c>
      <c r="BO14" s="283">
        <v>1100</v>
      </c>
      <c r="BP14" s="283">
        <v>2200</v>
      </c>
      <c r="BQ14" s="283">
        <v>6600</v>
      </c>
      <c r="BR14" s="283"/>
      <c r="BS14" s="283">
        <v>655</v>
      </c>
      <c r="BT14" s="283">
        <f t="shared" si="15"/>
        <v>10555</v>
      </c>
      <c r="BU14" s="283">
        <f t="shared" si="16"/>
        <v>132211</v>
      </c>
      <c r="BV14" s="283">
        <f t="shared" si="17"/>
        <v>4804</v>
      </c>
      <c r="BW14" s="329"/>
    </row>
    <row r="15" spans="1:75" s="5" customFormat="1">
      <c r="A15" s="442" t="str">
        <f>'1-συμβολαια'!A15</f>
        <v>10ο</v>
      </c>
      <c r="B15" s="339" t="str">
        <f>'1-συμβολαια'!C15</f>
        <v>δωρεά  ΒΑΣΕΙ 1.114 προσυμφώνου</v>
      </c>
      <c r="C15" s="438">
        <f>'5-αντίγρ'!AN15</f>
        <v>37600</v>
      </c>
      <c r="D15" s="438">
        <f>'5-αντίγρ'!AM15</f>
        <v>1600</v>
      </c>
      <c r="E15" s="282">
        <f>'6-μεταγρ'!O15</f>
        <v>4000</v>
      </c>
      <c r="F15" s="282">
        <f>'6-μεταγρ'!M15+'6-μεταγρ'!N15</f>
        <v>3055</v>
      </c>
      <c r="G15" s="283">
        <f>'6-μεταγρ'!P15</f>
        <v>0</v>
      </c>
      <c r="H15" s="282">
        <f>'7-προςΔΟΥ'!U15</f>
        <v>79400</v>
      </c>
      <c r="I15" s="282">
        <f>'7-προςΔΟΥ'!K15</f>
        <v>605</v>
      </c>
      <c r="J15" s="281">
        <v>5100</v>
      </c>
      <c r="K15" s="281">
        <v>5100</v>
      </c>
      <c r="L15" s="281">
        <v>5100</v>
      </c>
      <c r="M15" s="281"/>
      <c r="N15" s="281"/>
      <c r="O15" s="281">
        <v>5100</v>
      </c>
      <c r="P15" s="281">
        <v>5100</v>
      </c>
      <c r="Q15" s="281">
        <v>5100</v>
      </c>
      <c r="R15" s="281"/>
      <c r="S15" s="281">
        <v>5100</v>
      </c>
      <c r="T15" s="281"/>
      <c r="U15" s="281"/>
      <c r="V15" s="281"/>
      <c r="W15" s="281"/>
      <c r="X15" s="281"/>
      <c r="Y15" s="281"/>
      <c r="Z15" s="281"/>
      <c r="AA15" s="281"/>
      <c r="AB15" s="281"/>
      <c r="AC15" s="281">
        <f t="shared" si="8"/>
        <v>35700</v>
      </c>
      <c r="AD15" s="281"/>
      <c r="AE15" s="281">
        <v>4400</v>
      </c>
      <c r="AF15" s="281"/>
      <c r="AG15" s="281">
        <v>4400</v>
      </c>
      <c r="AH15" s="281"/>
      <c r="AI15" s="281"/>
      <c r="AJ15" s="281"/>
      <c r="AK15" s="281"/>
      <c r="AL15" s="281"/>
      <c r="AM15" s="281"/>
      <c r="AN15" s="281"/>
      <c r="AO15" s="281"/>
      <c r="AP15" s="281"/>
      <c r="AQ15" s="281"/>
      <c r="AR15" s="281">
        <f t="shared" si="9"/>
        <v>8800</v>
      </c>
      <c r="AS15" s="281">
        <v>6400</v>
      </c>
      <c r="AT15" s="281"/>
      <c r="AU15" s="281">
        <v>6400</v>
      </c>
      <c r="AV15" s="281"/>
      <c r="AW15" s="281"/>
      <c r="AX15" s="281">
        <f t="shared" si="12"/>
        <v>12800</v>
      </c>
      <c r="AY15" s="281"/>
      <c r="AZ15" s="281"/>
      <c r="BA15" s="281"/>
      <c r="BB15" s="281">
        <f t="shared" si="13"/>
        <v>0</v>
      </c>
      <c r="BC15" s="281"/>
      <c r="BD15" s="281"/>
      <c r="BE15" s="281"/>
      <c r="BF15" s="281"/>
      <c r="BG15" s="281"/>
      <c r="BH15" s="281"/>
      <c r="BI15" s="281"/>
      <c r="BJ15" s="281">
        <v>489</v>
      </c>
      <c r="BK15" s="281">
        <v>100</v>
      </c>
      <c r="BL15" s="281">
        <v>200</v>
      </c>
      <c r="BM15" s="278"/>
      <c r="BN15" s="281">
        <f t="shared" si="14"/>
        <v>300</v>
      </c>
      <c r="BO15" s="283">
        <v>1100</v>
      </c>
      <c r="BP15" s="283">
        <v>6600</v>
      </c>
      <c r="BQ15" s="283">
        <v>6600</v>
      </c>
      <c r="BR15" s="283"/>
      <c r="BS15" s="283">
        <v>655</v>
      </c>
      <c r="BT15" s="283">
        <f t="shared" si="15"/>
        <v>14955</v>
      </c>
      <c r="BU15" s="283">
        <f t="shared" si="16"/>
        <v>192411</v>
      </c>
      <c r="BV15" s="283">
        <f t="shared" si="17"/>
        <v>6404</v>
      </c>
      <c r="BW15" s="329"/>
    </row>
    <row r="16" spans="1:75" s="5" customFormat="1">
      <c r="A16" s="442">
        <f>'1-συμβολαια'!A16</f>
        <v>0</v>
      </c>
      <c r="B16" s="339" t="str">
        <f>'1-συμβολαια'!C16</f>
        <v xml:space="preserve">κάθετος ΣΥΣΤΑΣΗ </v>
      </c>
      <c r="C16" s="438">
        <f>'5-αντίγρ'!AN16</f>
        <v>2200</v>
      </c>
      <c r="D16" s="438">
        <f>'5-αντίγρ'!AM16</f>
        <v>800</v>
      </c>
      <c r="E16" s="282">
        <f>'6-μεταγρ'!O16</f>
        <v>0</v>
      </c>
      <c r="F16" s="282">
        <f>'6-μεταγρ'!M16+'6-μεταγρ'!N16</f>
        <v>888</v>
      </c>
      <c r="G16" s="283">
        <f>'6-μεταγρ'!P16</f>
        <v>0</v>
      </c>
      <c r="H16" s="282">
        <f>'7-προςΔΟΥ'!U16</f>
        <v>75400</v>
      </c>
      <c r="I16" s="282">
        <f>'7-προςΔΟΥ'!K16</f>
        <v>1815</v>
      </c>
      <c r="J16" s="281"/>
      <c r="K16" s="281"/>
      <c r="L16" s="281"/>
      <c r="M16" s="281"/>
      <c r="N16" s="281"/>
      <c r="O16" s="281"/>
      <c r="P16" s="281"/>
      <c r="Q16" s="281">
        <v>5100</v>
      </c>
      <c r="R16" s="281"/>
      <c r="S16" s="281"/>
      <c r="T16" s="281"/>
      <c r="U16" s="281"/>
      <c r="V16" s="281"/>
      <c r="W16" s="281"/>
      <c r="X16" s="281"/>
      <c r="Y16" s="281"/>
      <c r="Z16" s="281"/>
      <c r="AA16" s="281"/>
      <c r="AB16" s="281"/>
      <c r="AC16" s="281">
        <f t="shared" si="8"/>
        <v>5100</v>
      </c>
      <c r="AD16" s="281"/>
      <c r="AE16" s="281"/>
      <c r="AF16" s="281"/>
      <c r="AG16" s="281"/>
      <c r="AH16" s="281"/>
      <c r="AI16" s="281"/>
      <c r="AJ16" s="281"/>
      <c r="AK16" s="281"/>
      <c r="AL16" s="281"/>
      <c r="AM16" s="281"/>
      <c r="AN16" s="281"/>
      <c r="AO16" s="281"/>
      <c r="AP16" s="281"/>
      <c r="AQ16" s="281"/>
      <c r="AR16" s="281">
        <f t="shared" si="9"/>
        <v>0</v>
      </c>
      <c r="AS16" s="281"/>
      <c r="AT16" s="281"/>
      <c r="AU16" s="281"/>
      <c r="AV16" s="281"/>
      <c r="AW16" s="281"/>
      <c r="AX16" s="281">
        <f t="shared" si="12"/>
        <v>0</v>
      </c>
      <c r="AY16" s="281"/>
      <c r="AZ16" s="281"/>
      <c r="BA16" s="281"/>
      <c r="BB16" s="281">
        <f t="shared" si="13"/>
        <v>0</v>
      </c>
      <c r="BC16" s="281"/>
      <c r="BD16" s="281"/>
      <c r="BE16" s="281"/>
      <c r="BF16" s="281"/>
      <c r="BG16" s="281"/>
      <c r="BH16" s="281"/>
      <c r="BI16" s="281"/>
      <c r="BJ16" s="281"/>
      <c r="BK16" s="281"/>
      <c r="BL16" s="281"/>
      <c r="BM16" s="278"/>
      <c r="BN16" s="281">
        <f t="shared" si="14"/>
        <v>0</v>
      </c>
      <c r="BO16" s="283"/>
      <c r="BP16" s="283"/>
      <c r="BQ16" s="283"/>
      <c r="BR16" s="283"/>
      <c r="BS16" s="283"/>
      <c r="BT16" s="283">
        <f t="shared" si="15"/>
        <v>0</v>
      </c>
      <c r="BU16" s="283">
        <f t="shared" si="16"/>
        <v>82700</v>
      </c>
      <c r="BV16" s="283">
        <f t="shared" si="17"/>
        <v>3503</v>
      </c>
      <c r="BW16" s="329"/>
    </row>
    <row r="17" spans="1:75" s="8" customFormat="1">
      <c r="A17" s="770" t="s">
        <v>47</v>
      </c>
      <c r="B17" s="771"/>
      <c r="C17" s="150">
        <f t="shared" ref="C17:AC17" si="18">SUM(C3:C13)</f>
        <v>40900</v>
      </c>
      <c r="D17" s="150">
        <f t="shared" si="18"/>
        <v>4000</v>
      </c>
      <c r="E17" s="150">
        <f t="shared" si="18"/>
        <v>8000</v>
      </c>
      <c r="F17" s="150">
        <f t="shared" si="18"/>
        <v>6198</v>
      </c>
      <c r="G17" s="150">
        <f t="shared" si="18"/>
        <v>0</v>
      </c>
      <c r="H17" s="150">
        <f t="shared" si="18"/>
        <v>135300</v>
      </c>
      <c r="I17" s="150">
        <f t="shared" si="18"/>
        <v>3025</v>
      </c>
      <c r="J17" s="150">
        <f t="shared" si="18"/>
        <v>5100</v>
      </c>
      <c r="K17" s="150">
        <f t="shared" si="18"/>
        <v>25500</v>
      </c>
      <c r="L17" s="150">
        <f t="shared" si="18"/>
        <v>25500</v>
      </c>
      <c r="M17" s="150">
        <f t="shared" si="18"/>
        <v>0</v>
      </c>
      <c r="N17" s="150">
        <f t="shared" si="18"/>
        <v>0</v>
      </c>
      <c r="O17" s="150">
        <f t="shared" si="18"/>
        <v>5100</v>
      </c>
      <c r="P17" s="150">
        <f t="shared" si="18"/>
        <v>10200</v>
      </c>
      <c r="Q17" s="150">
        <f t="shared" si="18"/>
        <v>5100</v>
      </c>
      <c r="R17" s="150">
        <f t="shared" si="18"/>
        <v>0</v>
      </c>
      <c r="S17" s="150">
        <f t="shared" si="18"/>
        <v>10200</v>
      </c>
      <c r="T17" s="150">
        <f t="shared" si="18"/>
        <v>0</v>
      </c>
      <c r="U17" s="150">
        <f t="shared" si="18"/>
        <v>0</v>
      </c>
      <c r="V17" s="150">
        <f t="shared" si="18"/>
        <v>0</v>
      </c>
      <c r="W17" s="150">
        <f t="shared" si="18"/>
        <v>0</v>
      </c>
      <c r="X17" s="150">
        <f t="shared" si="18"/>
        <v>0</v>
      </c>
      <c r="Y17" s="150">
        <f t="shared" si="18"/>
        <v>0</v>
      </c>
      <c r="Z17" s="150">
        <f t="shared" si="18"/>
        <v>0</v>
      </c>
      <c r="AA17" s="150">
        <f t="shared" si="18"/>
        <v>0</v>
      </c>
      <c r="AB17" s="150">
        <f t="shared" si="18"/>
        <v>0</v>
      </c>
      <c r="AC17" s="150">
        <f t="shared" si="18"/>
        <v>86700</v>
      </c>
      <c r="AD17" s="150"/>
      <c r="AE17" s="150">
        <f t="shared" ref="AE17:BJ17" si="19">SUM(AE3:AE13)</f>
        <v>13200</v>
      </c>
      <c r="AF17" s="150">
        <f t="shared" si="19"/>
        <v>0</v>
      </c>
      <c r="AG17" s="150">
        <f t="shared" si="19"/>
        <v>13200</v>
      </c>
      <c r="AH17" s="150">
        <f t="shared" si="19"/>
        <v>0</v>
      </c>
      <c r="AI17" s="150">
        <f t="shared" si="19"/>
        <v>0</v>
      </c>
      <c r="AJ17" s="447">
        <f t="shared" si="19"/>
        <v>0</v>
      </c>
      <c r="AK17" s="150">
        <f t="shared" si="19"/>
        <v>0</v>
      </c>
      <c r="AL17" s="150">
        <f t="shared" si="19"/>
        <v>0</v>
      </c>
      <c r="AM17" s="150">
        <f t="shared" si="19"/>
        <v>0</v>
      </c>
      <c r="AN17" s="150">
        <f t="shared" si="19"/>
        <v>0</v>
      </c>
      <c r="AO17" s="150">
        <f t="shared" si="19"/>
        <v>0</v>
      </c>
      <c r="AP17" s="150">
        <f t="shared" si="19"/>
        <v>0</v>
      </c>
      <c r="AQ17" s="150">
        <f t="shared" si="19"/>
        <v>0</v>
      </c>
      <c r="AR17" s="150">
        <f t="shared" si="19"/>
        <v>26400</v>
      </c>
      <c r="AS17" s="150">
        <f t="shared" si="19"/>
        <v>23200</v>
      </c>
      <c r="AT17" s="448">
        <f t="shared" si="19"/>
        <v>0</v>
      </c>
      <c r="AU17" s="150">
        <f t="shared" si="19"/>
        <v>23200</v>
      </c>
      <c r="AV17" s="448">
        <f t="shared" si="19"/>
        <v>0</v>
      </c>
      <c r="AW17" s="448">
        <f t="shared" si="19"/>
        <v>0</v>
      </c>
      <c r="AX17" s="150">
        <f t="shared" si="19"/>
        <v>46400</v>
      </c>
      <c r="AY17" s="150">
        <f t="shared" si="19"/>
        <v>0</v>
      </c>
      <c r="AZ17" s="448">
        <f t="shared" si="19"/>
        <v>0</v>
      </c>
      <c r="BA17" s="150">
        <f t="shared" si="19"/>
        <v>0</v>
      </c>
      <c r="BB17" s="150">
        <f t="shared" si="19"/>
        <v>0</v>
      </c>
      <c r="BC17" s="150">
        <f t="shared" si="19"/>
        <v>0</v>
      </c>
      <c r="BD17" s="150">
        <f t="shared" si="19"/>
        <v>0</v>
      </c>
      <c r="BE17" s="150">
        <f t="shared" si="19"/>
        <v>0</v>
      </c>
      <c r="BF17" s="150">
        <f t="shared" si="19"/>
        <v>0</v>
      </c>
      <c r="BG17" s="150">
        <f t="shared" si="19"/>
        <v>0</v>
      </c>
      <c r="BH17" s="150">
        <f t="shared" si="19"/>
        <v>0</v>
      </c>
      <c r="BI17" s="150">
        <f t="shared" si="19"/>
        <v>0</v>
      </c>
      <c r="BJ17" s="150">
        <f t="shared" si="19"/>
        <v>978</v>
      </c>
      <c r="BK17" s="150">
        <f t="shared" ref="BK17:BL17" si="20">SUM(BK3:BK13)</f>
        <v>500</v>
      </c>
      <c r="BL17" s="150">
        <f t="shared" si="20"/>
        <v>950</v>
      </c>
      <c r="BM17" s="150">
        <f>SUM(BM3:BM13)</f>
        <v>0</v>
      </c>
      <c r="BN17" s="150">
        <f>SUM(BN3:BN13)</f>
        <v>1450</v>
      </c>
      <c r="BO17" s="150">
        <f t="shared" ref="BO17:BT17" si="21">SUM(BO3:BO13)</f>
        <v>2200</v>
      </c>
      <c r="BP17" s="150">
        <f t="shared" si="21"/>
        <v>16500</v>
      </c>
      <c r="BQ17" s="150">
        <f t="shared" si="21"/>
        <v>9900</v>
      </c>
      <c r="BR17" s="150">
        <f t="shared" si="21"/>
        <v>0</v>
      </c>
      <c r="BS17" s="150">
        <f t="shared" si="21"/>
        <v>1310</v>
      </c>
      <c r="BT17" s="150">
        <f t="shared" si="21"/>
        <v>29910</v>
      </c>
      <c r="BU17" s="150">
        <f>SUM(BU3:BU13)</f>
        <v>372772</v>
      </c>
      <c r="BV17" s="150">
        <f>SUM(BV3:BV13)</f>
        <v>15511</v>
      </c>
      <c r="BW17" s="448"/>
    </row>
    <row r="18" spans="1:75" ht="11.25" customHeight="1"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8"/>
      <c r="BO18" s="2"/>
      <c r="BP18" s="2"/>
      <c r="BQ18" s="2"/>
      <c r="BR18" s="2"/>
      <c r="BS18" s="2"/>
      <c r="BT18" s="2"/>
      <c r="BU18" s="8"/>
      <c r="BV18" s="8"/>
      <c r="BW18" s="2"/>
    </row>
    <row r="19" spans="1:75" ht="11.25" customHeight="1">
      <c r="A19" s="8">
        <v>1113</v>
      </c>
      <c r="B19" s="3" t="s">
        <v>546</v>
      </c>
      <c r="C19" s="8" t="s">
        <v>584</v>
      </c>
      <c r="D19" s="127"/>
      <c r="E19" s="2"/>
      <c r="F19" s="2"/>
      <c r="G19" s="2"/>
      <c r="H19" s="2"/>
      <c r="I19" s="2"/>
      <c r="J19" s="157" t="s">
        <v>441</v>
      </c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2"/>
      <c r="AD19" s="2"/>
      <c r="AE19" s="18" t="s">
        <v>452</v>
      </c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148" t="s">
        <v>189</v>
      </c>
      <c r="AT19" s="2"/>
      <c r="AU19" s="2"/>
      <c r="AV19" s="2"/>
      <c r="AW19" s="2"/>
      <c r="AX19" s="2"/>
      <c r="AY19" s="148" t="s">
        <v>201</v>
      </c>
      <c r="AZ19" s="2"/>
      <c r="BA19" s="2"/>
      <c r="BB19" s="2"/>
      <c r="BC19" s="148" t="s">
        <v>213</v>
      </c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8"/>
      <c r="BO19" s="2" t="s">
        <v>520</v>
      </c>
      <c r="BP19" s="2"/>
      <c r="BQ19" s="2"/>
      <c r="BR19" s="2"/>
      <c r="BS19" s="2"/>
      <c r="BT19" s="2"/>
      <c r="BU19" s="8"/>
      <c r="BV19" s="8"/>
      <c r="BW19" s="2"/>
    </row>
    <row r="20" spans="1:75" ht="11.25" customHeight="1">
      <c r="A20" s="8">
        <v>1114</v>
      </c>
      <c r="B20" s="3" t="s">
        <v>547</v>
      </c>
      <c r="C20" s="8" t="s">
        <v>579</v>
      </c>
      <c r="D20" s="127"/>
      <c r="E20" s="2"/>
      <c r="F20" s="2"/>
      <c r="G20" s="2"/>
      <c r="H20" s="2"/>
      <c r="I20" s="2"/>
      <c r="J20" s="4"/>
      <c r="K20" s="157" t="s">
        <v>442</v>
      </c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2"/>
      <c r="AD20" s="2"/>
      <c r="AE20" s="2"/>
      <c r="AF20" s="157" t="s">
        <v>184</v>
      </c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49" t="s">
        <v>192</v>
      </c>
      <c r="AU20" s="2"/>
      <c r="AV20" s="2"/>
      <c r="AW20" s="2"/>
      <c r="AX20" s="2"/>
      <c r="AY20" s="2"/>
      <c r="AZ20" s="248" t="s">
        <v>202</v>
      </c>
      <c r="BA20" s="2"/>
      <c r="BB20" s="2"/>
      <c r="BC20" s="2"/>
      <c r="BD20" s="169" t="s">
        <v>216</v>
      </c>
      <c r="BE20" s="2"/>
      <c r="BF20" s="2"/>
      <c r="BG20" s="2"/>
      <c r="BH20" s="2"/>
      <c r="BI20" s="2"/>
      <c r="BJ20" s="2"/>
      <c r="BK20" s="2"/>
      <c r="BL20" s="2"/>
      <c r="BM20" s="2"/>
      <c r="BN20" s="8"/>
      <c r="BO20" s="2"/>
      <c r="BP20" s="2" t="s">
        <v>521</v>
      </c>
      <c r="BQ20" s="2"/>
      <c r="BR20" s="2"/>
      <c r="BS20" s="2"/>
      <c r="BT20" s="2"/>
      <c r="BU20" s="8"/>
      <c r="BV20" s="8"/>
      <c r="BW20" s="2"/>
    </row>
    <row r="21" spans="1:75" ht="11.25" customHeight="1">
      <c r="A21" s="8">
        <v>1115</v>
      </c>
      <c r="B21" s="141" t="s">
        <v>583</v>
      </c>
      <c r="C21" s="8" t="s">
        <v>584</v>
      </c>
      <c r="D21" s="127"/>
      <c r="E21" s="2"/>
      <c r="F21" s="2"/>
      <c r="G21" s="2"/>
      <c r="H21" s="2"/>
      <c r="I21" s="2"/>
      <c r="J21" s="4"/>
      <c r="K21" s="4"/>
      <c r="L21" s="157" t="s">
        <v>443</v>
      </c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2"/>
      <c r="AD21" s="2"/>
      <c r="AE21" s="2"/>
      <c r="AF21" s="2"/>
      <c r="AG21" s="18" t="s">
        <v>453</v>
      </c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148" t="s">
        <v>190</v>
      </c>
      <c r="AV21" s="2"/>
      <c r="AW21" s="2"/>
      <c r="AX21" s="2"/>
      <c r="AY21" s="2"/>
      <c r="AZ21" s="2"/>
      <c r="BA21" s="148" t="s">
        <v>203</v>
      </c>
      <c r="BB21" s="2"/>
      <c r="BC21" s="2"/>
      <c r="BD21" s="2"/>
      <c r="BE21" s="148" t="s">
        <v>217</v>
      </c>
      <c r="BF21" s="2"/>
      <c r="BG21" s="2"/>
      <c r="BH21" s="2"/>
      <c r="BI21" s="2"/>
      <c r="BJ21" s="2"/>
      <c r="BK21" s="2"/>
      <c r="BL21" s="2"/>
      <c r="BM21" s="2"/>
      <c r="BN21" s="8"/>
      <c r="BO21" s="2"/>
      <c r="BP21" s="2"/>
      <c r="BQ21" s="2" t="s">
        <v>31</v>
      </c>
      <c r="BR21" s="2"/>
      <c r="BS21" s="2"/>
      <c r="BT21" s="2"/>
      <c r="BU21" s="8"/>
      <c r="BV21" s="8"/>
      <c r="BW21" s="2"/>
    </row>
    <row r="22" spans="1:75" ht="11.25" customHeight="1">
      <c r="A22" s="8">
        <v>1121</v>
      </c>
      <c r="C22" s="8" t="s">
        <v>584</v>
      </c>
      <c r="D22" s="127"/>
      <c r="E22" s="2"/>
      <c r="F22" s="2"/>
      <c r="G22" s="2"/>
      <c r="H22" s="2"/>
      <c r="I22" s="2"/>
      <c r="J22" s="4"/>
      <c r="K22" s="4"/>
      <c r="L22" s="4"/>
      <c r="M22" s="171" t="s">
        <v>444</v>
      </c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2"/>
      <c r="AD22" s="2"/>
      <c r="AE22" s="2"/>
      <c r="AF22" s="2"/>
      <c r="AG22" s="2"/>
      <c r="AH22" s="115" t="s">
        <v>454</v>
      </c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8">
        <v>2000</v>
      </c>
      <c r="AT22" s="2"/>
      <c r="AU22" s="2"/>
      <c r="AV22" s="249" t="s">
        <v>191</v>
      </c>
      <c r="AW22" s="2"/>
      <c r="AX22" s="2"/>
      <c r="AY22" s="2"/>
      <c r="AZ22" s="2"/>
      <c r="BA22" s="2"/>
      <c r="BB22" s="2"/>
      <c r="BC22" s="2"/>
      <c r="BD22" s="2"/>
      <c r="BE22" s="2"/>
      <c r="BF22" s="169" t="s">
        <v>219</v>
      </c>
      <c r="BG22" s="2"/>
      <c r="BH22" s="2"/>
      <c r="BI22" s="2"/>
      <c r="BJ22" s="2"/>
      <c r="BK22" s="2"/>
      <c r="BL22" s="2"/>
      <c r="BM22" s="2"/>
      <c r="BN22" s="8"/>
      <c r="BO22" s="2"/>
      <c r="BP22" s="2"/>
      <c r="BQ22" s="2"/>
      <c r="BR22" s="2" t="s">
        <v>522</v>
      </c>
      <c r="BS22" s="2"/>
      <c r="BT22" s="2"/>
      <c r="BU22" s="8"/>
      <c r="BV22" s="8"/>
      <c r="BW22" s="2"/>
    </row>
    <row r="23" spans="1:75" ht="11.25" customHeight="1">
      <c r="A23" s="8">
        <v>1321</v>
      </c>
      <c r="B23" s="3"/>
      <c r="C23" s="8" t="s">
        <v>584</v>
      </c>
      <c r="D23" s="127"/>
      <c r="E23" s="2"/>
      <c r="F23" s="2"/>
      <c r="G23" s="2"/>
      <c r="H23" s="2"/>
      <c r="I23" s="2"/>
      <c r="J23" s="4"/>
      <c r="K23" s="4"/>
      <c r="L23" s="4"/>
      <c r="M23" s="4"/>
      <c r="N23" s="148" t="s">
        <v>445</v>
      </c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2"/>
      <c r="AD23" s="2"/>
      <c r="AE23" s="2"/>
      <c r="AF23" s="2"/>
      <c r="AG23" s="2"/>
      <c r="AH23" s="2"/>
      <c r="AI23" s="18" t="s">
        <v>455</v>
      </c>
      <c r="AJ23" s="2"/>
      <c r="AK23" s="2"/>
      <c r="AL23" s="2"/>
      <c r="AM23" s="2"/>
      <c r="AN23" s="2"/>
      <c r="AO23" s="2"/>
      <c r="AP23" s="2"/>
      <c r="AQ23" s="2"/>
      <c r="AR23" s="2"/>
      <c r="AS23" s="8">
        <v>1100</v>
      </c>
      <c r="AT23" s="2"/>
      <c r="AU23" s="2"/>
      <c r="AV23" s="2"/>
      <c r="AW23" s="248" t="s">
        <v>198</v>
      </c>
      <c r="AX23" s="2"/>
      <c r="AY23" s="2"/>
      <c r="AZ23" s="2"/>
      <c r="BA23" s="2"/>
      <c r="BB23" s="2"/>
      <c r="BC23" s="2"/>
      <c r="BD23" s="2"/>
      <c r="BE23" s="2"/>
      <c r="BF23" s="2"/>
      <c r="BG23" s="148" t="s">
        <v>220</v>
      </c>
      <c r="BH23" s="2"/>
      <c r="BI23" s="2"/>
      <c r="BJ23" s="2"/>
      <c r="BK23" s="2"/>
      <c r="BL23" s="2"/>
      <c r="BM23" s="2"/>
      <c r="BN23" s="8"/>
      <c r="BO23" s="2"/>
      <c r="BP23" s="2"/>
      <c r="BQ23" s="2"/>
      <c r="BR23" s="2"/>
      <c r="BS23" s="2" t="s">
        <v>59</v>
      </c>
      <c r="BT23" s="2"/>
      <c r="BU23" s="8"/>
      <c r="BV23" s="8"/>
    </row>
    <row r="24" spans="1:75" ht="11.25" customHeight="1">
      <c r="A24" s="8">
        <v>1469</v>
      </c>
      <c r="B24" s="3" t="s">
        <v>542</v>
      </c>
      <c r="C24" s="8" t="s">
        <v>552</v>
      </c>
      <c r="D24" s="127"/>
      <c r="E24" s="2"/>
      <c r="F24" s="2"/>
      <c r="G24" s="2"/>
      <c r="H24" s="2"/>
      <c r="I24" s="2"/>
      <c r="J24" s="4"/>
      <c r="K24" s="4"/>
      <c r="L24" s="4"/>
      <c r="M24" s="4"/>
      <c r="N24" s="4"/>
      <c r="O24" s="148" t="s">
        <v>500</v>
      </c>
      <c r="P24" s="4"/>
      <c r="Q24" s="171"/>
      <c r="R24" s="171"/>
      <c r="S24" s="171"/>
      <c r="T24" s="4"/>
      <c r="U24" s="4"/>
      <c r="V24" s="4"/>
      <c r="W24" s="4"/>
      <c r="X24" s="4"/>
      <c r="Y24" s="4"/>
      <c r="Z24" s="4"/>
      <c r="AA24" s="4"/>
      <c r="AB24" s="4"/>
      <c r="AC24" s="2"/>
      <c r="AD24" s="2"/>
      <c r="AE24" s="2"/>
      <c r="AF24" s="2"/>
      <c r="AG24" s="2"/>
      <c r="AH24" s="2"/>
      <c r="AI24" s="2"/>
      <c r="AJ24" s="247" t="s">
        <v>456</v>
      </c>
      <c r="AK24" s="115"/>
      <c r="AL24" s="115"/>
      <c r="AM24" s="115"/>
      <c r="AN24" s="115"/>
      <c r="AO24" s="115"/>
      <c r="AP24" s="115"/>
      <c r="AQ24" s="115"/>
      <c r="AR24" s="2"/>
      <c r="AS24" s="2"/>
      <c r="AT24" s="2"/>
      <c r="AU24" s="2"/>
      <c r="AV24" s="2"/>
      <c r="AW24" s="2"/>
      <c r="AX24" s="2"/>
      <c r="AY24" s="2"/>
      <c r="AZ24" s="2"/>
      <c r="BA24" s="148" t="s">
        <v>209</v>
      </c>
      <c r="BB24" s="2"/>
      <c r="BC24" s="2"/>
      <c r="BD24" s="2"/>
      <c r="BE24" s="2"/>
      <c r="BF24" s="2"/>
      <c r="BG24" s="2"/>
      <c r="BH24" s="169" t="s">
        <v>221</v>
      </c>
      <c r="BI24" s="2"/>
      <c r="BJ24" s="2"/>
      <c r="BK24" s="2"/>
      <c r="BL24" s="2"/>
      <c r="BM24" s="2"/>
      <c r="BN24" s="8"/>
      <c r="BO24" s="2"/>
      <c r="BP24" s="2"/>
      <c r="BQ24" s="2"/>
      <c r="BR24" s="2"/>
      <c r="BS24" s="2"/>
      <c r="BT24" s="2"/>
      <c r="BU24" s="8"/>
      <c r="BV24" s="8"/>
    </row>
    <row r="25" spans="1:75">
      <c r="B25" s="303" t="s">
        <v>543</v>
      </c>
      <c r="C25" s="8" t="s">
        <v>553</v>
      </c>
      <c r="D25" s="82"/>
      <c r="E25" s="2"/>
      <c r="F25" s="2"/>
      <c r="G25" s="2"/>
      <c r="H25" s="2"/>
      <c r="I25" s="2"/>
      <c r="J25" s="4"/>
      <c r="K25" s="4"/>
      <c r="L25" s="4"/>
      <c r="M25" s="4"/>
      <c r="N25" s="4"/>
      <c r="O25" s="4"/>
      <c r="P25" s="171" t="s">
        <v>446</v>
      </c>
      <c r="Q25" s="171"/>
      <c r="R25" s="171"/>
      <c r="S25" s="171"/>
      <c r="T25" s="4"/>
      <c r="U25" s="4"/>
      <c r="V25" s="4"/>
      <c r="W25" s="4"/>
      <c r="X25" s="4"/>
      <c r="Y25" s="4"/>
      <c r="Z25" s="4"/>
      <c r="AA25" s="4"/>
      <c r="AB25" s="4"/>
      <c r="AC25" s="2"/>
      <c r="AD25" s="2"/>
      <c r="AE25" s="2"/>
      <c r="AF25" s="2"/>
      <c r="AG25" s="2"/>
      <c r="AH25" s="2"/>
      <c r="AI25" s="2"/>
      <c r="AJ25" s="2"/>
      <c r="AK25" s="156" t="s">
        <v>457</v>
      </c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49" t="s">
        <v>207</v>
      </c>
      <c r="BB25" s="2"/>
      <c r="BC25" s="2"/>
      <c r="BD25" s="2"/>
      <c r="BE25" s="2"/>
      <c r="BF25" s="2"/>
      <c r="BG25" s="2"/>
      <c r="BH25" s="2"/>
      <c r="BI25" s="148" t="s">
        <v>222</v>
      </c>
      <c r="BJ25" s="2"/>
      <c r="BK25" s="2"/>
      <c r="BL25" s="2"/>
      <c r="BM25" s="2"/>
      <c r="BN25" s="8"/>
      <c r="BO25" s="2"/>
      <c r="BP25" s="2"/>
      <c r="BQ25" s="2"/>
      <c r="BR25" s="2"/>
      <c r="BS25" s="2"/>
      <c r="BT25" s="2"/>
      <c r="BU25" s="8"/>
      <c r="BV25" s="8"/>
    </row>
    <row r="26" spans="1:75">
      <c r="B26" s="303" t="s">
        <v>544</v>
      </c>
      <c r="C26" s="8" t="s">
        <v>552</v>
      </c>
      <c r="D26" s="82"/>
      <c r="E26" s="2"/>
      <c r="F26" s="2"/>
      <c r="G26" s="2"/>
      <c r="H26" s="2"/>
      <c r="I26" s="2"/>
      <c r="J26" s="4"/>
      <c r="K26" s="4"/>
      <c r="L26" s="4"/>
      <c r="M26" s="4"/>
      <c r="N26" s="4"/>
      <c r="O26" s="4"/>
      <c r="P26" s="4"/>
      <c r="Q26" s="148" t="s">
        <v>467</v>
      </c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2"/>
      <c r="AD26" s="2"/>
      <c r="AE26" s="2"/>
      <c r="AF26" s="2"/>
      <c r="AG26" s="2"/>
      <c r="AH26" s="2"/>
      <c r="AI26" s="2"/>
      <c r="AJ26" s="2"/>
      <c r="AK26" s="2"/>
      <c r="AL26" s="115" t="s">
        <v>497</v>
      </c>
      <c r="AM26" s="115"/>
      <c r="AN26" s="115"/>
      <c r="AO26" s="115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148" t="s">
        <v>208</v>
      </c>
      <c r="BB26" s="2"/>
      <c r="BC26" s="2"/>
      <c r="BD26" s="2"/>
      <c r="BE26" s="2"/>
      <c r="BF26" s="2"/>
      <c r="BG26" s="2"/>
      <c r="BH26" s="2"/>
      <c r="BI26" s="2"/>
      <c r="BJ26" s="169" t="s">
        <v>289</v>
      </c>
      <c r="BK26" s="169"/>
      <c r="BL26" s="169"/>
      <c r="BM26" s="2"/>
      <c r="BN26" s="8"/>
      <c r="BO26" s="2"/>
      <c r="BP26" s="2"/>
      <c r="BQ26" s="2"/>
      <c r="BR26" s="2"/>
      <c r="BS26" s="2"/>
      <c r="BT26" s="2"/>
      <c r="BU26" s="8"/>
      <c r="BV26" s="8"/>
    </row>
    <row r="27" spans="1:75">
      <c r="B27" s="131"/>
      <c r="C27" s="8" t="s">
        <v>552</v>
      </c>
      <c r="D27" s="82"/>
      <c r="E27" s="2"/>
      <c r="F27" s="2"/>
      <c r="G27" s="2"/>
      <c r="H27" s="2"/>
      <c r="I27" s="2"/>
      <c r="J27" s="4"/>
      <c r="K27" s="4"/>
      <c r="L27" s="4"/>
      <c r="M27" s="4"/>
      <c r="N27" s="4"/>
      <c r="O27" s="4"/>
      <c r="P27" s="4"/>
      <c r="Q27" s="4"/>
      <c r="R27" s="170" t="s">
        <v>468</v>
      </c>
      <c r="S27" s="171"/>
      <c r="T27" s="4"/>
      <c r="U27" s="4"/>
      <c r="V27" s="4"/>
      <c r="W27" s="4"/>
      <c r="X27" s="4"/>
      <c r="Y27" s="4"/>
      <c r="Z27" s="4"/>
      <c r="AA27" s="4"/>
      <c r="AB27" s="4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156" t="s">
        <v>498</v>
      </c>
      <c r="AN27" s="2"/>
      <c r="AO27" s="156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169" t="s">
        <v>210</v>
      </c>
      <c r="BB27" s="2"/>
      <c r="BC27" s="2"/>
      <c r="BD27" s="2"/>
      <c r="BE27" s="2"/>
      <c r="BF27" s="2"/>
      <c r="BG27" s="2"/>
      <c r="BH27" s="2"/>
      <c r="BI27" s="2"/>
      <c r="BJ27" s="2"/>
      <c r="BK27" s="148" t="s">
        <v>486</v>
      </c>
      <c r="BL27" s="148"/>
      <c r="BM27" s="2"/>
      <c r="BN27" s="8"/>
      <c r="BO27" s="2"/>
      <c r="BP27" s="2"/>
      <c r="BQ27" s="2"/>
      <c r="BR27" s="2"/>
      <c r="BS27" s="2"/>
      <c r="BT27" s="2"/>
      <c r="BU27" s="8"/>
      <c r="BV27" s="8"/>
    </row>
    <row r="28" spans="1:75">
      <c r="B28" s="3"/>
      <c r="C28" s="8"/>
      <c r="D28" s="82"/>
      <c r="E28" s="86"/>
      <c r="F28" s="86"/>
      <c r="G28" s="86"/>
      <c r="H28" s="86"/>
      <c r="I28" s="86"/>
      <c r="J28" s="86"/>
      <c r="K28" s="86"/>
      <c r="L28" s="86"/>
      <c r="M28" s="86"/>
      <c r="N28" s="4"/>
      <c r="O28" s="4"/>
      <c r="P28" s="4"/>
      <c r="Q28" s="4"/>
      <c r="R28" s="4"/>
      <c r="S28" s="148" t="s">
        <v>494</v>
      </c>
      <c r="T28" s="4"/>
      <c r="U28" s="4"/>
      <c r="V28" s="4"/>
      <c r="W28" s="4"/>
      <c r="X28" s="4"/>
      <c r="Y28" s="4"/>
      <c r="Z28" s="4"/>
      <c r="AA28" s="4"/>
      <c r="AB28" s="4"/>
      <c r="AC28" s="2"/>
      <c r="AD28" s="2"/>
      <c r="AE28" s="2"/>
      <c r="AF28" s="2"/>
      <c r="AG28" s="86"/>
      <c r="AH28" s="86"/>
      <c r="AI28" s="86"/>
      <c r="AJ28" s="86"/>
      <c r="AK28" s="86"/>
      <c r="AL28" s="86"/>
      <c r="AM28" s="86"/>
      <c r="AN28" s="115" t="s">
        <v>523</v>
      </c>
      <c r="AO28" s="115"/>
      <c r="AP28" s="86"/>
      <c r="AQ28" s="86"/>
      <c r="AR28" s="86"/>
      <c r="AS28" s="86"/>
      <c r="AT28" s="86"/>
      <c r="AU28" s="86"/>
      <c r="AV28" s="86"/>
      <c r="AW28" s="86"/>
      <c r="AX28" s="86"/>
      <c r="AY28" s="86"/>
      <c r="AZ28" s="86"/>
      <c r="BA28" s="174" t="s">
        <v>255</v>
      </c>
      <c r="BB28" s="86"/>
      <c r="BC28" s="86"/>
      <c r="BD28" s="86"/>
      <c r="BE28" s="86"/>
      <c r="BF28" s="86"/>
      <c r="BG28" s="86"/>
      <c r="BH28" s="86"/>
      <c r="BI28" s="86"/>
      <c r="BJ28" s="86"/>
      <c r="BK28" s="86"/>
      <c r="BL28" s="171" t="s">
        <v>485</v>
      </c>
      <c r="BM28" s="86"/>
      <c r="BN28" s="369"/>
      <c r="BO28" s="86"/>
      <c r="BP28" s="86"/>
      <c r="BQ28" s="86"/>
      <c r="BR28" s="86"/>
      <c r="BS28" s="86"/>
      <c r="BT28" s="86"/>
      <c r="BU28" s="8"/>
      <c r="BV28" s="8"/>
    </row>
    <row r="29" spans="1:75">
      <c r="B29" s="303"/>
      <c r="C29" s="8"/>
      <c r="D29" s="82"/>
      <c r="J29" s="86"/>
      <c r="K29" s="86"/>
      <c r="L29" s="86"/>
      <c r="M29" s="86"/>
      <c r="N29" s="86"/>
      <c r="O29" s="86"/>
      <c r="P29" s="4"/>
      <c r="Q29" s="4"/>
      <c r="R29" s="4"/>
      <c r="S29" s="4"/>
      <c r="T29" s="171" t="s">
        <v>501</v>
      </c>
      <c r="U29" s="4"/>
      <c r="V29" s="4"/>
      <c r="W29" s="4"/>
      <c r="X29" s="4"/>
      <c r="Y29" s="4"/>
      <c r="Z29" s="4"/>
      <c r="AA29" s="4"/>
      <c r="AB29" s="4"/>
      <c r="AC29" s="2"/>
      <c r="AD29" s="86"/>
      <c r="AE29" s="86"/>
      <c r="AF29" s="86"/>
      <c r="AG29" s="86"/>
      <c r="AH29" s="86"/>
      <c r="AI29" s="86"/>
      <c r="AJ29" s="86"/>
      <c r="AK29" s="86"/>
      <c r="AL29" s="86"/>
      <c r="AM29" s="86"/>
      <c r="AN29" s="2"/>
      <c r="AO29" s="156" t="s">
        <v>524</v>
      </c>
      <c r="AP29" s="86"/>
      <c r="AQ29" s="86"/>
      <c r="AR29" s="86"/>
      <c r="AS29" s="86"/>
      <c r="AT29" s="86"/>
      <c r="AU29" s="86"/>
      <c r="AV29" s="86"/>
      <c r="AW29" s="86"/>
      <c r="AX29" s="86"/>
      <c r="AY29" s="86"/>
      <c r="AZ29" s="86"/>
      <c r="BA29" s="175" t="s">
        <v>256</v>
      </c>
      <c r="BB29" s="86"/>
      <c r="BC29" s="86"/>
      <c r="BD29" s="86"/>
      <c r="BE29" s="86"/>
      <c r="BF29" s="86"/>
      <c r="BG29" s="86"/>
      <c r="BH29" s="86"/>
      <c r="BI29" s="86"/>
      <c r="BJ29" s="86"/>
      <c r="BK29" s="86"/>
      <c r="BL29" s="86"/>
      <c r="BM29" s="86"/>
      <c r="BN29" s="369"/>
      <c r="BO29" s="86"/>
      <c r="BP29" s="86"/>
      <c r="BQ29" s="86"/>
      <c r="BR29" s="86"/>
      <c r="BS29" s="86"/>
      <c r="BT29" s="86"/>
      <c r="BU29" s="8"/>
      <c r="BV29" s="8"/>
    </row>
    <row r="30" spans="1:75">
      <c r="B30" s="303"/>
      <c r="C30" s="8"/>
      <c r="D30" s="82"/>
      <c r="L30" s="86"/>
      <c r="M30" s="86"/>
      <c r="N30" s="86"/>
      <c r="O30" s="86"/>
      <c r="P30" s="4"/>
      <c r="Q30" s="4"/>
      <c r="R30" s="4"/>
      <c r="S30" s="4"/>
      <c r="T30" s="4"/>
      <c r="U30" s="171" t="s">
        <v>447</v>
      </c>
      <c r="V30" s="4"/>
      <c r="W30" s="4"/>
      <c r="X30" s="4"/>
      <c r="Y30" s="4"/>
      <c r="Z30" s="4"/>
      <c r="AA30" s="4"/>
      <c r="AB30" s="4"/>
      <c r="AC30" s="2"/>
      <c r="AD30" s="86"/>
      <c r="AE30" s="86"/>
      <c r="AF30" s="86"/>
      <c r="AG30" s="86"/>
      <c r="AH30" s="86"/>
      <c r="AI30" s="86"/>
      <c r="AJ30" s="86"/>
      <c r="AK30" s="86"/>
      <c r="AL30" s="86"/>
      <c r="AM30" s="86"/>
      <c r="AN30" s="86"/>
      <c r="AO30" s="86"/>
      <c r="AP30" s="86"/>
      <c r="AQ30" s="86"/>
      <c r="AR30" s="86"/>
      <c r="AS30" s="86"/>
      <c r="AT30" s="86"/>
      <c r="AU30" s="86"/>
      <c r="AV30" s="86"/>
      <c r="AW30" s="86"/>
      <c r="AX30" s="86"/>
      <c r="AY30" s="86"/>
      <c r="AZ30" s="86"/>
      <c r="BA30" s="174" t="s">
        <v>257</v>
      </c>
      <c r="BB30" s="86"/>
      <c r="BC30" s="86"/>
      <c r="BD30" s="86"/>
      <c r="BE30" s="86"/>
      <c r="BF30" s="86"/>
      <c r="BG30" s="86"/>
      <c r="BH30" s="86"/>
      <c r="BI30" s="86"/>
      <c r="BJ30" s="86"/>
      <c r="BK30" s="86"/>
      <c r="BL30" s="86"/>
      <c r="BM30" s="86"/>
      <c r="BN30" s="369"/>
      <c r="BO30" s="86"/>
      <c r="BP30" s="86"/>
      <c r="BQ30" s="86"/>
      <c r="BR30" s="86"/>
      <c r="BS30" s="86"/>
      <c r="BT30" s="86"/>
      <c r="BU30" s="8"/>
      <c r="BV30" s="8"/>
    </row>
    <row r="31" spans="1:75">
      <c r="B31" s="131"/>
      <c r="C31" s="8"/>
      <c r="D31" s="82"/>
      <c r="L31" s="86"/>
      <c r="M31" s="86"/>
      <c r="N31" s="86"/>
      <c r="O31" s="86"/>
      <c r="P31" s="86"/>
      <c r="Q31" s="86"/>
      <c r="R31" s="86"/>
      <c r="S31" s="86"/>
      <c r="T31" s="4"/>
      <c r="U31" s="4"/>
      <c r="V31" s="148" t="s">
        <v>448</v>
      </c>
      <c r="W31" s="4"/>
      <c r="X31" s="4"/>
      <c r="Y31" s="4"/>
      <c r="Z31" s="4"/>
      <c r="AA31" s="4"/>
      <c r="AB31" s="4"/>
      <c r="AC31" s="86"/>
      <c r="AD31" s="86"/>
      <c r="AE31" s="86"/>
      <c r="AF31" s="86"/>
      <c r="AG31" s="86"/>
      <c r="AH31" s="86"/>
      <c r="AI31" s="86"/>
      <c r="AJ31" s="86"/>
      <c r="AK31" s="86"/>
      <c r="AL31" s="86"/>
      <c r="AM31" s="86"/>
      <c r="AN31" s="86"/>
      <c r="AO31" s="86"/>
      <c r="AP31" s="86"/>
      <c r="AQ31" s="86"/>
      <c r="AR31" s="86"/>
      <c r="AS31" s="86"/>
      <c r="AT31" s="86"/>
      <c r="AU31" s="86"/>
      <c r="AV31" s="86"/>
      <c r="AW31" s="86"/>
      <c r="AX31" s="86"/>
      <c r="AY31" s="86"/>
      <c r="AZ31" s="86"/>
      <c r="BA31" s="86"/>
      <c r="BB31" s="86"/>
      <c r="BC31" s="86"/>
      <c r="BD31" s="86"/>
      <c r="BE31" s="86"/>
      <c r="BF31" s="86"/>
      <c r="BG31" s="86"/>
      <c r="BH31" s="86"/>
      <c r="BI31" s="86"/>
      <c r="BJ31" s="86"/>
      <c r="BK31" s="86"/>
      <c r="BL31" s="86"/>
      <c r="BM31" s="86"/>
      <c r="BN31" s="369"/>
      <c r="BO31" s="86"/>
      <c r="BP31" s="86"/>
      <c r="BQ31" s="86"/>
      <c r="BR31" s="86"/>
      <c r="BS31" s="86"/>
      <c r="BT31" s="86"/>
      <c r="BU31" s="8"/>
      <c r="BV31" s="8"/>
    </row>
    <row r="32" spans="1:75">
      <c r="B32" s="89"/>
      <c r="C32" s="8"/>
      <c r="D32" s="82"/>
      <c r="L32" s="86"/>
      <c r="M32" s="86"/>
      <c r="N32" s="86"/>
      <c r="O32" s="86"/>
      <c r="P32" s="86"/>
      <c r="Q32" s="86"/>
      <c r="R32" s="86"/>
      <c r="S32" s="86"/>
      <c r="T32" s="4"/>
      <c r="U32" s="4"/>
      <c r="V32" s="4"/>
      <c r="W32" s="170" t="s">
        <v>449</v>
      </c>
      <c r="X32" s="4"/>
      <c r="Y32" s="4"/>
      <c r="Z32" s="4"/>
      <c r="AA32" s="86"/>
      <c r="AB32" s="86"/>
      <c r="AC32" s="86"/>
      <c r="AD32" s="86"/>
      <c r="AE32" s="86"/>
      <c r="AF32" s="86"/>
      <c r="AG32" s="86"/>
      <c r="AH32" s="86"/>
      <c r="AI32" s="86"/>
      <c r="AJ32" s="86"/>
      <c r="AK32" s="86"/>
      <c r="AL32" s="86"/>
      <c r="AM32" s="86"/>
      <c r="AN32" s="86"/>
      <c r="AO32" s="86"/>
      <c r="AP32" s="86"/>
      <c r="AQ32" s="86"/>
      <c r="AR32" s="86"/>
      <c r="AS32" s="86"/>
      <c r="AT32" s="86"/>
      <c r="AU32" s="86"/>
      <c r="AV32" s="86"/>
      <c r="AW32" s="86"/>
      <c r="AX32" s="86"/>
      <c r="AY32" s="86"/>
      <c r="AZ32" s="86"/>
      <c r="BA32" s="86"/>
      <c r="BB32" s="86"/>
      <c r="BC32" s="86"/>
      <c r="BD32" s="86"/>
      <c r="BE32" s="86"/>
      <c r="BF32" s="86"/>
      <c r="BG32" s="86"/>
      <c r="BH32" s="86"/>
      <c r="BI32" s="86"/>
      <c r="BJ32" s="86"/>
      <c r="BK32" s="86"/>
      <c r="BL32" s="86"/>
      <c r="BM32" s="86"/>
      <c r="BN32" s="369"/>
      <c r="BO32" s="86"/>
      <c r="BP32" s="86"/>
      <c r="BQ32" s="86"/>
      <c r="BR32" s="86"/>
      <c r="BS32" s="86"/>
      <c r="BT32" s="86"/>
      <c r="BU32" s="8"/>
      <c r="BV32" s="8"/>
    </row>
    <row r="33" spans="1:74">
      <c r="A33" s="8">
        <v>1470</v>
      </c>
      <c r="B33" s="89"/>
      <c r="C33" s="8" t="s">
        <v>554</v>
      </c>
      <c r="L33" s="86"/>
      <c r="M33" s="86"/>
      <c r="N33" s="86"/>
      <c r="O33" s="86"/>
      <c r="P33" s="86"/>
      <c r="Q33" s="86"/>
      <c r="R33" s="86"/>
      <c r="S33" s="86"/>
      <c r="T33" s="4"/>
      <c r="U33" s="4"/>
      <c r="V33" s="4"/>
      <c r="W33" s="4"/>
      <c r="X33" s="171" t="s">
        <v>450</v>
      </c>
      <c r="Y33" s="86"/>
      <c r="Z33" s="86"/>
      <c r="AA33" s="86"/>
      <c r="AB33" s="86"/>
      <c r="AC33" s="86"/>
      <c r="AD33" s="86"/>
      <c r="AE33" s="86"/>
      <c r="AF33" s="86"/>
      <c r="AG33" s="86"/>
      <c r="AH33" s="86"/>
      <c r="AI33" s="86"/>
      <c r="AJ33" s="86"/>
      <c r="AK33" s="86"/>
      <c r="AL33" s="86"/>
      <c r="AM33" s="86"/>
      <c r="AN33" s="86"/>
      <c r="AO33" s="86"/>
      <c r="AP33" s="86"/>
      <c r="AQ33" s="86"/>
      <c r="AR33" s="86"/>
      <c r="AS33" s="86"/>
      <c r="AT33" s="86"/>
      <c r="AU33" s="86"/>
      <c r="AV33" s="86"/>
      <c r="AW33" s="86"/>
      <c r="AX33" s="86"/>
      <c r="AY33" s="86"/>
      <c r="AZ33" s="86"/>
      <c r="BA33" s="86"/>
      <c r="BB33" s="86"/>
      <c r="BC33" s="86"/>
      <c r="BD33" s="86"/>
      <c r="BE33" s="86"/>
      <c r="BF33" s="86"/>
      <c r="BG33" s="86"/>
      <c r="BH33" s="86"/>
      <c r="BI33" s="86"/>
      <c r="BJ33" s="86"/>
      <c r="BK33" s="86"/>
      <c r="BL33" s="86"/>
      <c r="BM33" s="86"/>
      <c r="BN33" s="369"/>
      <c r="BO33" s="86"/>
      <c r="BP33" s="86"/>
      <c r="BQ33" s="86"/>
      <c r="BR33" s="86"/>
      <c r="BS33" s="86"/>
      <c r="BT33" s="86"/>
    </row>
    <row r="34" spans="1:74">
      <c r="B34" s="89"/>
      <c r="C34" s="8"/>
      <c r="K34" s="3"/>
      <c r="L34" s="86"/>
      <c r="M34" s="86"/>
      <c r="N34" s="86"/>
      <c r="O34" s="86"/>
      <c r="P34" s="86"/>
      <c r="Q34" s="86"/>
      <c r="R34" s="86"/>
      <c r="S34" s="86"/>
      <c r="T34" s="86"/>
      <c r="U34" s="86"/>
      <c r="V34" s="86"/>
      <c r="W34" s="86"/>
      <c r="X34" s="86"/>
      <c r="Y34" s="148" t="s">
        <v>286</v>
      </c>
      <c r="Z34" s="86"/>
      <c r="AA34" s="86"/>
      <c r="AB34" s="86"/>
      <c r="AC34" s="86"/>
      <c r="AD34" s="86"/>
      <c r="AE34" s="86"/>
      <c r="AF34" s="86"/>
      <c r="AG34" s="86"/>
      <c r="AH34" s="86"/>
      <c r="AI34" s="86"/>
      <c r="AJ34" s="86"/>
      <c r="AK34" s="86"/>
      <c r="AL34" s="86"/>
      <c r="AM34" s="86"/>
      <c r="AN34" s="86"/>
      <c r="AO34" s="86"/>
      <c r="AP34" s="86"/>
      <c r="AQ34" s="86"/>
      <c r="AR34" s="86"/>
      <c r="AS34" s="86"/>
      <c r="AT34" s="86"/>
      <c r="AU34" s="86"/>
      <c r="AV34" s="86"/>
      <c r="AW34" s="86"/>
      <c r="AX34" s="86"/>
      <c r="AY34" s="86"/>
      <c r="AZ34" s="86"/>
      <c r="BA34" s="86"/>
      <c r="BB34" s="86"/>
      <c r="BC34" s="86"/>
      <c r="BD34" s="86"/>
      <c r="BE34" s="86"/>
      <c r="BF34" s="86"/>
      <c r="BG34" s="86"/>
      <c r="BH34" s="86"/>
      <c r="BI34" s="86"/>
      <c r="BJ34" s="86"/>
      <c r="BK34" s="86"/>
      <c r="BL34" s="86"/>
      <c r="BM34" s="86"/>
      <c r="BN34" s="369"/>
      <c r="BO34" s="86"/>
      <c r="BP34" s="86"/>
      <c r="BQ34" s="86"/>
      <c r="BR34" s="86"/>
      <c r="BS34" s="86"/>
      <c r="BT34" s="86"/>
    </row>
    <row r="35" spans="1:74">
      <c r="A35" s="8">
        <v>1471</v>
      </c>
      <c r="B35" s="3" t="s">
        <v>546</v>
      </c>
      <c r="C35" s="8" t="s">
        <v>553</v>
      </c>
      <c r="K35" s="3"/>
      <c r="L35" s="86"/>
      <c r="M35" s="86"/>
      <c r="N35" s="86"/>
      <c r="O35" s="86"/>
      <c r="P35" s="86"/>
      <c r="Q35" s="86"/>
      <c r="R35" s="86"/>
      <c r="S35" s="86"/>
      <c r="T35" s="86"/>
      <c r="U35" s="86"/>
      <c r="V35" s="86"/>
      <c r="W35" s="86"/>
      <c r="X35" s="86"/>
      <c r="Y35" s="86"/>
      <c r="Z35" s="171" t="s">
        <v>451</v>
      </c>
      <c r="AA35" s="86"/>
      <c r="AB35" s="86"/>
      <c r="AC35" s="86"/>
      <c r="AD35" s="86"/>
      <c r="AE35" s="86"/>
      <c r="AF35" s="86"/>
      <c r="AG35" s="86"/>
      <c r="AH35" s="86"/>
      <c r="AI35" s="86"/>
      <c r="AJ35" s="86"/>
      <c r="AK35" s="86"/>
      <c r="AL35" s="86"/>
      <c r="AM35" s="86"/>
      <c r="AN35" s="86"/>
      <c r="AO35" s="86"/>
      <c r="AP35" s="86"/>
      <c r="AQ35" s="86"/>
      <c r="AR35" s="86"/>
      <c r="AS35" s="86"/>
      <c r="AT35" s="86"/>
      <c r="AU35" s="86"/>
      <c r="AV35" s="86"/>
      <c r="AW35" s="86"/>
      <c r="AX35" s="86"/>
      <c r="AY35" s="86"/>
      <c r="AZ35" s="86"/>
      <c r="BA35" s="86"/>
      <c r="BB35" s="86"/>
      <c r="BC35" s="86"/>
      <c r="BD35" s="86"/>
      <c r="BE35" s="86"/>
      <c r="BF35" s="86"/>
      <c r="BG35" s="86"/>
      <c r="BH35" s="86"/>
      <c r="BI35" s="86"/>
      <c r="BJ35" s="86"/>
      <c r="BK35" s="86"/>
      <c r="BL35" s="86"/>
      <c r="BM35" s="86"/>
      <c r="BN35" s="369"/>
      <c r="BO35" s="86"/>
      <c r="BP35" s="86"/>
      <c r="BQ35" s="86"/>
      <c r="BR35" s="86"/>
      <c r="BS35" s="86"/>
      <c r="BT35" s="86"/>
    </row>
    <row r="36" spans="1:74">
      <c r="B36" s="303"/>
      <c r="C36" s="8"/>
      <c r="K36" s="3"/>
      <c r="L36" s="86"/>
      <c r="M36" s="86"/>
      <c r="N36" s="86"/>
      <c r="O36" s="86"/>
      <c r="P36" s="86"/>
      <c r="Q36" s="86"/>
      <c r="R36" s="86"/>
      <c r="S36" s="86"/>
      <c r="T36" s="86"/>
      <c r="U36" s="86"/>
      <c r="V36" s="86"/>
      <c r="W36" s="86"/>
      <c r="X36" s="86"/>
      <c r="Y36" s="86"/>
      <c r="Z36" s="86"/>
      <c r="AA36" s="86"/>
      <c r="AB36" s="86"/>
      <c r="AC36" s="86"/>
      <c r="AD36" s="86"/>
      <c r="AE36" s="86"/>
      <c r="AF36" s="86"/>
      <c r="AG36" s="86"/>
      <c r="AH36" s="86"/>
      <c r="AI36" s="86"/>
      <c r="AJ36" s="86"/>
      <c r="AK36" s="86"/>
      <c r="AL36" s="86"/>
      <c r="AM36" s="86"/>
      <c r="AN36" s="86"/>
      <c r="AO36" s="86"/>
      <c r="AP36" s="86"/>
      <c r="AQ36" s="86"/>
      <c r="AR36" s="86"/>
      <c r="AS36" s="86"/>
      <c r="AT36" s="86"/>
      <c r="AU36" s="86"/>
      <c r="AV36" s="86"/>
      <c r="AW36" s="86"/>
      <c r="AX36" s="86"/>
      <c r="AY36" s="86"/>
      <c r="AZ36" s="86"/>
      <c r="BA36" s="86"/>
      <c r="BB36" s="86"/>
      <c r="BC36" s="86"/>
      <c r="BD36" s="86"/>
      <c r="BE36" s="86"/>
      <c r="BF36" s="86"/>
      <c r="BG36" s="86"/>
      <c r="BH36" s="86"/>
      <c r="BI36" s="86"/>
      <c r="BJ36" s="86"/>
      <c r="BK36" s="86"/>
      <c r="BL36" s="86"/>
      <c r="BM36" s="86"/>
      <c r="BN36" s="369"/>
      <c r="BO36" s="86"/>
      <c r="BP36" s="86"/>
      <c r="BQ36" s="86"/>
      <c r="BR36" s="86"/>
      <c r="BS36" s="86"/>
      <c r="BT36" s="86"/>
    </row>
    <row r="37" spans="1:74">
      <c r="A37" s="8">
        <v>1472</v>
      </c>
      <c r="B37" s="3" t="s">
        <v>547</v>
      </c>
      <c r="C37" s="8" t="s">
        <v>554</v>
      </c>
      <c r="L37" s="86"/>
      <c r="M37" s="86"/>
      <c r="N37" s="86"/>
      <c r="O37" s="86"/>
      <c r="P37" s="86"/>
      <c r="Q37" s="86"/>
      <c r="R37" s="86"/>
      <c r="S37" s="86"/>
      <c r="T37" s="86"/>
      <c r="U37" s="86"/>
      <c r="V37" s="86"/>
      <c r="W37" s="86"/>
      <c r="X37" s="86"/>
      <c r="Y37" s="86"/>
      <c r="Z37" s="86"/>
      <c r="AA37" s="86"/>
      <c r="AB37" s="86"/>
      <c r="AC37" s="86"/>
      <c r="AD37" s="86"/>
      <c r="AE37" s="86"/>
      <c r="AF37" s="86"/>
      <c r="AG37" s="86"/>
      <c r="AH37" s="86"/>
      <c r="AI37" s="86"/>
      <c r="AJ37" s="86"/>
      <c r="AK37" s="86"/>
      <c r="AL37" s="86"/>
      <c r="AM37" s="86"/>
      <c r="AN37" s="86"/>
      <c r="AO37" s="86"/>
      <c r="AP37" s="86"/>
      <c r="AQ37" s="86"/>
      <c r="AR37" s="86"/>
      <c r="AS37" s="86"/>
      <c r="AT37" s="86"/>
      <c r="AU37" s="86"/>
      <c r="AV37" s="86"/>
      <c r="AW37" s="86"/>
      <c r="AX37" s="86"/>
      <c r="AY37" s="86"/>
      <c r="AZ37" s="86"/>
      <c r="BA37" s="86"/>
      <c r="BB37" s="86"/>
      <c r="BC37" s="86"/>
      <c r="BD37" s="86"/>
      <c r="BE37" s="86"/>
      <c r="BF37" s="86"/>
      <c r="BG37" s="86"/>
      <c r="BH37" s="86"/>
      <c r="BI37" s="86"/>
      <c r="BJ37" s="86"/>
      <c r="BK37" s="86"/>
      <c r="BL37" s="86"/>
      <c r="BM37" s="86"/>
      <c r="BN37" s="369"/>
      <c r="BO37" s="86"/>
      <c r="BP37" s="86"/>
      <c r="BQ37" s="86"/>
      <c r="BR37" s="86"/>
      <c r="BS37" s="86"/>
      <c r="BT37" s="86"/>
    </row>
    <row r="38" spans="1:74">
      <c r="B38" s="3"/>
      <c r="C38" s="8" t="s">
        <v>555</v>
      </c>
      <c r="L38" s="86"/>
      <c r="M38" s="86"/>
      <c r="N38" s="86"/>
      <c r="O38" s="86"/>
      <c r="P38" s="86"/>
      <c r="Q38" s="86"/>
      <c r="R38" s="86"/>
      <c r="S38" s="86"/>
      <c r="T38" s="86"/>
      <c r="U38" s="86"/>
      <c r="V38" s="86"/>
      <c r="W38" s="86"/>
      <c r="X38" s="86"/>
      <c r="Y38" s="86"/>
      <c r="Z38" s="86"/>
      <c r="AA38" s="86"/>
      <c r="AB38" s="86"/>
      <c r="AC38" s="86"/>
      <c r="AD38" s="86"/>
      <c r="AE38" s="86"/>
      <c r="AF38" s="86"/>
      <c r="AG38" s="86"/>
      <c r="AH38" s="86"/>
      <c r="AI38" s="86"/>
      <c r="AJ38" s="86"/>
      <c r="AK38" s="86"/>
      <c r="AL38" s="86"/>
      <c r="AM38" s="86"/>
      <c r="AN38" s="86"/>
      <c r="AO38" s="86"/>
      <c r="AP38" s="86"/>
      <c r="AQ38" s="86"/>
      <c r="AR38" s="86"/>
      <c r="AS38" s="86"/>
      <c r="AT38" s="86"/>
      <c r="AU38" s="86"/>
      <c r="AV38" s="86"/>
      <c r="AW38" s="86"/>
      <c r="AX38" s="86"/>
      <c r="AY38" s="86"/>
      <c r="AZ38" s="86"/>
      <c r="BA38" s="86"/>
      <c r="BB38" s="86"/>
      <c r="BC38" s="86"/>
      <c r="BD38" s="86"/>
      <c r="BE38" s="86"/>
      <c r="BF38" s="86"/>
      <c r="BG38" s="86"/>
      <c r="BH38" s="86"/>
      <c r="BI38" s="86"/>
      <c r="BJ38" s="86"/>
      <c r="BK38" s="86"/>
      <c r="BL38" s="86"/>
      <c r="BM38" s="86"/>
      <c r="BN38" s="369"/>
      <c r="BO38" s="86"/>
      <c r="BP38" s="86"/>
      <c r="BQ38" s="86"/>
      <c r="BR38" s="86"/>
      <c r="BS38" s="86"/>
      <c r="BT38" s="86"/>
    </row>
    <row r="39" spans="1:74">
      <c r="L39" s="86"/>
      <c r="M39" s="86"/>
      <c r="N39" s="86"/>
      <c r="O39" s="86"/>
      <c r="P39" s="86"/>
      <c r="Q39" s="86"/>
      <c r="R39" s="86"/>
      <c r="S39" s="86"/>
      <c r="T39" s="86"/>
      <c r="U39" s="86"/>
      <c r="V39" s="86"/>
      <c r="W39" s="86"/>
      <c r="X39" s="86"/>
      <c r="Y39" s="86"/>
      <c r="Z39" s="86"/>
      <c r="AA39" s="86"/>
      <c r="AB39" s="86"/>
      <c r="AC39" s="86"/>
      <c r="AD39" s="86"/>
      <c r="AE39" s="86"/>
      <c r="AF39" s="86"/>
      <c r="AG39" s="86"/>
      <c r="AH39" s="86"/>
      <c r="AI39" s="86"/>
      <c r="AJ39" s="86"/>
      <c r="AK39" s="86"/>
      <c r="AL39" s="86"/>
      <c r="AM39" s="86"/>
      <c r="AN39" s="86"/>
      <c r="AO39" s="86"/>
      <c r="AP39" s="86"/>
      <c r="AQ39" s="86"/>
      <c r="AR39" s="86"/>
      <c r="AS39" s="86"/>
      <c r="AT39" s="86"/>
      <c r="AU39" s="86"/>
      <c r="AV39" s="86"/>
      <c r="AW39" s="86"/>
      <c r="AX39" s="86"/>
      <c r="AY39" s="86"/>
      <c r="AZ39" s="86"/>
      <c r="BA39" s="86"/>
      <c r="BB39" s="86"/>
      <c r="BC39" s="86"/>
      <c r="BD39" s="86"/>
      <c r="BE39" s="86"/>
      <c r="BF39" s="86"/>
      <c r="BG39" s="86"/>
      <c r="BH39" s="86"/>
      <c r="BI39" s="86"/>
      <c r="BJ39" s="86"/>
      <c r="BK39" s="86"/>
      <c r="BL39" s="86"/>
      <c r="BM39" s="86"/>
      <c r="BN39" s="369"/>
      <c r="BO39" s="86"/>
      <c r="BP39" s="86"/>
      <c r="BQ39" s="86"/>
      <c r="BR39" s="86"/>
      <c r="BS39" s="86"/>
      <c r="BT39" s="86"/>
    </row>
    <row r="40" spans="1:74">
      <c r="L40" s="86"/>
      <c r="M40" s="86"/>
      <c r="N40" s="86"/>
      <c r="O40" s="86"/>
      <c r="P40" s="86"/>
      <c r="Q40" s="86"/>
      <c r="R40" s="86"/>
      <c r="S40" s="86"/>
      <c r="T40" s="86"/>
      <c r="U40" s="86"/>
      <c r="V40" s="86"/>
      <c r="W40" s="86"/>
      <c r="X40" s="86"/>
      <c r="Y40" s="86"/>
      <c r="Z40" s="86"/>
      <c r="AA40" s="86"/>
      <c r="AB40" s="86"/>
      <c r="AC40" s="86"/>
      <c r="AD40" s="86"/>
      <c r="AE40" s="86"/>
      <c r="AF40" s="86"/>
      <c r="AG40" s="86"/>
      <c r="AH40" s="86"/>
      <c r="AI40" s="86"/>
      <c r="AJ40" s="86"/>
      <c r="AK40" s="86"/>
      <c r="AL40" s="86"/>
      <c r="AM40" s="86"/>
      <c r="AN40" s="86"/>
      <c r="AO40" s="86"/>
      <c r="AP40" s="86"/>
      <c r="AQ40" s="86"/>
      <c r="AR40" s="86"/>
      <c r="AS40" s="86"/>
      <c r="AT40" s="86"/>
      <c r="AU40" s="86"/>
      <c r="AV40" s="86"/>
      <c r="AW40" s="86"/>
      <c r="AX40" s="86"/>
      <c r="AY40" s="86"/>
      <c r="AZ40" s="86"/>
      <c r="BA40" s="86"/>
      <c r="BB40" s="86"/>
      <c r="BC40" s="86"/>
      <c r="BD40" s="86"/>
      <c r="BE40" s="86"/>
      <c r="BF40" s="86"/>
      <c r="BG40" s="86"/>
      <c r="BH40" s="86"/>
      <c r="BI40" s="86"/>
      <c r="BJ40" s="86"/>
      <c r="BK40" s="86"/>
      <c r="BL40" s="86"/>
      <c r="BM40" s="86"/>
      <c r="BN40" s="369"/>
      <c r="BO40" s="86"/>
      <c r="BP40" s="86"/>
      <c r="BQ40" s="86"/>
      <c r="BR40" s="86"/>
      <c r="BS40" s="86"/>
      <c r="BT40" s="86"/>
    </row>
    <row r="41" spans="1:74">
      <c r="L41" s="86"/>
      <c r="M41" s="86"/>
      <c r="N41" s="86"/>
      <c r="O41" s="86"/>
      <c r="P41" s="86"/>
      <c r="Q41" s="86"/>
      <c r="R41" s="86"/>
      <c r="S41" s="86"/>
      <c r="T41" s="86"/>
      <c r="U41" s="86"/>
      <c r="V41" s="86"/>
      <c r="W41" s="86"/>
      <c r="X41" s="86"/>
      <c r="Y41" s="86"/>
      <c r="Z41" s="86"/>
      <c r="AA41" s="86"/>
      <c r="AB41" s="86"/>
      <c r="AC41" s="86">
        <v>0</v>
      </c>
      <c r="AD41" s="86"/>
      <c r="AE41" s="86"/>
      <c r="AF41" s="86"/>
      <c r="AG41" s="86"/>
      <c r="AH41" s="86"/>
      <c r="AI41" s="86"/>
      <c r="AJ41" s="86"/>
      <c r="AK41" s="86"/>
      <c r="AL41" s="86"/>
      <c r="AM41" s="86"/>
      <c r="AN41" s="86"/>
      <c r="AO41" s="86"/>
      <c r="AP41" s="86"/>
      <c r="AQ41" s="86"/>
      <c r="AR41" s="86">
        <v>0</v>
      </c>
      <c r="AS41" s="86"/>
      <c r="AT41" s="86"/>
      <c r="AU41" s="86"/>
      <c r="AV41" s="86"/>
      <c r="AW41" s="86"/>
      <c r="AX41" s="86"/>
      <c r="AY41" s="86"/>
      <c r="AZ41" s="86"/>
      <c r="BA41" s="86"/>
      <c r="BB41" s="86"/>
      <c r="BC41" s="86"/>
      <c r="BD41" s="86"/>
      <c r="BE41" s="86"/>
      <c r="BF41" s="86"/>
      <c r="BG41" s="86"/>
      <c r="BH41" s="86"/>
      <c r="BI41" s="86"/>
      <c r="BJ41" s="86"/>
      <c r="BK41" s="86"/>
      <c r="BL41" s="86"/>
      <c r="BM41" s="86"/>
      <c r="BN41" s="369">
        <v>0</v>
      </c>
      <c r="BO41" s="86"/>
      <c r="BP41" s="86"/>
      <c r="BQ41" s="86"/>
      <c r="BR41" s="86"/>
      <c r="BS41" s="86"/>
      <c r="BT41" s="86"/>
      <c r="BU41" s="83">
        <v>0</v>
      </c>
      <c r="BV41" s="83">
        <v>0</v>
      </c>
    </row>
  </sheetData>
  <mergeCells count="13">
    <mergeCell ref="BU1:BW1"/>
    <mergeCell ref="A17:B17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29"/>
  <sheetViews>
    <sheetView workbookViewId="0">
      <pane ySplit="2" topLeftCell="A3" activePane="bottomLeft" state="frozen"/>
      <selection pane="bottomLeft" activeCell="M15" sqref="M15"/>
    </sheetView>
  </sheetViews>
  <sheetFormatPr defaultRowHeight="11.25"/>
  <cols>
    <col min="1" max="1" width="7.28515625" style="8" bestFit="1" customWidth="1"/>
    <col min="2" max="2" width="8.140625" style="8" bestFit="1" customWidth="1"/>
    <col min="3" max="3" width="48.140625" style="89" customWidth="1"/>
    <col min="4" max="4" width="11.140625" style="3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5" width="9" style="2" bestFit="1" customWidth="1"/>
    <col min="16" max="16" width="8.28515625" style="2" customWidth="1"/>
    <col min="17" max="17" width="8.85546875" style="2" bestFit="1" customWidth="1"/>
    <col min="18" max="18" width="9" style="2" bestFit="1" customWidth="1"/>
    <col min="19" max="19" width="7.7109375" style="83" customWidth="1"/>
    <col min="20" max="22" width="5.85546875" style="3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4" ht="15.75" customHeight="1">
      <c r="A1" s="794" t="s">
        <v>1</v>
      </c>
      <c r="B1" s="796" t="s">
        <v>2</v>
      </c>
      <c r="C1" s="798" t="s">
        <v>0</v>
      </c>
      <c r="D1" s="800" t="s">
        <v>7</v>
      </c>
      <c r="E1" s="789" t="s">
        <v>6</v>
      </c>
      <c r="F1" s="790"/>
      <c r="G1" s="791" t="s">
        <v>5</v>
      </c>
      <c r="H1" s="792"/>
      <c r="I1" s="789" t="s">
        <v>64</v>
      </c>
      <c r="J1" s="790"/>
      <c r="K1" s="805" t="s">
        <v>9</v>
      </c>
      <c r="L1" s="593" t="s">
        <v>458</v>
      </c>
      <c r="M1" s="807"/>
      <c r="N1" s="593" t="s">
        <v>83</v>
      </c>
      <c r="O1" s="594"/>
      <c r="P1" s="594"/>
      <c r="Q1" s="594"/>
      <c r="R1" s="594"/>
      <c r="S1" s="801" t="s">
        <v>85</v>
      </c>
      <c r="T1" s="801"/>
      <c r="U1" s="801"/>
      <c r="V1" s="801"/>
      <c r="W1" s="801"/>
      <c r="X1" s="801"/>
    </row>
    <row r="2" spans="1:24" ht="15.75" customHeight="1" thickBot="1">
      <c r="A2" s="795"/>
      <c r="B2" s="797"/>
      <c r="C2" s="799"/>
      <c r="D2" s="672"/>
      <c r="E2" s="62"/>
      <c r="F2" s="35" t="s">
        <v>9</v>
      </c>
      <c r="G2" s="62"/>
      <c r="H2" s="63" t="s">
        <v>9</v>
      </c>
      <c r="I2" s="62"/>
      <c r="J2" s="35" t="s">
        <v>9</v>
      </c>
      <c r="K2" s="806"/>
      <c r="L2" s="245"/>
      <c r="M2" s="173" t="s">
        <v>9</v>
      </c>
      <c r="N2" s="176" t="s">
        <v>140</v>
      </c>
      <c r="O2" s="176" t="s">
        <v>458</v>
      </c>
      <c r="P2" s="176" t="s">
        <v>370</v>
      </c>
      <c r="Q2" s="176" t="s">
        <v>59</v>
      </c>
      <c r="R2" s="176" t="s">
        <v>139</v>
      </c>
      <c r="S2" s="802" t="s">
        <v>464</v>
      </c>
      <c r="T2" s="803"/>
      <c r="U2" s="803"/>
      <c r="V2" s="803"/>
      <c r="W2" s="804"/>
      <c r="X2" s="177" t="s">
        <v>47</v>
      </c>
    </row>
    <row r="3" spans="1:24" s="5" customFormat="1">
      <c r="A3" s="319" t="str">
        <f>'1-συμβολαια'!A3</f>
        <v>1ο</v>
      </c>
      <c r="B3" s="340">
        <f>'1-συμβολαια'!B3</f>
        <v>36751</v>
      </c>
      <c r="C3" s="339" t="str">
        <f>'1-συμβολαια'!C3</f>
        <v>γονικής ΠΡΟΣΥΜΦΩΝΟ</v>
      </c>
      <c r="D3" s="341">
        <f>'1-συμβολαια'!D3</f>
        <v>0</v>
      </c>
      <c r="E3" s="274"/>
      <c r="F3" s="274"/>
      <c r="G3" s="274"/>
      <c r="H3" s="274"/>
      <c r="I3" s="274"/>
      <c r="J3" s="274"/>
      <c r="K3" s="275">
        <f>'1-συμβολαια'!N3</f>
        <v>15058</v>
      </c>
      <c r="L3" s="275">
        <f>'2-δικαιώμ'!O3+'5-αντίγρ'!O3</f>
        <v>814</v>
      </c>
      <c r="M3" s="275">
        <v>814</v>
      </c>
      <c r="N3" s="275">
        <f>'1-συμβολαια'!O3</f>
        <v>-7672</v>
      </c>
      <c r="O3" s="275">
        <f t="shared" ref="O3:O13" si="0">L3-M3</f>
        <v>0</v>
      </c>
      <c r="P3" s="275">
        <f>'8-κ-15-17'!AG3</f>
        <v>0</v>
      </c>
      <c r="Q3" s="275">
        <f>'11-χαρτόσ'!L3+'13-ντιΜιΧο'!BV3</f>
        <v>0</v>
      </c>
      <c r="R3" s="275">
        <f>'13-ντιΜιΧο'!BU3</f>
        <v>23100</v>
      </c>
      <c r="S3" s="284"/>
      <c r="T3" s="277"/>
      <c r="U3" s="277"/>
      <c r="V3" s="277"/>
      <c r="W3" s="277"/>
      <c r="X3" s="280"/>
    </row>
    <row r="4" spans="1:24" s="5" customFormat="1">
      <c r="A4" s="319" t="str">
        <f>'1-συμβολαια'!A4</f>
        <v>2ο</v>
      </c>
      <c r="B4" s="340">
        <f>'1-συμβολαια'!B4</f>
        <v>36751</v>
      </c>
      <c r="C4" s="339" t="str">
        <f>'1-συμβολαια'!C4</f>
        <v>δωρεάς ΠΡΟΣΥΜΦΩΝΟ</v>
      </c>
      <c r="D4" s="341">
        <f>'1-συμβολαια'!D4</f>
        <v>0</v>
      </c>
      <c r="E4" s="274"/>
      <c r="F4" s="274"/>
      <c r="G4" s="274"/>
      <c r="H4" s="274"/>
      <c r="I4" s="274"/>
      <c r="J4" s="274"/>
      <c r="K4" s="275">
        <f>'1-συμβολαια'!N4</f>
        <v>15058</v>
      </c>
      <c r="L4" s="275">
        <f>'2-δικαιώμ'!O4+'5-αντίγρ'!O4</f>
        <v>814</v>
      </c>
      <c r="M4" s="275">
        <v>814</v>
      </c>
      <c r="N4" s="275">
        <f>'1-συμβολαια'!O4</f>
        <v>-3872</v>
      </c>
      <c r="O4" s="275">
        <f t="shared" si="0"/>
        <v>0</v>
      </c>
      <c r="P4" s="275">
        <f>'8-κ-15-17'!AG4</f>
        <v>0</v>
      </c>
      <c r="Q4" s="275">
        <f>'11-χαρτόσ'!L4+'13-ντιΜιΧο'!BV4</f>
        <v>0</v>
      </c>
      <c r="R4" s="275">
        <f>'13-ντιΜιΧο'!BU4</f>
        <v>23150</v>
      </c>
      <c r="S4" s="284"/>
      <c r="T4" s="277"/>
      <c r="U4" s="277"/>
      <c r="V4" s="277"/>
      <c r="W4" s="277"/>
      <c r="X4" s="280"/>
    </row>
    <row r="5" spans="1:24" s="5" customFormat="1">
      <c r="A5" s="319" t="str">
        <f>'1-συμβολαια'!A5</f>
        <v>3ο</v>
      </c>
      <c r="B5" s="340">
        <f>'1-συμβολαια'!B5</f>
        <v>36751</v>
      </c>
      <c r="C5" s="339" t="str">
        <f>'1-συμβολαια'!C5</f>
        <v>δωρεάς ΠΡΟΣΥΜΦΩΝΟ [1ο όροφο 55,63μ2</v>
      </c>
      <c r="D5" s="341">
        <f>'1-συμβολαια'!D5</f>
        <v>0</v>
      </c>
      <c r="E5" s="274"/>
      <c r="F5" s="274"/>
      <c r="G5" s="274"/>
      <c r="H5" s="274"/>
      <c r="I5" s="274"/>
      <c r="J5" s="274"/>
      <c r="K5" s="275">
        <f>'1-συμβολαια'!N5</f>
        <v>15058</v>
      </c>
      <c r="L5" s="275">
        <f>'2-δικαιώμ'!O5+'5-αντίγρ'!O5</f>
        <v>814</v>
      </c>
      <c r="M5" s="275">
        <v>814</v>
      </c>
      <c r="N5" s="275">
        <f>'1-συμβολαια'!O5</f>
        <v>-7672</v>
      </c>
      <c r="O5" s="275">
        <f t="shared" si="0"/>
        <v>0</v>
      </c>
      <c r="P5" s="275">
        <f>'8-κ-15-17'!AG5</f>
        <v>0</v>
      </c>
      <c r="Q5" s="275">
        <f>'11-χαρτόσ'!L5+'13-ντιΜιΧο'!BV5</f>
        <v>0</v>
      </c>
      <c r="R5" s="275">
        <f>'13-ντιΜιΧο'!BU5</f>
        <v>23100</v>
      </c>
      <c r="S5" s="284"/>
      <c r="T5" s="277"/>
      <c r="U5" s="277"/>
      <c r="V5" s="277"/>
      <c r="W5" s="277"/>
      <c r="X5" s="280"/>
    </row>
    <row r="6" spans="1:24" s="5" customFormat="1">
      <c r="A6" s="319" t="str">
        <f>'1-συμβολαια'!A6</f>
        <v>4ο</v>
      </c>
      <c r="B6" s="340">
        <f>'1-συμβολαια'!B6</f>
        <v>36752</v>
      </c>
      <c r="C6" s="339" t="str">
        <f>'1-συμβολαια'!C6</f>
        <v>πληρεξούσιο</v>
      </c>
      <c r="D6" s="341">
        <f>'1-συμβολαια'!D6</f>
        <v>0</v>
      </c>
      <c r="E6" s="274"/>
      <c r="F6" s="274"/>
      <c r="G6" s="274"/>
      <c r="H6" s="274"/>
      <c r="I6" s="274"/>
      <c r="J6" s="274"/>
      <c r="K6" s="275">
        <f>'1-συμβολαια'!N6</f>
        <v>5728</v>
      </c>
      <c r="L6" s="275">
        <f>'2-δικαιώμ'!O6+'5-αντίγρ'!O6</f>
        <v>572</v>
      </c>
      <c r="M6" s="275">
        <v>472</v>
      </c>
      <c r="N6" s="275">
        <f>'1-συμβολαια'!O6</f>
        <v>-300</v>
      </c>
      <c r="O6" s="275">
        <f t="shared" si="0"/>
        <v>100</v>
      </c>
      <c r="P6" s="275">
        <f>'8-κ-15-17'!AG6</f>
        <v>0</v>
      </c>
      <c r="Q6" s="275">
        <f>'11-χαρτόσ'!L6+'13-ντιΜιΧο'!BV6</f>
        <v>0</v>
      </c>
      <c r="R6" s="275">
        <f>'13-ντιΜιΧο'!BU6</f>
        <v>100</v>
      </c>
      <c r="S6" s="284"/>
      <c r="T6" s="277"/>
      <c r="U6" s="277"/>
      <c r="V6" s="277"/>
      <c r="W6" s="277"/>
      <c r="X6" s="280"/>
    </row>
    <row r="7" spans="1:24" s="5" customFormat="1">
      <c r="A7" s="319" t="str">
        <f>'1-συμβολαια'!A7</f>
        <v>5ο</v>
      </c>
      <c r="B7" s="340">
        <f>'1-συμβολαια'!B7</f>
        <v>36855</v>
      </c>
      <c r="C7" s="339" t="str">
        <f>'1-συμβολαια'!C7</f>
        <v>πληρεξούσιο</v>
      </c>
      <c r="D7" s="341">
        <f>'1-συμβολαια'!D7</f>
        <v>0</v>
      </c>
      <c r="E7" s="274"/>
      <c r="F7" s="274"/>
      <c r="G7" s="274"/>
      <c r="H7" s="274"/>
      <c r="I7" s="274"/>
      <c r="J7" s="274"/>
      <c r="K7" s="275">
        <f>'1-συμβολαια'!N7</f>
        <v>3705</v>
      </c>
      <c r="L7" s="275">
        <f>'2-δικαιώμ'!O7+'5-αντίγρ'!O7</f>
        <v>451</v>
      </c>
      <c r="M7" s="275">
        <v>451</v>
      </c>
      <c r="N7" s="275">
        <f>'1-συμβολαια'!O7</f>
        <v>-56</v>
      </c>
      <c r="O7" s="275">
        <f t="shared" ref="O7" si="1">L7-M7</f>
        <v>0</v>
      </c>
      <c r="P7" s="275">
        <f>'8-κ-15-17'!AG7</f>
        <v>0</v>
      </c>
      <c r="Q7" s="275">
        <f>'11-χαρτόσ'!L7+'13-ντιΜιΧο'!BV7</f>
        <v>0</v>
      </c>
      <c r="R7" s="275">
        <f>'13-ντιΜιΧο'!BU7</f>
        <v>100</v>
      </c>
      <c r="S7" s="284"/>
      <c r="T7" s="277"/>
      <c r="U7" s="277"/>
      <c r="V7" s="277"/>
      <c r="W7" s="277"/>
      <c r="X7" s="280"/>
    </row>
    <row r="8" spans="1:24" s="5" customFormat="1">
      <c r="A8" s="442" t="str">
        <f>'1-συμβολαια'!A8</f>
        <v>7ο</v>
      </c>
      <c r="B8" s="340">
        <f>'1-συμβολαια'!B8</f>
        <v>36949</v>
      </c>
      <c r="C8" s="339" t="str">
        <f>'1-συμβολαια'!C8</f>
        <v>διανομή [34,60% {= 7.480.642δρχ}] &amp; {65,40% {= 14.139.710δρχ}]</v>
      </c>
      <c r="D8" s="341">
        <f>'1-συμβολαια'!D8</f>
        <v>21620352</v>
      </c>
      <c r="E8" s="274"/>
      <c r="F8" s="274"/>
      <c r="G8" s="274"/>
      <c r="H8" s="274"/>
      <c r="I8" s="274"/>
      <c r="J8" s="274"/>
      <c r="K8" s="275">
        <f>'1-συμβολαια'!N8</f>
        <v>214439</v>
      </c>
      <c r="L8" s="275">
        <f>'2-δικαιώμ'!O8+'5-αντίγρ'!O8</f>
        <v>40560.633600000008</v>
      </c>
      <c r="M8" s="275">
        <v>40255</v>
      </c>
      <c r="N8" s="275">
        <f>'1-συμβολαια'!O8</f>
        <v>32504.590400000045</v>
      </c>
      <c r="O8" s="275">
        <f t="shared" si="0"/>
        <v>305.6336000000083</v>
      </c>
      <c r="P8" s="275">
        <f>'8-κ-15-17'!AG8</f>
        <v>0</v>
      </c>
      <c r="Q8" s="275">
        <f>'11-χαρτόσ'!L8+'13-ντιΜιΧο'!BV8</f>
        <v>6309</v>
      </c>
      <c r="R8" s="275">
        <f>'13-ντιΜιΧο'!BU8</f>
        <v>127911</v>
      </c>
      <c r="S8" s="284"/>
      <c r="T8" s="277"/>
      <c r="U8" s="277"/>
      <c r="V8" s="277"/>
      <c r="W8" s="277"/>
      <c r="X8" s="280"/>
    </row>
    <row r="9" spans="1:24" s="5" customFormat="1">
      <c r="A9" s="442">
        <f>'1-συμβολαια'!A9</f>
        <v>0</v>
      </c>
      <c r="B9" s="340">
        <f>'1-συμβολαια'!B9</f>
        <v>0</v>
      </c>
      <c r="C9" s="339" t="str">
        <f>'1-συμβολαια'!C9</f>
        <v>εξισορόπηση διαφοράς διανεμομένων</v>
      </c>
      <c r="D9" s="341">
        <f>'1-συμβολαια'!D9</f>
        <v>3329534</v>
      </c>
      <c r="E9" s="274"/>
      <c r="F9" s="274"/>
      <c r="G9" s="274"/>
      <c r="H9" s="274"/>
      <c r="I9" s="274"/>
      <c r="J9" s="274"/>
      <c r="K9" s="275">
        <f>'1-συμβολαια'!N9</f>
        <v>0</v>
      </c>
      <c r="L9" s="275">
        <f>'2-δικαιώμ'!O9+'5-αντίγρ'!O9</f>
        <v>7637.1612000000005</v>
      </c>
      <c r="M9" s="275"/>
      <c r="N9" s="275">
        <f>'1-συμβολαια'!O9</f>
        <v>50477.246800000001</v>
      </c>
      <c r="O9" s="275">
        <f t="shared" ref="O9" si="2">L9-M9</f>
        <v>7637.1612000000005</v>
      </c>
      <c r="P9" s="275">
        <f>'8-κ-15-17'!AG9</f>
        <v>43283.942000000003</v>
      </c>
      <c r="Q9" s="275">
        <f>'11-χαρτόσ'!L9+'13-ντιΜιΧο'!BV9</f>
        <v>100</v>
      </c>
      <c r="R9" s="275">
        <f>'13-ντιΜιΧο'!BU9</f>
        <v>0</v>
      </c>
      <c r="S9" s="284"/>
      <c r="T9" s="277"/>
      <c r="U9" s="277"/>
      <c r="V9" s="277"/>
      <c r="W9" s="277"/>
      <c r="X9" s="280"/>
    </row>
    <row r="10" spans="1:24" s="5" customFormat="1">
      <c r="A10" s="442">
        <f>'1-συμβολαια'!A10</f>
        <v>0</v>
      </c>
      <c r="B10" s="340">
        <f>'1-συμβολαια'!B10</f>
        <v>0</v>
      </c>
      <c r="C10" s="339" t="str">
        <f>'1-συμβολαια'!C10</f>
        <v>χρήσης ΚΑΝΟΝΙΣΝΟΣ</v>
      </c>
      <c r="D10" s="341">
        <f>'1-συμβολαια'!D10</f>
        <v>0</v>
      </c>
      <c r="E10" s="274"/>
      <c r="F10" s="274"/>
      <c r="G10" s="274"/>
      <c r="H10" s="274"/>
      <c r="I10" s="274"/>
      <c r="J10" s="274"/>
      <c r="K10" s="275">
        <f>'1-συμβολαια'!N10</f>
        <v>0</v>
      </c>
      <c r="L10" s="275">
        <f>'2-δικαιώμ'!O10+'5-αντίγρ'!O10</f>
        <v>1540</v>
      </c>
      <c r="M10" s="275"/>
      <c r="N10" s="275">
        <f>'1-συμβολαια'!O10</f>
        <v>18960</v>
      </c>
      <c r="O10" s="275">
        <f t="shared" si="0"/>
        <v>1540</v>
      </c>
      <c r="P10" s="275">
        <f>'8-κ-15-17'!AG10</f>
        <v>0</v>
      </c>
      <c r="Q10" s="275">
        <f>'11-χαρτόσ'!L10+'13-ντιΜιΧο'!BV10</f>
        <v>322</v>
      </c>
      <c r="R10" s="275">
        <f>'13-ντιΜιΧο'!BU10</f>
        <v>100</v>
      </c>
      <c r="S10" s="284"/>
      <c r="T10" s="277"/>
      <c r="U10" s="277"/>
      <c r="V10" s="277"/>
      <c r="W10" s="277"/>
      <c r="X10" s="280"/>
    </row>
    <row r="11" spans="1:24" s="5" customFormat="1" ht="12" thickBot="1">
      <c r="A11" s="535">
        <f>'1-συμβολαια'!A11</f>
        <v>0</v>
      </c>
      <c r="B11" s="493">
        <f>'1-συμβολαια'!B11</f>
        <v>0</v>
      </c>
      <c r="C11" s="536" t="str">
        <f>'1-συμβολαια'!C11</f>
        <v xml:space="preserve">κάθετος ΣΥΣΤΑΣΗ </v>
      </c>
      <c r="D11" s="542">
        <f>'1-συμβολαια'!D11</f>
        <v>0</v>
      </c>
      <c r="E11" s="455"/>
      <c r="F11" s="455"/>
      <c r="G11" s="455"/>
      <c r="H11" s="455"/>
      <c r="I11" s="455"/>
      <c r="J11" s="455"/>
      <c r="K11" s="456">
        <f>'1-συμβολαια'!N11</f>
        <v>0</v>
      </c>
      <c r="L11" s="456">
        <f>'2-δικαιώμ'!O11+'5-αντίγρ'!O11</f>
        <v>3410</v>
      </c>
      <c r="M11" s="456"/>
      <c r="N11" s="456">
        <f>'1-συμβολαια'!O11</f>
        <v>39590</v>
      </c>
      <c r="O11" s="456">
        <f t="shared" ref="O11" si="3">L11-M11</f>
        <v>3410</v>
      </c>
      <c r="P11" s="456">
        <f>'8-κ-15-17'!AG11</f>
        <v>0</v>
      </c>
      <c r="Q11" s="456">
        <f>'11-χαρτόσ'!L11+'13-ντιΜιΧο'!BV11</f>
        <v>2776</v>
      </c>
      <c r="R11" s="456">
        <f>'13-ντιΜιΧο'!BU11</f>
        <v>54500</v>
      </c>
      <c r="S11" s="543"/>
      <c r="T11" s="458"/>
      <c r="U11" s="458"/>
      <c r="V11" s="458"/>
      <c r="W11" s="458"/>
      <c r="X11" s="457"/>
    </row>
    <row r="12" spans="1:24" s="5" customFormat="1">
      <c r="A12" s="340" t="str">
        <f>'1-συμβολαια'!A12</f>
        <v>6ο</v>
      </c>
      <c r="B12" s="340">
        <f>'1-συμβολαια'!B12</f>
        <v>36949</v>
      </c>
      <c r="C12" s="534" t="str">
        <f>'1-συμβολαια'!C12</f>
        <v>πληρεξούσιο</v>
      </c>
      <c r="D12" s="541">
        <f>'1-συμβολαια'!D12</f>
        <v>0</v>
      </c>
      <c r="E12" s="276"/>
      <c r="F12" s="276"/>
      <c r="G12" s="276"/>
      <c r="H12" s="276"/>
      <c r="I12" s="276"/>
      <c r="J12" s="276"/>
      <c r="K12" s="275">
        <f>'1-συμβολαια'!N12</f>
        <v>3915</v>
      </c>
      <c r="L12" s="275">
        <f>'2-δικαιώμ'!O12+'5-αντίγρ'!O12</f>
        <v>451</v>
      </c>
      <c r="M12" s="275">
        <v>451</v>
      </c>
      <c r="N12" s="275">
        <f>'1-συμβολαια'!O12</f>
        <v>-266</v>
      </c>
      <c r="O12" s="275">
        <f t="shared" si="0"/>
        <v>0</v>
      </c>
      <c r="P12" s="275">
        <f>'8-κ-15-17'!AG12</f>
        <v>0</v>
      </c>
      <c r="Q12" s="275">
        <f>'11-χαρτόσ'!L12+'13-ντιΜιΧο'!BV12</f>
        <v>100</v>
      </c>
      <c r="R12" s="275">
        <f>'13-ντιΜιΧο'!BU12</f>
        <v>200</v>
      </c>
      <c r="S12" s="284"/>
      <c r="T12" s="451"/>
      <c r="U12" s="451"/>
      <c r="V12" s="451"/>
      <c r="W12" s="451"/>
      <c r="X12" s="276"/>
    </row>
    <row r="13" spans="1:24" s="5" customFormat="1">
      <c r="A13" s="319" t="str">
        <f>'1-συμβολαια'!A13</f>
        <v>8ο</v>
      </c>
      <c r="B13" s="340">
        <f>'1-συμβολαια'!B13</f>
        <v>36949</v>
      </c>
      <c r="C13" s="339" t="str">
        <f>'1-συμβολαια'!C13</f>
        <v>δωρεα [οικόπεδο42μ2</v>
      </c>
      <c r="D13" s="341">
        <f>'1-συμβολαια'!D13</f>
        <v>725760</v>
      </c>
      <c r="E13" s="280"/>
      <c r="F13" s="280"/>
      <c r="G13" s="280"/>
      <c r="H13" s="280"/>
      <c r="I13" s="280"/>
      <c r="J13" s="280"/>
      <c r="K13" s="275">
        <f>'1-συμβολαια'!N13</f>
        <v>25068</v>
      </c>
      <c r="L13" s="275">
        <f>'2-δικαιώμ'!O13+'5-αντίγρ'!O13</f>
        <v>3676.3679999999995</v>
      </c>
      <c r="M13" s="275">
        <v>2597</v>
      </c>
      <c r="N13" s="275">
        <f>'1-συμβολαια'!O13</f>
        <v>21624.752</v>
      </c>
      <c r="O13" s="275">
        <f t="shared" si="0"/>
        <v>1079.3679999999995</v>
      </c>
      <c r="P13" s="275">
        <f>'8-κ-15-17'!AG13</f>
        <v>-199.35999999999967</v>
      </c>
      <c r="Q13" s="275">
        <f>'11-χαρτόσ'!L13+'13-ντιΜιΧο'!BV13</f>
        <v>6504</v>
      </c>
      <c r="R13" s="275">
        <f>'13-ντιΜιΧο'!BU13</f>
        <v>120511</v>
      </c>
      <c r="S13" s="284"/>
      <c r="T13" s="277"/>
      <c r="U13" s="277"/>
      <c r="V13" s="277"/>
      <c r="W13" s="277"/>
      <c r="X13" s="280"/>
    </row>
    <row r="14" spans="1:24" s="5" customFormat="1">
      <c r="A14" s="319" t="str">
        <f>'1-συμβολαια'!A14</f>
        <v>9ο</v>
      </c>
      <c r="B14" s="340">
        <f>'1-συμβολαια'!B14</f>
        <v>36949</v>
      </c>
      <c r="C14" s="339" t="str">
        <f>'1-συμβολαια'!C14</f>
        <v xml:space="preserve">γονική ΒΑΣΕΙ 1.113 προσυμφώνου </v>
      </c>
      <c r="D14" s="341">
        <f>'1-συμβολαια'!D14</f>
        <v>5112496</v>
      </c>
      <c r="E14" s="274"/>
      <c r="F14" s="274"/>
      <c r="G14" s="274"/>
      <c r="H14" s="274"/>
      <c r="I14" s="274"/>
      <c r="J14" s="274"/>
      <c r="K14" s="275">
        <f>'1-συμβολαια'!N14</f>
        <v>105604</v>
      </c>
      <c r="L14" s="275">
        <f>'2-δικαιώμ'!O14+'5-αντίγρ'!O14</f>
        <v>10604.4928</v>
      </c>
      <c r="M14" s="275">
        <v>10345</v>
      </c>
      <c r="N14" s="275">
        <f>'1-συμβολαια'!O14</f>
        <v>-35498.540799999988</v>
      </c>
      <c r="O14" s="275">
        <f t="shared" ref="O14:O16" si="4">L14-M14</f>
        <v>259.49279999999999</v>
      </c>
      <c r="P14" s="275">
        <f>'8-κ-15-17'!AG14</f>
        <v>573.8440000000046</v>
      </c>
      <c r="Q14" s="275">
        <f>'11-χαρτόσ'!L14+'13-ντιΜιΧο'!BV14</f>
        <v>4904</v>
      </c>
      <c r="R14" s="275">
        <f>'13-ντιΜιΧο'!BU14</f>
        <v>132211</v>
      </c>
      <c r="S14" s="284"/>
      <c r="T14" s="277"/>
      <c r="U14" s="277"/>
      <c r="V14" s="277"/>
      <c r="W14" s="277"/>
      <c r="X14" s="280"/>
    </row>
    <row r="15" spans="1:24" s="5" customFormat="1">
      <c r="A15" s="442" t="str">
        <f>'1-συμβολαια'!A15</f>
        <v>10ο</v>
      </c>
      <c r="B15" s="340">
        <f>'1-συμβολαια'!B15</f>
        <v>36949</v>
      </c>
      <c r="C15" s="339" t="str">
        <f>'1-συμβολαια'!C15</f>
        <v>δωρεά  ΒΑΣΕΙ 1.114 προσυμφώνου</v>
      </c>
      <c r="D15" s="341">
        <f>'1-συμβολαια'!D15</f>
        <v>6471276</v>
      </c>
      <c r="E15" s="274"/>
      <c r="F15" s="274"/>
      <c r="G15" s="274"/>
      <c r="H15" s="274"/>
      <c r="I15" s="274"/>
      <c r="J15" s="274"/>
      <c r="K15" s="275">
        <f>'1-συμβολαια'!N15</f>
        <v>128404</v>
      </c>
      <c r="L15" s="275">
        <f>'2-δικαιώμ'!O15+'5-αντίγρ'!O15</f>
        <v>14986.296800000002</v>
      </c>
      <c r="M15" s="275">
        <v>13989</v>
      </c>
      <c r="N15" s="275">
        <f>'1-συμβολαια'!O15</f>
        <v>-9274.9847999999911</v>
      </c>
      <c r="O15" s="275">
        <f t="shared" si="4"/>
        <v>997.29680000000189</v>
      </c>
      <c r="P15" s="275">
        <f>'8-κ-15-17'!AG15</f>
        <v>777.38900000000285</v>
      </c>
      <c r="Q15" s="275">
        <f>'11-χαρτόσ'!L15+'13-ντιΜιΧο'!BV15</f>
        <v>6504</v>
      </c>
      <c r="R15" s="275">
        <f>'13-ντιΜιΧο'!BU15</f>
        <v>192411</v>
      </c>
      <c r="S15" s="284"/>
      <c r="T15" s="277"/>
      <c r="U15" s="277"/>
      <c r="V15" s="277"/>
      <c r="W15" s="277"/>
      <c r="X15" s="280"/>
    </row>
    <row r="16" spans="1:24" s="5" customFormat="1">
      <c r="A16" s="442">
        <f>'1-συμβολαια'!A16</f>
        <v>0</v>
      </c>
      <c r="B16" s="340">
        <f>'1-συμβολαια'!B16</f>
        <v>0</v>
      </c>
      <c r="C16" s="339" t="str">
        <f>'1-συμβολαια'!C16</f>
        <v xml:space="preserve">κάθετος ΣΥΣΤΑΣΗ </v>
      </c>
      <c r="D16" s="341">
        <f>'1-συμβολαια'!D16</f>
        <v>0</v>
      </c>
      <c r="E16" s="274"/>
      <c r="F16" s="274"/>
      <c r="G16" s="274"/>
      <c r="H16" s="274"/>
      <c r="I16" s="274"/>
      <c r="J16" s="274"/>
      <c r="K16" s="275">
        <f>'1-συμβολαια'!N16</f>
        <v>17700</v>
      </c>
      <c r="L16" s="275">
        <f>'2-δικαιώμ'!O16+'5-αντίγρ'!O16</f>
        <v>2200</v>
      </c>
      <c r="M16" s="275">
        <v>2200</v>
      </c>
      <c r="N16" s="275">
        <f>'1-συμβολαια'!O16</f>
        <v>19500</v>
      </c>
      <c r="O16" s="275">
        <f t="shared" si="4"/>
        <v>0</v>
      </c>
      <c r="P16" s="275">
        <f>'8-κ-15-17'!AG16</f>
        <v>0</v>
      </c>
      <c r="Q16" s="275">
        <f>'11-χαρτόσ'!L16+'13-ντιΜιΧο'!BV16</f>
        <v>3503</v>
      </c>
      <c r="R16" s="275">
        <f>'13-ντιΜιΧο'!BU16</f>
        <v>82700</v>
      </c>
      <c r="S16" s="284"/>
      <c r="T16" s="277"/>
      <c r="U16" s="277"/>
      <c r="V16" s="277"/>
      <c r="W16" s="277"/>
      <c r="X16" s="280"/>
    </row>
    <row r="17" spans="1:28">
      <c r="A17" s="793" t="s">
        <v>56</v>
      </c>
      <c r="B17" s="793"/>
      <c r="C17" s="793"/>
      <c r="D17" s="793"/>
      <c r="E17" s="251">
        <f t="shared" ref="E17:X17" si="5">SUM(E3:E13)</f>
        <v>0</v>
      </c>
      <c r="F17" s="251">
        <f t="shared" si="5"/>
        <v>0</v>
      </c>
      <c r="G17" s="251">
        <f t="shared" si="5"/>
        <v>0</v>
      </c>
      <c r="H17" s="251">
        <f t="shared" si="5"/>
        <v>0</v>
      </c>
      <c r="I17" s="251">
        <f t="shared" si="5"/>
        <v>0</v>
      </c>
      <c r="J17" s="251">
        <f t="shared" si="5"/>
        <v>0</v>
      </c>
      <c r="K17" s="251">
        <f t="shared" si="5"/>
        <v>298029</v>
      </c>
      <c r="L17" s="251">
        <f t="shared" si="5"/>
        <v>60740.162800000013</v>
      </c>
      <c r="M17" s="251">
        <f t="shared" si="5"/>
        <v>46668</v>
      </c>
      <c r="N17" s="251">
        <f t="shared" si="5"/>
        <v>143318.58920000005</v>
      </c>
      <c r="O17" s="251">
        <f t="shared" si="5"/>
        <v>14072.162800000009</v>
      </c>
      <c r="P17" s="251">
        <f t="shared" si="5"/>
        <v>43084.582000000002</v>
      </c>
      <c r="Q17" s="251">
        <f t="shared" si="5"/>
        <v>16111</v>
      </c>
      <c r="R17" s="251">
        <f t="shared" si="5"/>
        <v>372772</v>
      </c>
      <c r="S17" s="285">
        <f t="shared" si="5"/>
        <v>0</v>
      </c>
      <c r="T17" s="285">
        <f t="shared" si="5"/>
        <v>0</v>
      </c>
      <c r="U17" s="285">
        <f t="shared" si="5"/>
        <v>0</v>
      </c>
      <c r="V17" s="285">
        <f t="shared" si="5"/>
        <v>0</v>
      </c>
      <c r="W17" s="285">
        <f t="shared" si="5"/>
        <v>0</v>
      </c>
      <c r="X17" s="286">
        <f t="shared" si="5"/>
        <v>0</v>
      </c>
    </row>
    <row r="19" spans="1:28" s="5" customFormat="1">
      <c r="A19" s="58"/>
      <c r="B19" s="110"/>
      <c r="C19" s="131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112"/>
      <c r="T19" s="83"/>
      <c r="U19" s="83"/>
      <c r="V19" s="83"/>
      <c r="W19" s="83"/>
      <c r="X19" s="83"/>
      <c r="Y19" s="83"/>
      <c r="Z19" s="83"/>
      <c r="AA19" s="83"/>
      <c r="AB19" s="83"/>
    </row>
    <row r="20" spans="1:28" s="5" customFormat="1">
      <c r="A20" s="58"/>
      <c r="B20" s="110"/>
      <c r="C20" s="111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112"/>
      <c r="T20" s="83"/>
      <c r="U20" s="83"/>
      <c r="V20" s="83"/>
      <c r="W20" s="83"/>
      <c r="X20" s="83"/>
      <c r="Y20" s="83"/>
      <c r="Z20" s="83"/>
      <c r="AA20" s="83"/>
      <c r="AB20" s="83"/>
    </row>
    <row r="21" spans="1:28" s="5" customFormat="1">
      <c r="A21" s="58"/>
      <c r="B21" s="110"/>
      <c r="C21" s="111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112"/>
      <c r="T21" s="83"/>
      <c r="U21" s="83"/>
      <c r="V21" s="83"/>
      <c r="W21" s="83"/>
      <c r="X21" s="83"/>
      <c r="Y21" s="83"/>
      <c r="Z21" s="83"/>
      <c r="AA21" s="83"/>
      <c r="AB21" s="83"/>
    </row>
    <row r="22" spans="1:28">
      <c r="T22" s="83"/>
      <c r="U22" s="83"/>
      <c r="V22" s="83"/>
      <c r="W22" s="83"/>
      <c r="X22" s="83"/>
      <c r="Y22" s="83"/>
      <c r="Z22" s="83"/>
      <c r="AA22" s="83"/>
      <c r="AB22" s="83"/>
    </row>
    <row r="24" spans="1:28">
      <c r="M24" s="275">
        <v>2597</v>
      </c>
    </row>
    <row r="25" spans="1:28">
      <c r="M25" s="558"/>
    </row>
    <row r="26" spans="1:28">
      <c r="M26" s="275">
        <v>12644</v>
      </c>
    </row>
    <row r="27" spans="1:28">
      <c r="M27" s="558"/>
    </row>
    <row r="28" spans="1:28">
      <c r="M28" s="275">
        <v>16189</v>
      </c>
      <c r="N28" s="2">
        <f>M28-L16</f>
        <v>13989</v>
      </c>
    </row>
    <row r="29" spans="1:28">
      <c r="M29" s="275"/>
    </row>
  </sheetData>
  <mergeCells count="13">
    <mergeCell ref="S1:X1"/>
    <mergeCell ref="S2:W2"/>
    <mergeCell ref="N1:R1"/>
    <mergeCell ref="K1:K2"/>
    <mergeCell ref="L1:M1"/>
    <mergeCell ref="E1:F1"/>
    <mergeCell ref="G1:H1"/>
    <mergeCell ref="I1:J1"/>
    <mergeCell ref="A17:D17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31"/>
  <sheetViews>
    <sheetView workbookViewId="0">
      <pane ySplit="2" topLeftCell="A3" activePane="bottomLeft" state="frozen"/>
      <selection pane="bottomLeft" activeCell="E29" sqref="E29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17" ht="15.75">
      <c r="A1" s="811" t="s">
        <v>76</v>
      </c>
      <c r="B1" s="811"/>
      <c r="C1" s="811"/>
      <c r="D1" s="811"/>
      <c r="E1" s="811"/>
      <c r="F1" s="811"/>
      <c r="G1" s="811"/>
      <c r="H1" s="811"/>
      <c r="I1" s="811"/>
      <c r="J1" s="811"/>
      <c r="K1" s="811"/>
      <c r="L1" s="811"/>
      <c r="M1" s="811"/>
      <c r="N1" s="811"/>
      <c r="O1" s="811"/>
      <c r="P1" s="811"/>
      <c r="Q1" s="811"/>
    </row>
    <row r="2" spans="1:17" s="9" customFormat="1" ht="23.25" customHeight="1" thickBot="1">
      <c r="A2" s="254" t="s">
        <v>19</v>
      </c>
      <c r="B2" s="812" t="s">
        <v>29</v>
      </c>
      <c r="C2" s="813"/>
      <c r="D2" s="814"/>
      <c r="E2" s="815" t="s">
        <v>85</v>
      </c>
      <c r="F2" s="816"/>
      <c r="G2" s="816"/>
      <c r="H2" s="817"/>
      <c r="I2" s="818" t="s">
        <v>85</v>
      </c>
      <c r="J2" s="819"/>
      <c r="K2" s="819"/>
      <c r="L2" s="820"/>
      <c r="M2" s="255" t="s">
        <v>38</v>
      </c>
      <c r="N2" s="255" t="s">
        <v>39</v>
      </c>
      <c r="O2" s="255" t="s">
        <v>40</v>
      </c>
      <c r="P2" s="255" t="s">
        <v>41</v>
      </c>
      <c r="Q2" s="255" t="s">
        <v>42</v>
      </c>
    </row>
    <row r="3" spans="1:17" s="18" customFormat="1">
      <c r="A3" s="29" t="str">
        <f>'1-συμβολαια'!A3</f>
        <v>1ο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17" s="18" customFormat="1">
      <c r="A4" s="29" t="str">
        <f>'1-συμβολαια'!A4</f>
        <v>2ο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5" spans="1:17" s="18" customFormat="1">
      <c r="A5" s="29" t="str">
        <f>'1-συμβολαια'!A5</f>
        <v>3ο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</row>
    <row r="6" spans="1:17" s="18" customFormat="1">
      <c r="A6" s="29" t="str">
        <f>'1-συμβολαια'!A6</f>
        <v>4ο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</row>
    <row r="7" spans="1:17" s="18" customFormat="1">
      <c r="A7" s="29" t="str">
        <f>'1-συμβολαια'!A7</f>
        <v>5ο</v>
      </c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</row>
    <row r="8" spans="1:17" s="18" customFormat="1">
      <c r="A8" s="29" t="str">
        <f>'1-συμβολαια'!A8</f>
        <v>7ο</v>
      </c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</row>
    <row r="9" spans="1:17" s="18" customFormat="1">
      <c r="A9" s="29">
        <f>'1-συμβολαια'!A9</f>
        <v>0</v>
      </c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</row>
    <row r="10" spans="1:17" s="18" customFormat="1">
      <c r="A10" s="29">
        <f>'1-συμβολαια'!A10</f>
        <v>0</v>
      </c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</row>
    <row r="11" spans="1:17" s="18" customFormat="1">
      <c r="A11" s="29">
        <f>'1-συμβολαια'!A11</f>
        <v>0</v>
      </c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</row>
    <row r="12" spans="1:17" s="18" customFormat="1">
      <c r="A12" s="29" t="str">
        <f>'1-συμβολαια'!A12</f>
        <v>6ο</v>
      </c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</row>
    <row r="13" spans="1:17" s="18" customFormat="1">
      <c r="A13" s="29" t="str">
        <f>'1-συμβολαια'!A13</f>
        <v>8ο</v>
      </c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</row>
    <row r="14" spans="1:17" s="18" customFormat="1">
      <c r="A14" s="29" t="str">
        <f>'1-συμβολαια'!A14</f>
        <v>9ο</v>
      </c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</row>
    <row r="15" spans="1:17" s="18" customFormat="1">
      <c r="A15" s="29" t="str">
        <f>'1-συμβολαια'!A15</f>
        <v>10ο</v>
      </c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</row>
    <row r="16" spans="1:17" s="18" customFormat="1">
      <c r="A16" s="29">
        <f>'1-συμβολαια'!A16</f>
        <v>0</v>
      </c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</row>
    <row r="18" spans="1:23" ht="15.75" customHeight="1">
      <c r="B18" s="808" t="s">
        <v>104</v>
      </c>
      <c r="C18" s="808"/>
      <c r="D18" s="808"/>
      <c r="E18" s="808"/>
      <c r="F18" s="808"/>
      <c r="G18" s="808"/>
      <c r="H18" s="808"/>
      <c r="I18" s="808"/>
      <c r="J18" s="808"/>
      <c r="K18" s="808"/>
      <c r="L18" s="3"/>
      <c r="M18" s="3"/>
      <c r="N18" s="3"/>
      <c r="O18" s="3"/>
      <c r="P18" s="3"/>
      <c r="Q18" s="3"/>
    </row>
    <row r="19" spans="1:23" ht="15.75" customHeight="1">
      <c r="C19" s="810" t="s">
        <v>105</v>
      </c>
      <c r="D19" s="810"/>
      <c r="E19" s="810"/>
      <c r="F19" s="810"/>
      <c r="G19" s="810"/>
      <c r="H19" s="810"/>
      <c r="I19" s="810"/>
      <c r="J19" s="810"/>
      <c r="K19" s="810"/>
      <c r="L19" s="3"/>
      <c r="M19" s="3"/>
      <c r="N19" s="3"/>
      <c r="O19" s="3"/>
      <c r="P19" s="3"/>
      <c r="Q19" s="3"/>
    </row>
    <row r="20" spans="1:23" ht="15.75" customHeight="1">
      <c r="D20" s="808" t="s">
        <v>290</v>
      </c>
      <c r="E20" s="808"/>
      <c r="F20" s="808"/>
      <c r="G20" s="808"/>
      <c r="H20" s="808"/>
      <c r="I20" s="808"/>
      <c r="J20" s="808"/>
      <c r="K20" s="808"/>
      <c r="L20" s="808"/>
      <c r="M20" s="808"/>
      <c r="N20" s="808"/>
      <c r="O20" s="808"/>
      <c r="P20" s="3"/>
      <c r="Q20" s="3"/>
    </row>
    <row r="21" spans="1:23" s="5" customFormat="1" ht="15.75" customHeight="1">
      <c r="A21" s="58"/>
      <c r="B21" s="252"/>
      <c r="C21" s="252"/>
      <c r="D21" s="253"/>
      <c r="E21" s="810" t="s">
        <v>459</v>
      </c>
      <c r="F21" s="810"/>
      <c r="G21" s="810"/>
      <c r="H21" s="810"/>
      <c r="I21" s="810"/>
      <c r="J21" s="810"/>
      <c r="K21" s="810"/>
      <c r="L21" s="810"/>
      <c r="M21" s="810"/>
      <c r="N21" s="3"/>
      <c r="O21" s="3"/>
      <c r="P21" s="3"/>
      <c r="Q21" s="3"/>
    </row>
    <row r="22" spans="1:23" s="5" customFormat="1" ht="15.75" customHeight="1">
      <c r="A22" s="58"/>
      <c r="B22" s="252"/>
      <c r="C22" s="252"/>
      <c r="D22" s="253"/>
      <c r="E22" s="6"/>
      <c r="F22" s="808" t="s">
        <v>127</v>
      </c>
      <c r="G22" s="808"/>
      <c r="H22" s="808"/>
      <c r="I22" s="808"/>
      <c r="J22" s="808"/>
      <c r="K22" s="808"/>
      <c r="L22" s="808"/>
      <c r="M22" s="808"/>
      <c r="N22" s="808"/>
      <c r="O22" s="808"/>
      <c r="P22" s="808"/>
      <c r="Q22" s="3"/>
    </row>
    <row r="23" spans="1:23" s="5" customFormat="1" ht="15.75" customHeight="1">
      <c r="A23" s="58"/>
      <c r="B23" s="252"/>
      <c r="C23" s="252"/>
      <c r="D23" s="253"/>
      <c r="E23" s="6"/>
      <c r="F23" s="6"/>
      <c r="G23" s="810" t="s">
        <v>460</v>
      </c>
      <c r="H23" s="810"/>
      <c r="I23" s="810"/>
      <c r="J23" s="810"/>
      <c r="K23" s="810"/>
      <c r="L23" s="810"/>
      <c r="M23" s="810"/>
      <c r="N23" s="810"/>
      <c r="O23" s="810"/>
      <c r="P23" s="810"/>
      <c r="Q23" s="810"/>
    </row>
    <row r="24" spans="1:23" s="5" customFormat="1" ht="15.75" customHeight="1">
      <c r="A24" s="58"/>
      <c r="B24" s="252"/>
      <c r="C24" s="252"/>
      <c r="D24" s="253"/>
      <c r="E24" s="6"/>
      <c r="F24" s="6"/>
      <c r="G24" s="246"/>
      <c r="H24" s="808" t="s">
        <v>106</v>
      </c>
      <c r="I24" s="808"/>
      <c r="J24" s="808"/>
      <c r="K24" s="808"/>
      <c r="L24" s="808"/>
      <c r="M24" s="808"/>
      <c r="N24" s="808"/>
      <c r="O24" s="3"/>
      <c r="P24" s="3"/>
      <c r="Q24" s="3"/>
      <c r="R24" s="3"/>
      <c r="S24" s="3"/>
      <c r="T24" s="3"/>
      <c r="U24" s="3"/>
      <c r="V24" s="3"/>
      <c r="W24" s="3"/>
    </row>
    <row r="25" spans="1:23" s="5" customFormat="1" ht="15.75" customHeight="1">
      <c r="A25" s="58"/>
      <c r="B25" s="252"/>
      <c r="C25" s="252"/>
      <c r="D25" s="253"/>
      <c r="E25" s="6"/>
      <c r="F25" s="6"/>
      <c r="G25" s="246"/>
      <c r="H25" s="6"/>
      <c r="I25" s="810" t="s">
        <v>107</v>
      </c>
      <c r="J25" s="810"/>
      <c r="K25" s="810"/>
      <c r="L25" s="810"/>
      <c r="M25" s="810"/>
      <c r="N25" s="810"/>
      <c r="O25" s="810"/>
      <c r="P25" s="810"/>
      <c r="Q25" s="810"/>
      <c r="R25" s="810"/>
      <c r="S25" s="3"/>
      <c r="T25" s="3"/>
      <c r="U25" s="3"/>
      <c r="V25" s="3"/>
      <c r="W25" s="3"/>
    </row>
    <row r="26" spans="1:23" s="5" customFormat="1" ht="15.75" customHeight="1">
      <c r="A26" s="58"/>
      <c r="B26" s="252"/>
      <c r="C26" s="252"/>
      <c r="D26" s="253"/>
      <c r="E26" s="6"/>
      <c r="F26" s="6"/>
      <c r="G26" s="246"/>
      <c r="H26" s="6"/>
      <c r="I26" s="6"/>
      <c r="J26" s="808" t="s">
        <v>108</v>
      </c>
      <c r="K26" s="808"/>
      <c r="L26" s="808"/>
      <c r="M26" s="808"/>
      <c r="N26" s="808"/>
      <c r="O26" s="808"/>
      <c r="P26" s="808"/>
      <c r="Q26" s="808"/>
      <c r="R26" s="3"/>
      <c r="S26" s="3"/>
      <c r="T26" s="3"/>
      <c r="U26" s="3"/>
      <c r="V26" s="3"/>
      <c r="W26" s="3"/>
    </row>
    <row r="27" spans="1:23" s="5" customFormat="1" ht="15.75" customHeight="1">
      <c r="A27" s="58"/>
      <c r="B27" s="252"/>
      <c r="C27" s="252"/>
      <c r="D27" s="253"/>
      <c r="E27" s="6"/>
      <c r="F27" s="6"/>
      <c r="G27" s="246"/>
      <c r="H27" s="6"/>
      <c r="I27" s="6"/>
      <c r="J27" s="6"/>
      <c r="K27" s="809" t="s">
        <v>128</v>
      </c>
      <c r="L27" s="809"/>
      <c r="M27" s="809"/>
      <c r="N27" s="809"/>
      <c r="O27" s="809"/>
      <c r="P27" s="809"/>
      <c r="Q27" s="809"/>
      <c r="R27" s="809"/>
      <c r="S27" s="809"/>
      <c r="T27" s="809"/>
      <c r="U27" s="809"/>
      <c r="V27" s="3"/>
      <c r="W27" s="3"/>
    </row>
    <row r="28" spans="1:23" s="5" customFormat="1" ht="15.75" customHeight="1">
      <c r="A28" s="58"/>
      <c r="B28" s="252"/>
      <c r="C28" s="252"/>
      <c r="D28" s="253"/>
      <c r="E28" s="6"/>
      <c r="F28" s="6"/>
      <c r="G28" s="246"/>
      <c r="H28" s="6"/>
      <c r="I28" s="6"/>
      <c r="J28" s="6"/>
      <c r="K28" s="6"/>
      <c r="L28" s="808" t="s">
        <v>109</v>
      </c>
      <c r="M28" s="808"/>
      <c r="N28" s="808"/>
      <c r="O28" s="808"/>
      <c r="P28" s="808"/>
      <c r="Q28" s="808"/>
      <c r="R28" s="808"/>
      <c r="S28" s="808"/>
      <c r="T28" s="3"/>
      <c r="U28" s="3"/>
      <c r="V28" s="3"/>
      <c r="W28" s="3"/>
    </row>
    <row r="29" spans="1:23" s="5" customFormat="1" ht="15.75" customHeight="1">
      <c r="A29" s="58"/>
      <c r="B29" s="252"/>
      <c r="C29" s="252"/>
      <c r="D29" s="253"/>
      <c r="E29" s="6"/>
      <c r="F29" s="6"/>
      <c r="G29" s="246"/>
      <c r="H29" s="6"/>
      <c r="I29" s="6"/>
      <c r="J29" s="6"/>
      <c r="K29" s="6"/>
      <c r="L29" s="3"/>
      <c r="M29" s="810" t="s">
        <v>110</v>
      </c>
      <c r="N29" s="810"/>
      <c r="O29" s="810"/>
      <c r="P29" s="810"/>
      <c r="Q29" s="810"/>
      <c r="R29" s="810"/>
      <c r="S29" s="810"/>
      <c r="T29" s="810"/>
      <c r="U29" s="3"/>
      <c r="V29" s="3"/>
      <c r="W29" s="3"/>
    </row>
    <row r="30" spans="1:23" s="5" customFormat="1" ht="15.75" customHeight="1">
      <c r="A30" s="58"/>
      <c r="B30" s="252"/>
      <c r="C30" s="252"/>
      <c r="D30" s="253"/>
      <c r="E30" s="6"/>
      <c r="F30" s="6"/>
      <c r="G30" s="246"/>
      <c r="H30" s="6"/>
      <c r="I30" s="6"/>
      <c r="J30" s="6"/>
      <c r="K30" s="6"/>
      <c r="L30" s="3"/>
      <c r="M30" s="3"/>
      <c r="N30" s="808" t="s">
        <v>111</v>
      </c>
      <c r="O30" s="808"/>
      <c r="P30" s="808"/>
      <c r="Q30" s="808"/>
      <c r="R30" s="808"/>
      <c r="S30" s="808"/>
      <c r="T30" s="808"/>
      <c r="U30" s="808"/>
      <c r="V30" s="808"/>
      <c r="W30" s="808"/>
    </row>
    <row r="31" spans="1:23" s="5" customFormat="1" ht="15.75" customHeight="1">
      <c r="A31" s="58"/>
      <c r="B31" s="252"/>
      <c r="C31" s="252"/>
      <c r="D31" s="253"/>
      <c r="E31" s="6"/>
      <c r="F31" s="6"/>
      <c r="G31" s="246"/>
      <c r="H31" s="246"/>
      <c r="I31" s="246"/>
      <c r="J31" s="246"/>
      <c r="K31" s="246"/>
      <c r="L31" s="246"/>
      <c r="M31" s="246"/>
      <c r="N31" s="246"/>
      <c r="O31" s="246"/>
      <c r="P31" s="246"/>
      <c r="Q31" s="246"/>
    </row>
  </sheetData>
  <mergeCells count="17">
    <mergeCell ref="H24:N24"/>
    <mergeCell ref="I25:R25"/>
    <mergeCell ref="C19:K19"/>
    <mergeCell ref="D20:O20"/>
    <mergeCell ref="E21:M21"/>
    <mergeCell ref="F22:P22"/>
    <mergeCell ref="G23:Q23"/>
    <mergeCell ref="A1:Q1"/>
    <mergeCell ref="B2:D2"/>
    <mergeCell ref="E2:H2"/>
    <mergeCell ref="I2:L2"/>
    <mergeCell ref="B18:K18"/>
    <mergeCell ref="J26:Q26"/>
    <mergeCell ref="K27:U27"/>
    <mergeCell ref="L28:S28"/>
    <mergeCell ref="M29:T29"/>
    <mergeCell ref="N30:W30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25"/>
  <sheetViews>
    <sheetView workbookViewId="0">
      <pane ySplit="2" topLeftCell="A3" activePane="bottomLeft" state="frozen"/>
      <selection pane="bottomLeft" activeCell="H35" sqref="H35"/>
    </sheetView>
  </sheetViews>
  <sheetFormatPr defaultRowHeight="11.25"/>
  <cols>
    <col min="1" max="1" width="7.42578125" style="8" bestFit="1" customWidth="1"/>
    <col min="2" max="7" width="5.7109375" style="82" bestFit="1" customWidth="1"/>
    <col min="8" max="8" width="46.140625" style="82" customWidth="1"/>
    <col min="9" max="9" width="6.5703125" style="82" customWidth="1"/>
    <col min="10" max="10" width="52.85546875" style="82" customWidth="1"/>
    <col min="11" max="15" width="5.7109375" style="82" bestFit="1" customWidth="1"/>
    <col min="16" max="20" width="5.28515625" style="82" bestFit="1" customWidth="1"/>
    <col min="21" max="16384" width="9.140625" style="3"/>
  </cols>
  <sheetData>
    <row r="1" spans="1:20" ht="15.75">
      <c r="A1" s="811" t="s">
        <v>76</v>
      </c>
      <c r="B1" s="811"/>
      <c r="C1" s="811"/>
      <c r="D1" s="811"/>
      <c r="E1" s="811"/>
      <c r="F1" s="811"/>
      <c r="G1" s="811"/>
      <c r="H1" s="811"/>
      <c r="I1" s="811"/>
      <c r="J1" s="811"/>
      <c r="K1" s="811"/>
      <c r="L1" s="811"/>
      <c r="M1" s="811"/>
      <c r="N1" s="811"/>
      <c r="O1" s="811"/>
      <c r="P1" s="811"/>
      <c r="Q1" s="811"/>
      <c r="R1" s="811"/>
      <c r="S1" s="811"/>
      <c r="T1" s="811"/>
    </row>
    <row r="2" spans="1:20" s="9" customFormat="1" ht="23.25" customHeight="1" thickBot="1">
      <c r="A2" s="254" t="s">
        <v>19</v>
      </c>
      <c r="B2" s="812" t="s">
        <v>29</v>
      </c>
      <c r="C2" s="813"/>
      <c r="D2" s="814"/>
      <c r="E2" s="815" t="s">
        <v>85</v>
      </c>
      <c r="F2" s="816"/>
      <c r="G2" s="817"/>
      <c r="H2" s="822" t="s">
        <v>85</v>
      </c>
      <c r="I2" s="823"/>
      <c r="J2" s="824"/>
      <c r="K2" s="818" t="s">
        <v>85</v>
      </c>
      <c r="L2" s="819"/>
      <c r="M2" s="820"/>
      <c r="N2" s="255" t="s">
        <v>36</v>
      </c>
      <c r="O2" s="255" t="s">
        <v>37</v>
      </c>
      <c r="P2" s="255" t="s">
        <v>38</v>
      </c>
      <c r="Q2" s="255" t="s">
        <v>39</v>
      </c>
      <c r="R2" s="255" t="s">
        <v>40</v>
      </c>
      <c r="S2" s="255" t="s">
        <v>41</v>
      </c>
      <c r="T2" s="255" t="s">
        <v>42</v>
      </c>
    </row>
    <row r="3" spans="1:20" s="18" customFormat="1">
      <c r="A3" s="29" t="str">
        <f>'1-συμβολαια'!A3</f>
        <v>1ο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</row>
    <row r="4" spans="1:20" s="18" customFormat="1">
      <c r="A4" s="29" t="str">
        <f>'1-συμβολαια'!A4</f>
        <v>2ο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</row>
    <row r="5" spans="1:20" s="18" customFormat="1">
      <c r="A5" s="29" t="str">
        <f>'1-συμβολαια'!A5</f>
        <v>3ο</v>
      </c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</row>
    <row r="6" spans="1:20" s="18" customFormat="1">
      <c r="A6" s="29" t="str">
        <f>'1-συμβολαια'!A6</f>
        <v>4ο</v>
      </c>
      <c r="B6" s="81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</row>
    <row r="7" spans="1:20" s="18" customFormat="1">
      <c r="A7" s="29" t="str">
        <f>'1-συμβολαια'!A7</f>
        <v>5ο</v>
      </c>
      <c r="B7" s="81"/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</row>
    <row r="8" spans="1:20" s="18" customFormat="1">
      <c r="A8" s="29" t="str">
        <f>'1-συμβολαια'!A8</f>
        <v>7ο</v>
      </c>
      <c r="B8" s="81"/>
      <c r="C8" s="81"/>
      <c r="D8" s="81"/>
      <c r="E8" s="81"/>
      <c r="F8" s="81"/>
      <c r="G8" s="81"/>
      <c r="H8" s="81"/>
      <c r="I8" s="81"/>
      <c r="J8" s="81"/>
      <c r="K8" s="81"/>
      <c r="L8" s="81"/>
      <c r="M8" s="81"/>
      <c r="N8" s="81"/>
      <c r="O8" s="81"/>
      <c r="P8" s="81"/>
      <c r="Q8" s="81"/>
      <c r="R8" s="81"/>
      <c r="S8" s="81"/>
      <c r="T8" s="81"/>
    </row>
    <row r="9" spans="1:20" s="18" customFormat="1">
      <c r="A9" s="29">
        <f>'1-συμβολαια'!A9</f>
        <v>0</v>
      </c>
      <c r="B9" s="81"/>
      <c r="C9" s="81"/>
      <c r="D9" s="81"/>
      <c r="E9" s="81"/>
      <c r="F9" s="81"/>
      <c r="G9" s="81"/>
      <c r="H9" s="81"/>
      <c r="I9" s="81"/>
      <c r="J9" s="81"/>
      <c r="K9" s="81"/>
      <c r="L9" s="81"/>
      <c r="M9" s="81"/>
      <c r="N9" s="81"/>
      <c r="O9" s="81"/>
      <c r="P9" s="81"/>
      <c r="Q9" s="81"/>
      <c r="R9" s="81"/>
      <c r="S9" s="81"/>
      <c r="T9" s="81"/>
    </row>
    <row r="10" spans="1:20" s="18" customFormat="1">
      <c r="A10" s="29">
        <f>'1-συμβολαια'!A10</f>
        <v>0</v>
      </c>
      <c r="B10" s="81"/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</row>
    <row r="11" spans="1:20" s="18" customFormat="1">
      <c r="A11" s="29">
        <f>'1-συμβολαια'!A11</f>
        <v>0</v>
      </c>
      <c r="B11" s="81"/>
      <c r="C11" s="81"/>
      <c r="D11" s="81"/>
      <c r="E11" s="81"/>
      <c r="F11" s="81"/>
      <c r="G11" s="81"/>
      <c r="H11" s="81"/>
      <c r="I11" s="81"/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</row>
    <row r="12" spans="1:20" s="18" customFormat="1">
      <c r="A12" s="29" t="str">
        <f>'1-συμβολαια'!A12</f>
        <v>6ο</v>
      </c>
      <c r="B12" s="81"/>
      <c r="C12" s="81"/>
      <c r="D12" s="81"/>
      <c r="E12" s="81"/>
      <c r="F12" s="81"/>
      <c r="G12" s="81"/>
      <c r="H12" s="81"/>
      <c r="I12" s="81"/>
      <c r="J12" s="81"/>
      <c r="K12" s="81"/>
      <c r="L12" s="81"/>
      <c r="M12" s="81"/>
      <c r="N12" s="81"/>
      <c r="O12" s="81"/>
      <c r="P12" s="81"/>
      <c r="Q12" s="81"/>
      <c r="R12" s="81"/>
      <c r="S12" s="81"/>
      <c r="T12" s="81"/>
    </row>
    <row r="13" spans="1:20" s="18" customFormat="1">
      <c r="A13" s="29" t="str">
        <f>'1-συμβολαια'!A13</f>
        <v>8ο</v>
      </c>
      <c r="B13" s="81"/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81"/>
      <c r="N13" s="81"/>
      <c r="O13" s="81"/>
      <c r="P13" s="81"/>
      <c r="Q13" s="81"/>
      <c r="R13" s="81"/>
      <c r="S13" s="81"/>
      <c r="T13" s="81"/>
    </row>
    <row r="14" spans="1:20" s="18" customFormat="1">
      <c r="A14" s="29" t="str">
        <f>'1-συμβολαια'!A14</f>
        <v>9ο</v>
      </c>
      <c r="B14" s="81"/>
      <c r="C14" s="81"/>
      <c r="D14" s="81"/>
      <c r="E14" s="81"/>
      <c r="F14" s="81"/>
      <c r="G14" s="81"/>
      <c r="H14" s="81"/>
      <c r="I14" s="81"/>
      <c r="J14" s="81"/>
      <c r="K14" s="81"/>
      <c r="L14" s="81"/>
      <c r="M14" s="81"/>
      <c r="N14" s="81"/>
      <c r="O14" s="81"/>
      <c r="P14" s="81"/>
      <c r="Q14" s="81"/>
      <c r="R14" s="81"/>
      <c r="S14" s="81"/>
      <c r="T14" s="81"/>
    </row>
    <row r="15" spans="1:20" s="18" customFormat="1">
      <c r="A15" s="29" t="str">
        <f>'1-συμβολαια'!A15</f>
        <v>10ο</v>
      </c>
      <c r="B15" s="81"/>
      <c r="C15" s="81"/>
      <c r="D15" s="81"/>
      <c r="E15" s="81"/>
      <c r="F15" s="81"/>
      <c r="G15" s="81"/>
      <c r="H15" s="81"/>
      <c r="I15" s="81"/>
      <c r="J15" s="81"/>
      <c r="K15" s="81"/>
      <c r="L15" s="81"/>
      <c r="M15" s="81"/>
      <c r="N15" s="81"/>
      <c r="O15" s="81"/>
      <c r="P15" s="81"/>
      <c r="Q15" s="81"/>
      <c r="R15" s="81"/>
      <c r="S15" s="81"/>
      <c r="T15" s="81"/>
    </row>
    <row r="16" spans="1:20" s="18" customFormat="1">
      <c r="A16" s="29">
        <f>'1-συμβολαια'!A16</f>
        <v>0</v>
      </c>
      <c r="B16" s="81"/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1"/>
    </row>
    <row r="18" spans="2:15" ht="15.75">
      <c r="B18" s="808" t="s">
        <v>112</v>
      </c>
      <c r="C18" s="808"/>
      <c r="D18" s="808"/>
      <c r="E18" s="808"/>
      <c r="F18" s="808"/>
      <c r="G18" s="808"/>
      <c r="H18" s="808"/>
      <c r="I18" s="119"/>
      <c r="J18" s="6"/>
      <c r="K18" s="6"/>
      <c r="L18" s="3"/>
      <c r="M18" s="3"/>
      <c r="N18" s="3"/>
      <c r="O18" s="3"/>
    </row>
    <row r="19" spans="2:15" ht="15.75">
      <c r="B19" s="6"/>
      <c r="C19" s="810" t="s">
        <v>113</v>
      </c>
      <c r="D19" s="810"/>
      <c r="E19" s="810"/>
      <c r="F19" s="810"/>
      <c r="G19" s="810"/>
      <c r="H19" s="810"/>
      <c r="I19" s="810"/>
      <c r="J19" s="6"/>
      <c r="K19" s="6"/>
      <c r="L19" s="3"/>
      <c r="M19" s="3"/>
      <c r="N19" s="3"/>
      <c r="O19" s="3"/>
    </row>
    <row r="20" spans="2:15" ht="15.75" customHeight="1">
      <c r="B20" s="6"/>
      <c r="C20" s="6"/>
      <c r="D20" s="808" t="s">
        <v>114</v>
      </c>
      <c r="E20" s="808"/>
      <c r="F20" s="808"/>
      <c r="G20" s="808"/>
      <c r="H20" s="808"/>
      <c r="I20" s="808"/>
      <c r="J20" s="808"/>
      <c r="K20" s="808"/>
      <c r="L20" s="3"/>
      <c r="M20" s="3"/>
      <c r="N20" s="3"/>
      <c r="O20" s="3"/>
    </row>
    <row r="21" spans="2:15" ht="15.75" customHeight="1">
      <c r="B21" s="6"/>
      <c r="C21" s="6"/>
      <c r="D21" s="6"/>
      <c r="E21" s="821" t="s">
        <v>119</v>
      </c>
      <c r="F21" s="821"/>
      <c r="G21" s="821"/>
      <c r="H21" s="821"/>
      <c r="I21" s="821"/>
      <c r="J21" s="821"/>
      <c r="K21" s="821"/>
      <c r="L21" s="821"/>
      <c r="M21" s="3"/>
      <c r="N21" s="3"/>
      <c r="O21" s="3"/>
    </row>
    <row r="22" spans="2:15" ht="15.75" customHeight="1">
      <c r="B22" s="6"/>
      <c r="C22" s="6"/>
      <c r="D22" s="6"/>
      <c r="E22" s="6"/>
      <c r="F22" s="808" t="s">
        <v>115</v>
      </c>
      <c r="G22" s="808"/>
      <c r="H22" s="808"/>
      <c r="I22" s="808"/>
      <c r="J22" s="808"/>
      <c r="K22" s="808"/>
      <c r="L22" s="808"/>
      <c r="M22" s="3"/>
      <c r="N22" s="3"/>
      <c r="O22" s="3"/>
    </row>
    <row r="23" spans="2:15" ht="15.75" customHeight="1">
      <c r="B23" s="6"/>
      <c r="C23" s="6"/>
      <c r="D23" s="6"/>
      <c r="E23" s="6"/>
      <c r="F23" s="6"/>
      <c r="G23" s="810" t="s">
        <v>116</v>
      </c>
      <c r="H23" s="810"/>
      <c r="I23" s="810"/>
      <c r="J23" s="810"/>
      <c r="K23" s="810"/>
      <c r="L23" s="810"/>
      <c r="M23" s="810"/>
      <c r="N23" s="3"/>
      <c r="O23" s="3"/>
    </row>
    <row r="24" spans="2:15" ht="15.75">
      <c r="B24" s="6"/>
      <c r="C24" s="6"/>
      <c r="D24" s="6"/>
      <c r="E24" s="6"/>
      <c r="F24" s="6"/>
      <c r="G24" s="6"/>
      <c r="H24" s="808" t="s">
        <v>117</v>
      </c>
      <c r="I24" s="808"/>
      <c r="J24" s="808"/>
      <c r="K24" s="808"/>
      <c r="L24" s="808"/>
      <c r="M24" s="808"/>
      <c r="N24" s="808"/>
      <c r="O24" s="3"/>
    </row>
    <row r="25" spans="2:15" ht="15.75">
      <c r="B25" s="6"/>
      <c r="C25" s="6"/>
      <c r="D25" s="6"/>
      <c r="E25" s="6"/>
      <c r="F25" s="6"/>
      <c r="G25" s="6"/>
      <c r="H25" s="6"/>
      <c r="I25" s="810" t="s">
        <v>118</v>
      </c>
      <c r="J25" s="810"/>
      <c r="K25" s="810"/>
      <c r="L25" s="810"/>
      <c r="M25" s="810"/>
      <c r="N25" s="810"/>
      <c r="O25" s="810"/>
    </row>
  </sheetData>
  <mergeCells count="13">
    <mergeCell ref="A1:T1"/>
    <mergeCell ref="B2:D2"/>
    <mergeCell ref="E2:G2"/>
    <mergeCell ref="H2:J2"/>
    <mergeCell ref="K2:M2"/>
    <mergeCell ref="G23:M23"/>
    <mergeCell ref="H24:N24"/>
    <mergeCell ref="I25:O25"/>
    <mergeCell ref="B18:H18"/>
    <mergeCell ref="C19:I19"/>
    <mergeCell ref="D20:K20"/>
    <mergeCell ref="E21:L21"/>
    <mergeCell ref="F22:L2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25"/>
  <sheetViews>
    <sheetView zoomScaleNormal="100" workbookViewId="0">
      <pane ySplit="2" topLeftCell="A3" activePane="bottomLeft" state="frozen"/>
      <selection pane="bottomLeft" activeCell="C25" sqref="C25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28" customWidth="1"/>
    <col min="5" max="5" width="47.5703125" style="91" bestFit="1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6" customWidth="1"/>
    <col min="23" max="23" width="5.5703125" style="82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29" s="44" customFormat="1" ht="15.75" customHeight="1">
      <c r="A1" s="656" t="s">
        <v>66</v>
      </c>
      <c r="B1" s="656"/>
      <c r="C1" s="830" t="s">
        <v>67</v>
      </c>
      <c r="D1" s="830"/>
      <c r="E1" s="656" t="s">
        <v>0</v>
      </c>
      <c r="F1" s="656"/>
      <c r="G1" s="657" t="s">
        <v>10</v>
      </c>
      <c r="H1" s="657"/>
      <c r="I1" s="657"/>
      <c r="J1" s="656" t="s">
        <v>8</v>
      </c>
      <c r="K1" s="656"/>
      <c r="L1" s="831" t="s">
        <v>461</v>
      </c>
      <c r="M1" s="832"/>
      <c r="N1" s="832"/>
      <c r="O1" s="833"/>
      <c r="P1" s="829" t="s">
        <v>65</v>
      </c>
      <c r="Q1" s="829"/>
      <c r="R1" s="657" t="s">
        <v>55</v>
      </c>
      <c r="S1" s="657"/>
      <c r="T1" s="827" t="s">
        <v>46</v>
      </c>
      <c r="U1" s="825" t="s">
        <v>85</v>
      </c>
      <c r="V1" s="825"/>
      <c r="W1" s="825"/>
      <c r="X1" s="825"/>
      <c r="Y1" s="825"/>
      <c r="Z1" s="825"/>
      <c r="AA1" s="825"/>
      <c r="AB1" s="825"/>
      <c r="AC1" s="825"/>
    </row>
    <row r="2" spans="1:29" s="11" customFormat="1" ht="15.75" customHeight="1" thickBot="1">
      <c r="A2" s="94"/>
      <c r="B2" s="51"/>
      <c r="C2" s="84"/>
      <c r="D2" s="54" t="s">
        <v>68</v>
      </c>
      <c r="E2" s="95"/>
      <c r="F2" s="52" t="s">
        <v>68</v>
      </c>
      <c r="G2" s="48" t="s">
        <v>11</v>
      </c>
      <c r="H2" s="46" t="s">
        <v>12</v>
      </c>
      <c r="I2" s="47" t="s">
        <v>29</v>
      </c>
      <c r="J2" s="73" t="s">
        <v>23</v>
      </c>
      <c r="K2" s="53" t="s">
        <v>68</v>
      </c>
      <c r="L2" s="73" t="s">
        <v>320</v>
      </c>
      <c r="M2" s="73" t="s">
        <v>324</v>
      </c>
      <c r="N2" s="73" t="s">
        <v>325</v>
      </c>
      <c r="O2" s="250" t="s">
        <v>29</v>
      </c>
      <c r="P2" s="60" t="s">
        <v>23</v>
      </c>
      <c r="Q2" s="53" t="s">
        <v>68</v>
      </c>
      <c r="R2" s="73" t="s">
        <v>23</v>
      </c>
      <c r="S2" s="34" t="s">
        <v>68</v>
      </c>
      <c r="T2" s="828"/>
      <c r="U2" s="826"/>
      <c r="V2" s="826"/>
      <c r="W2" s="826"/>
      <c r="X2" s="826"/>
      <c r="Y2" s="826"/>
      <c r="Z2" s="826"/>
      <c r="AA2" s="826"/>
      <c r="AB2" s="826"/>
      <c r="AC2" s="826"/>
    </row>
    <row r="3" spans="1:29" s="18" customFormat="1">
      <c r="A3" s="13" t="str">
        <f>'1-συμβολαια'!A3</f>
        <v>1ο</v>
      </c>
      <c r="B3" s="50"/>
      <c r="C3" s="80">
        <f>'1-συμβολαια'!B3</f>
        <v>36751</v>
      </c>
      <c r="D3" s="19"/>
      <c r="E3" s="90" t="str">
        <f>'1-συμβολαια'!C3</f>
        <v>γονικής ΠΡΟΣΥΜΦΩΝΟ</v>
      </c>
      <c r="F3" s="14"/>
      <c r="G3" s="15" t="str">
        <f>'4-πολλυπρ'!D3</f>
        <v>219-120</v>
      </c>
      <c r="H3" s="15" t="str">
        <f>'4-πολλυπρ'!I3</f>
        <v>????</v>
      </c>
      <c r="I3" s="20"/>
      <c r="J3" s="20">
        <f>'1-συμβολαια'!D3</f>
        <v>0</v>
      </c>
      <c r="K3" s="20"/>
      <c r="L3" s="27">
        <f>'11-χαρτόσ'!D3</f>
        <v>1100</v>
      </c>
      <c r="M3" s="27"/>
      <c r="N3" s="27"/>
      <c r="O3" s="21"/>
      <c r="P3" s="17" t="e">
        <f>#REF!-R3</f>
        <v>#REF!</v>
      </c>
      <c r="Q3" s="16"/>
      <c r="R3" s="22">
        <f>'5-αντίγρ'!Q3</f>
        <v>-196</v>
      </c>
      <c r="S3" s="23"/>
      <c r="T3" s="24"/>
      <c r="U3" s="85"/>
      <c r="V3" s="85"/>
      <c r="W3" s="81"/>
      <c r="X3" s="25"/>
      <c r="Y3" s="25"/>
      <c r="Z3" s="25"/>
      <c r="AA3" s="25"/>
      <c r="AB3" s="25"/>
      <c r="AC3" s="25"/>
    </row>
    <row r="4" spans="1:29" s="18" customFormat="1">
      <c r="A4" s="13" t="str">
        <f>'1-συμβολαια'!A4</f>
        <v>2ο</v>
      </c>
      <c r="B4" s="50"/>
      <c r="C4" s="80">
        <f>'1-συμβολαια'!B4</f>
        <v>36751</v>
      </c>
      <c r="D4" s="19"/>
      <c r="E4" s="90" t="str">
        <f>'1-συμβολαια'!C4</f>
        <v>δωρεάς ΠΡΟΣΥΜΦΩΝΟ</v>
      </c>
      <c r="F4" s="14"/>
      <c r="G4" s="15" t="str">
        <f>'4-πολλυπρ'!D4</f>
        <v>219-120</v>
      </c>
      <c r="H4" s="15" t="str">
        <f>'4-πολλυπρ'!I4</f>
        <v>????</v>
      </c>
      <c r="I4" s="20"/>
      <c r="J4" s="20">
        <f>'1-συμβολαια'!D4</f>
        <v>0</v>
      </c>
      <c r="K4" s="20"/>
      <c r="L4" s="27">
        <f>'11-χαρτόσ'!D4</f>
        <v>1100</v>
      </c>
      <c r="M4" s="27"/>
      <c r="N4" s="27"/>
      <c r="O4" s="21"/>
      <c r="P4" s="17" t="e">
        <f>#REF!-R4</f>
        <v>#REF!</v>
      </c>
      <c r="Q4" s="16"/>
      <c r="R4" s="22">
        <f>'5-αντίγρ'!Q4</f>
        <v>-196</v>
      </c>
      <c r="S4" s="23"/>
      <c r="T4" s="24"/>
      <c r="U4" s="85"/>
      <c r="V4" s="85"/>
      <c r="W4" s="81"/>
      <c r="X4" s="25"/>
      <c r="Y4" s="25"/>
      <c r="Z4" s="25"/>
      <c r="AA4" s="25"/>
      <c r="AB4" s="25"/>
      <c r="AC4" s="25"/>
    </row>
    <row r="5" spans="1:29" s="18" customFormat="1">
      <c r="A5" s="13" t="str">
        <f>'1-συμβολαια'!A5</f>
        <v>3ο</v>
      </c>
      <c r="B5" s="50"/>
      <c r="C5" s="80">
        <f>'1-συμβολαια'!B5</f>
        <v>36751</v>
      </c>
      <c r="D5" s="19"/>
      <c r="E5" s="90" t="str">
        <f>'1-συμβολαια'!C5</f>
        <v>δωρεάς ΠΡΟΣΥΜΦΩΝΟ [1ο όροφο 55,63μ2</v>
      </c>
      <c r="F5" s="14"/>
      <c r="G5" s="15" t="str">
        <f>'4-πολλυπρ'!D5</f>
        <v>219-120</v>
      </c>
      <c r="H5" s="15" t="str">
        <f>'4-πολλυπρ'!I5</f>
        <v>????</v>
      </c>
      <c r="I5" s="20"/>
      <c r="J5" s="20">
        <f>'1-συμβολαια'!D5</f>
        <v>0</v>
      </c>
      <c r="K5" s="20"/>
      <c r="L5" s="27">
        <f>'11-χαρτόσ'!D5</f>
        <v>1100</v>
      </c>
      <c r="M5" s="27"/>
      <c r="N5" s="27"/>
      <c r="O5" s="21"/>
      <c r="P5" s="17" t="e">
        <f>#REF!-R5</f>
        <v>#REF!</v>
      </c>
      <c r="Q5" s="16"/>
      <c r="R5" s="22">
        <f>'5-αντίγρ'!Q5</f>
        <v>-196</v>
      </c>
      <c r="S5" s="23"/>
      <c r="T5" s="24"/>
      <c r="U5" s="85"/>
      <c r="V5" s="85"/>
      <c r="W5" s="81"/>
      <c r="X5" s="25"/>
      <c r="Y5" s="25"/>
      <c r="Z5" s="25"/>
      <c r="AA5" s="25"/>
      <c r="AB5" s="25"/>
      <c r="AC5" s="25"/>
    </row>
    <row r="6" spans="1:29" s="18" customFormat="1">
      <c r="A6" s="13" t="str">
        <f>'1-συμβολαια'!A6</f>
        <v>4ο</v>
      </c>
      <c r="B6" s="50"/>
      <c r="C6" s="80">
        <f>'1-συμβολαια'!B6</f>
        <v>36752</v>
      </c>
      <c r="D6" s="19"/>
      <c r="E6" s="90" t="str">
        <f>'1-συμβολαια'!C6</f>
        <v>πληρεξούσιο</v>
      </c>
      <c r="F6" s="14"/>
      <c r="G6" s="15" t="str">
        <f>'4-πολλυπρ'!D6</f>
        <v>????</v>
      </c>
      <c r="H6" s="15" t="str">
        <f>'4-πολλυπρ'!I6</f>
        <v>????</v>
      </c>
      <c r="I6" s="20"/>
      <c r="J6" s="20">
        <f>'1-συμβολαια'!D6</f>
        <v>0</v>
      </c>
      <c r="K6" s="20"/>
      <c r="L6" s="27">
        <f>'11-χαρτόσ'!D6</f>
        <v>0</v>
      </c>
      <c r="M6" s="27"/>
      <c r="N6" s="27"/>
      <c r="O6" s="21"/>
      <c r="P6" s="17" t="e">
        <f>#REF!-R6</f>
        <v>#REF!</v>
      </c>
      <c r="Q6" s="16"/>
      <c r="R6" s="22">
        <f>'5-αντίγρ'!Q6</f>
        <v>242</v>
      </c>
      <c r="S6" s="23"/>
      <c r="T6" s="24"/>
      <c r="U6" s="85"/>
      <c r="V6" s="85"/>
      <c r="W6" s="81"/>
      <c r="X6" s="25"/>
      <c r="Y6" s="25"/>
      <c r="Z6" s="25"/>
      <c r="AA6" s="25"/>
      <c r="AB6" s="25"/>
      <c r="AC6" s="25"/>
    </row>
    <row r="7" spans="1:29" s="18" customFormat="1">
      <c r="A7" s="13" t="str">
        <f>'1-συμβολαια'!A7</f>
        <v>5ο</v>
      </c>
      <c r="B7" s="50"/>
      <c r="C7" s="80">
        <f>'1-συμβολαια'!B7</f>
        <v>36855</v>
      </c>
      <c r="D7" s="19"/>
      <c r="E7" s="90" t="str">
        <f>'1-συμβολαια'!C7</f>
        <v>πληρεξούσιο</v>
      </c>
      <c r="F7" s="14"/>
      <c r="G7" s="15" t="str">
        <f>'4-πολλυπρ'!D7</f>
        <v>????</v>
      </c>
      <c r="H7" s="15" t="str">
        <f>'4-πολλυπρ'!I7</f>
        <v>????</v>
      </c>
      <c r="I7" s="20"/>
      <c r="J7" s="20">
        <f>'1-συμβολαια'!D7</f>
        <v>0</v>
      </c>
      <c r="K7" s="20"/>
      <c r="L7" s="27">
        <f>'11-χαρτόσ'!D7</f>
        <v>0</v>
      </c>
      <c r="M7" s="27"/>
      <c r="N7" s="27"/>
      <c r="O7" s="21"/>
      <c r="P7" s="17" t="e">
        <f>#REF!-R7</f>
        <v>#REF!</v>
      </c>
      <c r="Q7" s="16"/>
      <c r="R7" s="22">
        <f>'5-αντίγρ'!Q7</f>
        <v>-679</v>
      </c>
      <c r="S7" s="23"/>
      <c r="T7" s="24"/>
      <c r="U7" s="85"/>
      <c r="V7" s="85"/>
      <c r="W7" s="81"/>
      <c r="X7" s="25"/>
      <c r="Y7" s="25"/>
      <c r="Z7" s="25"/>
      <c r="AA7" s="25"/>
      <c r="AB7" s="25"/>
      <c r="AC7" s="25"/>
    </row>
    <row r="8" spans="1:29" s="18" customFormat="1">
      <c r="A8" s="13" t="str">
        <f>'1-συμβολαια'!A8</f>
        <v>7ο</v>
      </c>
      <c r="B8" s="50"/>
      <c r="C8" s="80">
        <f>'1-συμβολαια'!B8</f>
        <v>36949</v>
      </c>
      <c r="D8" s="19"/>
      <c r="E8" s="90" t="str">
        <f>'1-συμβολαια'!C8</f>
        <v>διανομή [34,60% {= 7.480.642δρχ}] &amp; {65,40% {= 14.139.710δρχ}]</v>
      </c>
      <c r="F8" s="14"/>
      <c r="G8" s="15" t="str">
        <f>'4-πολλυπρ'!D8</f>
        <v>219-120</v>
      </c>
      <c r="H8" s="15">
        <f>'4-πολλυπρ'!I8</f>
        <v>0</v>
      </c>
      <c r="I8" s="20"/>
      <c r="J8" s="20">
        <f>'1-συμβολαια'!D8</f>
        <v>21620352</v>
      </c>
      <c r="K8" s="20"/>
      <c r="L8" s="27">
        <f>'11-χαρτόσ'!D8</f>
        <v>100</v>
      </c>
      <c r="M8" s="27"/>
      <c r="N8" s="27"/>
      <c r="O8" s="21"/>
      <c r="P8" s="17" t="e">
        <f>#REF!-R8</f>
        <v>#REF!</v>
      </c>
      <c r="Q8" s="16"/>
      <c r="R8" s="22">
        <f>'5-αντίγρ'!Q8</f>
        <v>530</v>
      </c>
      <c r="S8" s="23"/>
      <c r="T8" s="24"/>
      <c r="U8" s="85"/>
      <c r="V8" s="85"/>
      <c r="W8" s="81"/>
      <c r="X8" s="25"/>
      <c r="Y8" s="25"/>
      <c r="Z8" s="25"/>
      <c r="AA8" s="25"/>
      <c r="AB8" s="25"/>
      <c r="AC8" s="25"/>
    </row>
    <row r="9" spans="1:29" s="18" customFormat="1">
      <c r="A9" s="13">
        <f>'1-συμβολαια'!A9</f>
        <v>0</v>
      </c>
      <c r="B9" s="50"/>
      <c r="C9" s="80">
        <f>'1-συμβολαια'!B9</f>
        <v>0</v>
      </c>
      <c r="D9" s="19"/>
      <c r="E9" s="90" t="str">
        <f>'1-συμβολαια'!C9</f>
        <v>εξισορόπηση διαφοράς διανεμομένων</v>
      </c>
      <c r="F9" s="14"/>
      <c r="G9" s="15" t="str">
        <f>'4-πολλυπρ'!D9</f>
        <v>219-120</v>
      </c>
      <c r="H9" s="15" t="str">
        <f>'4-πολλυπρ'!I9</f>
        <v>????</v>
      </c>
      <c r="I9" s="20"/>
      <c r="J9" s="20">
        <f>'1-συμβολαια'!D9</f>
        <v>3329534</v>
      </c>
      <c r="K9" s="20"/>
      <c r="L9" s="27">
        <f>'11-χαρτόσ'!D9</f>
        <v>0</v>
      </c>
      <c r="M9" s="27"/>
      <c r="N9" s="27"/>
      <c r="O9" s="21"/>
      <c r="P9" s="17" t="e">
        <f>#REF!-R9</f>
        <v>#REF!</v>
      </c>
      <c r="Q9" s="16"/>
      <c r="R9" s="22">
        <f>'5-αντίγρ'!Q9</f>
        <v>410</v>
      </c>
      <c r="S9" s="23"/>
      <c r="T9" s="24"/>
      <c r="U9" s="85"/>
      <c r="V9" s="85"/>
      <c r="W9" s="81"/>
      <c r="X9" s="25"/>
      <c r="Y9" s="25"/>
      <c r="Z9" s="25"/>
      <c r="AA9" s="25"/>
      <c r="AB9" s="25"/>
      <c r="AC9" s="25"/>
    </row>
    <row r="10" spans="1:29" s="18" customFormat="1">
      <c r="A10" s="13">
        <f>'1-συμβολαια'!A10</f>
        <v>0</v>
      </c>
      <c r="B10" s="50"/>
      <c r="C10" s="80">
        <f>'1-συμβολαια'!B10</f>
        <v>0</v>
      </c>
      <c r="D10" s="19"/>
      <c r="E10" s="90" t="str">
        <f>'1-συμβολαια'!C10</f>
        <v>χρήσης ΚΑΝΟΝΙΣΝΟΣ</v>
      </c>
      <c r="F10" s="14"/>
      <c r="G10" s="15" t="str">
        <f>'4-πολλυπρ'!D10</f>
        <v>219-120</v>
      </c>
      <c r="H10" s="15">
        <f>'4-πολλυπρ'!I10</f>
        <v>0</v>
      </c>
      <c r="I10" s="20"/>
      <c r="J10" s="20">
        <f>'1-συμβολαια'!D10</f>
        <v>0</v>
      </c>
      <c r="K10" s="20"/>
      <c r="L10" s="27">
        <f>'11-χαρτόσ'!D10</f>
        <v>0</v>
      </c>
      <c r="M10" s="27"/>
      <c r="N10" s="27"/>
      <c r="O10" s="21"/>
      <c r="P10" s="17" t="e">
        <f>#REF!-R10</f>
        <v>#REF!</v>
      </c>
      <c r="Q10" s="16"/>
      <c r="R10" s="22">
        <f>'5-αντίγρ'!Q10</f>
        <v>570</v>
      </c>
      <c r="S10" s="23"/>
      <c r="T10" s="24"/>
      <c r="U10" s="85"/>
      <c r="V10" s="85"/>
      <c r="W10" s="81"/>
      <c r="X10" s="25"/>
      <c r="Y10" s="25"/>
      <c r="Z10" s="25"/>
      <c r="AA10" s="25"/>
      <c r="AB10" s="25"/>
      <c r="AC10" s="25"/>
    </row>
    <row r="11" spans="1:29" s="18" customFormat="1">
      <c r="A11" s="13">
        <f>'1-συμβολαια'!A11</f>
        <v>0</v>
      </c>
      <c r="B11" s="50"/>
      <c r="C11" s="80">
        <f>'1-συμβολαια'!B11</f>
        <v>0</v>
      </c>
      <c r="D11" s="19"/>
      <c r="E11" s="90" t="str">
        <f>'1-συμβολαια'!C11</f>
        <v xml:space="preserve">κάθετος ΣΥΣΤΑΣΗ </v>
      </c>
      <c r="F11" s="14"/>
      <c r="G11" s="15" t="str">
        <f>'4-πολλυπρ'!D11</f>
        <v>219-120</v>
      </c>
      <c r="H11" s="15">
        <f>'4-πολλυπρ'!I11</f>
        <v>0</v>
      </c>
      <c r="I11" s="20"/>
      <c r="J11" s="20">
        <f>'1-συμβολαια'!D11</f>
        <v>0</v>
      </c>
      <c r="K11" s="20"/>
      <c r="L11" s="27">
        <f>'11-χαρτόσ'!D11</f>
        <v>0</v>
      </c>
      <c r="M11" s="27"/>
      <c r="N11" s="27"/>
      <c r="O11" s="21"/>
      <c r="P11" s="17" t="e">
        <f>#REF!-R11</f>
        <v>#REF!</v>
      </c>
      <c r="Q11" s="16"/>
      <c r="R11" s="22">
        <f>'5-αντίγρ'!Q11</f>
        <v>410</v>
      </c>
      <c r="S11" s="23"/>
      <c r="T11" s="24"/>
      <c r="U11" s="85"/>
      <c r="V11" s="85"/>
      <c r="W11" s="81"/>
      <c r="X11" s="25"/>
      <c r="Y11" s="25"/>
      <c r="Z11" s="25"/>
      <c r="AA11" s="25"/>
      <c r="AB11" s="25"/>
      <c r="AC11" s="25"/>
    </row>
    <row r="12" spans="1:29" s="18" customFormat="1">
      <c r="A12" s="13" t="str">
        <f>'1-συμβολαια'!A12</f>
        <v>6ο</v>
      </c>
      <c r="B12" s="50"/>
      <c r="C12" s="80">
        <f>'1-συμβολαια'!B12</f>
        <v>36949</v>
      </c>
      <c r="D12" s="19"/>
      <c r="E12" s="90" t="str">
        <f>'1-συμβολαια'!C12</f>
        <v>πληρεξούσιο</v>
      </c>
      <c r="F12" s="14"/>
      <c r="G12" s="15" t="str">
        <f>'4-πολλυπρ'!D12</f>
        <v>????</v>
      </c>
      <c r="H12" s="15" t="str">
        <f>'4-πολλυπρ'!I12</f>
        <v>????</v>
      </c>
      <c r="I12" s="20"/>
      <c r="J12" s="20">
        <f>'1-συμβολαια'!D12</f>
        <v>0</v>
      </c>
      <c r="K12" s="20"/>
      <c r="L12" s="27">
        <f>'11-χαρτόσ'!D12</f>
        <v>0</v>
      </c>
      <c r="M12" s="27"/>
      <c r="N12" s="27"/>
      <c r="O12" s="21"/>
      <c r="P12" s="17" t="e">
        <f>#REF!-R12</f>
        <v>#REF!</v>
      </c>
      <c r="Q12" s="16"/>
      <c r="R12" s="22">
        <f>'5-αντίγρ'!Q12</f>
        <v>-679</v>
      </c>
      <c r="S12" s="23"/>
      <c r="T12" s="24"/>
      <c r="U12" s="85"/>
      <c r="V12" s="85"/>
      <c r="W12" s="81"/>
      <c r="X12" s="25"/>
      <c r="Y12" s="25"/>
      <c r="Z12" s="25"/>
      <c r="AA12" s="25"/>
      <c r="AB12" s="25"/>
      <c r="AC12" s="25"/>
    </row>
    <row r="13" spans="1:29" s="18" customFormat="1">
      <c r="A13" s="13" t="str">
        <f>'1-συμβολαια'!A13</f>
        <v>8ο</v>
      </c>
      <c r="B13" s="50"/>
      <c r="C13" s="80">
        <f>'1-συμβολαια'!B13</f>
        <v>36949</v>
      </c>
      <c r="D13" s="19"/>
      <c r="E13" s="90" t="str">
        <f>'1-συμβολαια'!C13</f>
        <v>δωρεα [οικόπεδο42μ2</v>
      </c>
      <c r="F13" s="14"/>
      <c r="G13" s="15" t="str">
        <f>'4-πολλυπρ'!D13</f>
        <v>????</v>
      </c>
      <c r="H13" s="15" t="str">
        <f>'4-πολλυπρ'!I13</f>
        <v>????</v>
      </c>
      <c r="I13" s="20"/>
      <c r="J13" s="20">
        <f>'1-συμβολαια'!D13</f>
        <v>725760</v>
      </c>
      <c r="K13" s="20"/>
      <c r="L13" s="27">
        <f>'11-χαρτόσ'!D13</f>
        <v>1000</v>
      </c>
      <c r="M13" s="27"/>
      <c r="N13" s="27"/>
      <c r="O13" s="21"/>
      <c r="P13" s="17" t="e">
        <f>#REF!-R13</f>
        <v>#REF!</v>
      </c>
      <c r="Q13" s="16"/>
      <c r="R13" s="22">
        <f>'5-αντίγρ'!Q13</f>
        <v>1936</v>
      </c>
      <c r="S13" s="23"/>
      <c r="T13" s="24"/>
      <c r="U13" s="85"/>
      <c r="V13" s="85"/>
      <c r="W13" s="81"/>
      <c r="X13" s="25"/>
      <c r="Y13" s="25"/>
      <c r="Z13" s="25"/>
      <c r="AA13" s="25"/>
      <c r="AB13" s="25"/>
      <c r="AC13" s="25"/>
    </row>
    <row r="14" spans="1:29" s="18" customFormat="1">
      <c r="A14" s="13" t="str">
        <f>'1-συμβολαια'!A14</f>
        <v>9ο</v>
      </c>
      <c r="B14" s="50"/>
      <c r="C14" s="80">
        <f>'1-συμβολαια'!B14</f>
        <v>36949</v>
      </c>
      <c r="D14" s="19"/>
      <c r="E14" s="90" t="str">
        <f>'1-συμβολαια'!C14</f>
        <v xml:space="preserve">γονική ΒΑΣΕΙ 1.113 προσυμφώνου </v>
      </c>
      <c r="F14" s="14"/>
      <c r="G14" s="15" t="str">
        <f>'4-πολλυπρ'!D14</f>
        <v>219-120</v>
      </c>
      <c r="H14" s="15" t="str">
        <f>'4-πολλυπρ'!I14</f>
        <v>????</v>
      </c>
      <c r="I14" s="20"/>
      <c r="J14" s="20">
        <f>'1-συμβολαια'!D14</f>
        <v>5112496</v>
      </c>
      <c r="K14" s="20"/>
      <c r="L14" s="27">
        <f>'11-χαρτόσ'!D14</f>
        <v>1000</v>
      </c>
      <c r="M14" s="27"/>
      <c r="N14" s="27"/>
      <c r="O14" s="21"/>
      <c r="P14" s="17" t="e">
        <f>#REF!-R14</f>
        <v>#REF!</v>
      </c>
      <c r="Q14" s="16"/>
      <c r="R14" s="22">
        <f>'5-αντίγρ'!Q14</f>
        <v>168</v>
      </c>
      <c r="S14" s="23"/>
      <c r="T14" s="24"/>
      <c r="U14" s="85"/>
      <c r="V14" s="85"/>
      <c r="W14" s="81"/>
      <c r="X14" s="25"/>
      <c r="Y14" s="25"/>
      <c r="Z14" s="25"/>
      <c r="AA14" s="25"/>
      <c r="AB14" s="25"/>
      <c r="AC14" s="25"/>
    </row>
    <row r="15" spans="1:29" s="18" customFormat="1">
      <c r="A15" s="13" t="str">
        <f>'1-συμβολαια'!A15</f>
        <v>10ο</v>
      </c>
      <c r="B15" s="50"/>
      <c r="C15" s="80">
        <f>'1-συμβολαια'!B15</f>
        <v>36949</v>
      </c>
      <c r="D15" s="19"/>
      <c r="E15" s="90" t="str">
        <f>'1-συμβολαια'!C15</f>
        <v>δωρεά  ΒΑΣΕΙ 1.114 προσυμφώνου</v>
      </c>
      <c r="F15" s="14"/>
      <c r="G15" s="15" t="str">
        <f>'4-πολλυπρ'!D15</f>
        <v>219-120</v>
      </c>
      <c r="H15" s="15" t="str">
        <f>'4-πολλυπρ'!I15</f>
        <v>????</v>
      </c>
      <c r="I15" s="20"/>
      <c r="J15" s="20">
        <f>'1-συμβολαια'!D15</f>
        <v>6471276</v>
      </c>
      <c r="K15" s="20"/>
      <c r="L15" s="27">
        <f>'11-χαρτόσ'!D15</f>
        <v>1000</v>
      </c>
      <c r="M15" s="27"/>
      <c r="N15" s="27"/>
      <c r="O15" s="21"/>
      <c r="P15" s="17" t="e">
        <f>#REF!-R15</f>
        <v>#REF!</v>
      </c>
      <c r="Q15" s="16"/>
      <c r="R15" s="22">
        <f>'5-αντίγρ'!Q15</f>
        <v>2104</v>
      </c>
      <c r="S15" s="23"/>
      <c r="T15" s="24"/>
      <c r="U15" s="85"/>
      <c r="V15" s="85"/>
      <c r="W15" s="81"/>
      <c r="X15" s="25"/>
      <c r="Y15" s="25"/>
      <c r="Z15" s="25"/>
      <c r="AA15" s="25"/>
      <c r="AB15" s="25"/>
      <c r="AC15" s="25"/>
    </row>
    <row r="16" spans="1:29" s="18" customFormat="1">
      <c r="A16" s="13">
        <f>'1-συμβολαια'!A16</f>
        <v>0</v>
      </c>
      <c r="B16" s="50"/>
      <c r="C16" s="80">
        <f>'1-συμβολαια'!B16</f>
        <v>0</v>
      </c>
      <c r="D16" s="19"/>
      <c r="E16" s="90" t="str">
        <f>'1-συμβολαια'!C16</f>
        <v xml:space="preserve">κάθετος ΣΥΣΤΑΣΗ </v>
      </c>
      <c r="F16" s="14"/>
      <c r="G16" s="15" t="str">
        <f>'4-πολλυπρ'!D16</f>
        <v>219-120</v>
      </c>
      <c r="H16" s="15">
        <f>'4-πολλυπρ'!I16</f>
        <v>0</v>
      </c>
      <c r="I16" s="20"/>
      <c r="J16" s="20">
        <f>'1-συμβολαια'!D16</f>
        <v>0</v>
      </c>
      <c r="K16" s="20"/>
      <c r="L16" s="27">
        <f>'11-χαρτόσ'!D16</f>
        <v>100</v>
      </c>
      <c r="M16" s="27"/>
      <c r="N16" s="27"/>
      <c r="O16" s="21"/>
      <c r="P16" s="17" t="e">
        <f>#REF!-R16</f>
        <v>#REF!</v>
      </c>
      <c r="Q16" s="16"/>
      <c r="R16" s="22">
        <f>'5-αντίγρ'!Q16</f>
        <v>-800</v>
      </c>
      <c r="S16" s="23"/>
      <c r="T16" s="24"/>
      <c r="U16" s="85"/>
      <c r="V16" s="85"/>
      <c r="W16" s="81"/>
      <c r="X16" s="25"/>
      <c r="Y16" s="25"/>
      <c r="Z16" s="25"/>
      <c r="AA16" s="25"/>
      <c r="AB16" s="25"/>
      <c r="AC16" s="25"/>
    </row>
    <row r="17" spans="1:35">
      <c r="A17" s="595" t="s">
        <v>56</v>
      </c>
      <c r="B17" s="596"/>
      <c r="C17" s="596"/>
      <c r="D17" s="596"/>
      <c r="E17" s="596"/>
      <c r="F17" s="596"/>
      <c r="G17" s="596"/>
      <c r="H17" s="596"/>
      <c r="I17" s="596"/>
      <c r="J17" s="596"/>
      <c r="K17" s="45"/>
      <c r="L17" s="1">
        <f>SUM(L3:L13)</f>
        <v>4400</v>
      </c>
      <c r="M17" s="1"/>
      <c r="N17" s="1"/>
      <c r="O17" s="1">
        <f>SUM(O3:O13)</f>
        <v>0</v>
      </c>
      <c r="P17" s="38" t="e">
        <f>SUM(P3:P13)</f>
        <v>#REF!</v>
      </c>
      <c r="Q17" s="1">
        <f>SUM(Q3:Q13)</f>
        <v>0</v>
      </c>
      <c r="R17" s="1">
        <f>SUM(R3:R13)</f>
        <v>2152</v>
      </c>
      <c r="S17" s="1">
        <f>SUM(S3:S13)</f>
        <v>0</v>
      </c>
      <c r="T17" s="3"/>
      <c r="U17" s="82"/>
      <c r="V17" s="82"/>
    </row>
    <row r="18" spans="1:35">
      <c r="T18" s="121"/>
    </row>
    <row r="19" spans="1:35" ht="15.75" customHeight="1">
      <c r="T19" s="121"/>
      <c r="U19" s="808" t="s">
        <v>120</v>
      </c>
      <c r="V19" s="808"/>
      <c r="W19" s="808"/>
      <c r="X19" s="808"/>
      <c r="Y19" s="808"/>
      <c r="Z19" s="808"/>
      <c r="AA19" s="808"/>
      <c r="AB19" s="808"/>
      <c r="AC19" s="808"/>
      <c r="AD19" s="119"/>
      <c r="AE19" s="119"/>
      <c r="AF19" s="119"/>
      <c r="AG19" s="119"/>
      <c r="AH19" s="114"/>
      <c r="AI19" s="114"/>
    </row>
    <row r="20" spans="1:35" ht="15.75" customHeight="1">
      <c r="T20" s="121"/>
      <c r="U20" s="120"/>
      <c r="V20" s="810" t="s">
        <v>121</v>
      </c>
      <c r="W20" s="810"/>
      <c r="X20" s="810"/>
      <c r="Y20" s="810"/>
      <c r="Z20" s="810"/>
      <c r="AA20" s="810"/>
      <c r="AB20" s="810"/>
      <c r="AC20" s="810"/>
      <c r="AD20" s="810"/>
      <c r="AE20" s="114"/>
      <c r="AF20" s="114"/>
      <c r="AG20" s="114"/>
      <c r="AH20" s="114"/>
      <c r="AI20" s="114"/>
    </row>
    <row r="21" spans="1:35" ht="15.75" customHeight="1">
      <c r="T21" s="121"/>
      <c r="U21" s="120"/>
      <c r="V21" s="120"/>
      <c r="W21" s="808" t="s">
        <v>122</v>
      </c>
      <c r="X21" s="808"/>
      <c r="Y21" s="808"/>
      <c r="Z21" s="808"/>
      <c r="AA21" s="808"/>
      <c r="AB21" s="808"/>
      <c r="AC21" s="808"/>
      <c r="AD21" s="808"/>
      <c r="AE21" s="808"/>
      <c r="AF21" s="114"/>
      <c r="AG21" s="114"/>
      <c r="AH21" s="114"/>
      <c r="AI21" s="114"/>
    </row>
    <row r="22" spans="1:35" ht="15.75">
      <c r="U22" s="120"/>
      <c r="V22" s="120"/>
      <c r="W22" s="120"/>
      <c r="X22" s="810" t="s">
        <v>123</v>
      </c>
      <c r="Y22" s="810"/>
      <c r="Z22" s="810"/>
      <c r="AA22" s="810"/>
      <c r="AB22" s="810"/>
      <c r="AC22" s="810"/>
      <c r="AD22" s="810"/>
      <c r="AE22" s="810"/>
      <c r="AF22" s="810"/>
      <c r="AG22" s="114"/>
      <c r="AH22" s="114"/>
      <c r="AI22" s="114"/>
    </row>
    <row r="23" spans="1:35" ht="15.75">
      <c r="U23" s="120"/>
      <c r="V23" s="120"/>
      <c r="W23" s="120"/>
      <c r="X23" s="120"/>
      <c r="Y23" s="808" t="s">
        <v>124</v>
      </c>
      <c r="Z23" s="808"/>
      <c r="AA23" s="808"/>
      <c r="AB23" s="808"/>
      <c r="AC23" s="808"/>
      <c r="AD23" s="808"/>
      <c r="AE23" s="808"/>
      <c r="AF23" s="808"/>
      <c r="AG23" s="808"/>
      <c r="AH23" s="114"/>
      <c r="AI23" s="114"/>
    </row>
    <row r="24" spans="1:35" ht="15.75">
      <c r="U24" s="120"/>
      <c r="V24" s="120"/>
      <c r="W24" s="120"/>
      <c r="X24" s="120"/>
      <c r="Y24" s="120"/>
      <c r="Z24" s="810" t="s">
        <v>125</v>
      </c>
      <c r="AA24" s="810"/>
      <c r="AB24" s="810"/>
      <c r="AC24" s="810"/>
      <c r="AD24" s="810"/>
      <c r="AE24" s="810"/>
      <c r="AF24" s="810"/>
      <c r="AG24" s="810"/>
      <c r="AH24" s="810"/>
      <c r="AI24" s="114"/>
    </row>
    <row r="25" spans="1:35" ht="15.75">
      <c r="U25" s="120"/>
      <c r="V25" s="120"/>
      <c r="W25" s="120"/>
      <c r="X25" s="120"/>
      <c r="Y25" s="120"/>
      <c r="Z25" s="120"/>
      <c r="AA25" s="808" t="s">
        <v>126</v>
      </c>
      <c r="AB25" s="808"/>
      <c r="AC25" s="808"/>
      <c r="AD25" s="808"/>
      <c r="AE25" s="808"/>
      <c r="AF25" s="808"/>
      <c r="AG25" s="808"/>
      <c r="AH25" s="808"/>
      <c r="AI25" s="808"/>
    </row>
  </sheetData>
  <mergeCells count="18">
    <mergeCell ref="A17:J17"/>
    <mergeCell ref="E1:F1"/>
    <mergeCell ref="P1:Q1"/>
    <mergeCell ref="A1:B1"/>
    <mergeCell ref="C1:D1"/>
    <mergeCell ref="G1:I1"/>
    <mergeCell ref="J1:K1"/>
    <mergeCell ref="L1:O1"/>
    <mergeCell ref="U19:AC19"/>
    <mergeCell ref="V20:AD20"/>
    <mergeCell ref="U1:AC2"/>
    <mergeCell ref="T1:T2"/>
    <mergeCell ref="R1:S1"/>
    <mergeCell ref="W21:AE21"/>
    <mergeCell ref="X22:AF22"/>
    <mergeCell ref="Y23:AG23"/>
    <mergeCell ref="Z24:AH24"/>
    <mergeCell ref="AA25:AI25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19"/>
  <sheetViews>
    <sheetView workbookViewId="0">
      <pane ySplit="2" topLeftCell="A3" activePane="bottomLeft" state="frozen"/>
      <selection pane="bottomLeft" activeCell="F32" sqref="F32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2" customFormat="1" ht="32.25" customHeight="1">
      <c r="A1" s="838" t="s">
        <v>31</v>
      </c>
      <c r="B1" s="839"/>
      <c r="C1" s="839"/>
      <c r="D1" s="839"/>
      <c r="E1" s="840"/>
      <c r="F1" s="841" t="s">
        <v>293</v>
      </c>
      <c r="G1" s="842"/>
      <c r="H1" s="842"/>
      <c r="I1" s="843"/>
      <c r="J1" s="834" t="s">
        <v>294</v>
      </c>
      <c r="K1" s="835"/>
      <c r="L1" s="835"/>
      <c r="M1" s="835"/>
      <c r="N1" s="835"/>
      <c r="O1" s="835"/>
      <c r="P1" s="835"/>
      <c r="Q1" s="835"/>
      <c r="R1" s="835"/>
      <c r="S1" s="835"/>
      <c r="T1" s="835"/>
      <c r="U1" s="835"/>
      <c r="V1" s="835"/>
      <c r="W1" s="835"/>
      <c r="X1" s="835"/>
      <c r="Y1" s="836"/>
      <c r="Z1" s="844" t="s">
        <v>295</v>
      </c>
      <c r="AA1" s="845"/>
      <c r="AB1" s="845"/>
      <c r="AC1" s="846"/>
      <c r="AD1" s="834" t="s">
        <v>296</v>
      </c>
      <c r="AE1" s="835"/>
      <c r="AF1" s="835"/>
      <c r="AG1" s="835"/>
      <c r="AH1" s="835"/>
      <c r="AI1" s="835"/>
      <c r="AJ1" s="835"/>
      <c r="AK1" s="835"/>
      <c r="AL1" s="835"/>
      <c r="AM1" s="835"/>
      <c r="AN1" s="835"/>
      <c r="AO1" s="835"/>
      <c r="AP1" s="835"/>
      <c r="AQ1" s="835"/>
      <c r="AR1" s="835"/>
      <c r="AS1" s="836"/>
      <c r="AT1" s="841" t="s">
        <v>297</v>
      </c>
      <c r="AU1" s="842"/>
      <c r="AV1" s="842"/>
      <c r="AW1" s="843"/>
      <c r="AX1" s="834" t="s">
        <v>298</v>
      </c>
      <c r="AY1" s="835"/>
      <c r="AZ1" s="835"/>
      <c r="BA1" s="835"/>
      <c r="BB1" s="835"/>
      <c r="BC1" s="835"/>
      <c r="BD1" s="835"/>
      <c r="BE1" s="835"/>
      <c r="BF1" s="835"/>
      <c r="BG1" s="835"/>
      <c r="BH1" s="835"/>
      <c r="BI1" s="835"/>
      <c r="BJ1" s="835"/>
      <c r="BK1" s="835"/>
      <c r="BL1" s="835"/>
      <c r="BM1" s="836"/>
    </row>
    <row r="2" spans="1:65" s="4" customFormat="1" ht="23.25" customHeight="1">
      <c r="A2" s="184" t="s">
        <v>19</v>
      </c>
      <c r="B2" s="184" t="s">
        <v>299</v>
      </c>
      <c r="C2" s="185" t="s">
        <v>300</v>
      </c>
      <c r="D2" s="593" t="s">
        <v>29</v>
      </c>
      <c r="E2" s="807"/>
      <c r="F2" s="186" t="s">
        <v>301</v>
      </c>
      <c r="G2" s="184" t="s">
        <v>18</v>
      </c>
      <c r="H2" s="186" t="s">
        <v>23</v>
      </c>
      <c r="I2" s="187" t="s">
        <v>85</v>
      </c>
      <c r="J2" s="188" t="s">
        <v>302</v>
      </c>
      <c r="K2" s="188" t="s">
        <v>303</v>
      </c>
      <c r="L2" s="186" t="s">
        <v>304</v>
      </c>
      <c r="M2" s="186" t="s">
        <v>305</v>
      </c>
      <c r="N2" s="186" t="s">
        <v>306</v>
      </c>
      <c r="O2" s="186" t="s">
        <v>307</v>
      </c>
      <c r="P2" s="186" t="s">
        <v>308</v>
      </c>
      <c r="Q2" s="186" t="s">
        <v>309</v>
      </c>
      <c r="R2" s="186" t="s">
        <v>310</v>
      </c>
      <c r="S2" s="186" t="s">
        <v>311</v>
      </c>
      <c r="T2" s="186" t="s">
        <v>312</v>
      </c>
      <c r="U2" s="186" t="s">
        <v>23</v>
      </c>
      <c r="V2" s="186" t="s">
        <v>313</v>
      </c>
      <c r="W2" s="186" t="s">
        <v>314</v>
      </c>
      <c r="X2" s="186" t="s">
        <v>315</v>
      </c>
      <c r="Y2" s="189" t="s">
        <v>316</v>
      </c>
      <c r="Z2" s="186" t="s">
        <v>301</v>
      </c>
      <c r="AA2" s="184" t="s">
        <v>18</v>
      </c>
      <c r="AB2" s="186" t="s">
        <v>23</v>
      </c>
      <c r="AC2" s="190" t="s">
        <v>85</v>
      </c>
      <c r="AD2" s="188" t="s">
        <v>302</v>
      </c>
      <c r="AE2" s="188" t="s">
        <v>303</v>
      </c>
      <c r="AF2" s="186" t="s">
        <v>304</v>
      </c>
      <c r="AG2" s="186" t="s">
        <v>305</v>
      </c>
      <c r="AH2" s="186" t="s">
        <v>306</v>
      </c>
      <c r="AI2" s="186" t="s">
        <v>307</v>
      </c>
      <c r="AJ2" s="186" t="s">
        <v>308</v>
      </c>
      <c r="AK2" s="186" t="s">
        <v>309</v>
      </c>
      <c r="AL2" s="186" t="s">
        <v>310</v>
      </c>
      <c r="AM2" s="186" t="s">
        <v>311</v>
      </c>
      <c r="AN2" s="186" t="s">
        <v>312</v>
      </c>
      <c r="AO2" s="186" t="s">
        <v>23</v>
      </c>
      <c r="AP2" s="186" t="s">
        <v>313</v>
      </c>
      <c r="AQ2" s="186" t="s">
        <v>314</v>
      </c>
      <c r="AR2" s="186" t="s">
        <v>315</v>
      </c>
      <c r="AS2" s="189" t="s">
        <v>316</v>
      </c>
      <c r="AT2" s="186" t="s">
        <v>301</v>
      </c>
      <c r="AU2" s="184" t="s">
        <v>18</v>
      </c>
      <c r="AV2" s="186" t="s">
        <v>23</v>
      </c>
      <c r="AW2" s="187" t="s">
        <v>85</v>
      </c>
      <c r="AX2" s="188" t="s">
        <v>302</v>
      </c>
      <c r="AY2" s="188" t="s">
        <v>303</v>
      </c>
      <c r="AZ2" s="186" t="s">
        <v>304</v>
      </c>
      <c r="BA2" s="186" t="s">
        <v>305</v>
      </c>
      <c r="BB2" s="186" t="s">
        <v>306</v>
      </c>
      <c r="BC2" s="186" t="s">
        <v>307</v>
      </c>
      <c r="BD2" s="186" t="s">
        <v>308</v>
      </c>
      <c r="BE2" s="186" t="s">
        <v>309</v>
      </c>
      <c r="BF2" s="186" t="s">
        <v>310</v>
      </c>
      <c r="BG2" s="186" t="s">
        <v>311</v>
      </c>
      <c r="BH2" s="186" t="s">
        <v>312</v>
      </c>
      <c r="BI2" s="186" t="s">
        <v>23</v>
      </c>
      <c r="BJ2" s="186" t="s">
        <v>313</v>
      </c>
      <c r="BK2" s="186" t="s">
        <v>314</v>
      </c>
      <c r="BL2" s="186" t="s">
        <v>317</v>
      </c>
      <c r="BM2" s="189" t="s">
        <v>316</v>
      </c>
    </row>
    <row r="3" spans="1:65" s="33" customFormat="1">
      <c r="A3" s="29" t="str">
        <f>'1-συμβολαια'!A3</f>
        <v>1ο</v>
      </c>
      <c r="B3" s="15" t="str">
        <f>'4-πολλυπρ'!D3</f>
        <v>219-120</v>
      </c>
      <c r="C3" s="15" t="str">
        <f>'4-πολλυπρ'!I3</f>
        <v>????</v>
      </c>
      <c r="D3" s="31"/>
      <c r="E3" s="29"/>
      <c r="F3" s="29"/>
      <c r="G3" s="30"/>
      <c r="H3" s="29"/>
      <c r="I3" s="29"/>
      <c r="J3" s="29"/>
      <c r="K3" s="140" t="s">
        <v>318</v>
      </c>
      <c r="L3" s="32"/>
      <c r="M3" s="32"/>
      <c r="N3" s="32"/>
      <c r="O3" s="32"/>
      <c r="P3" s="32"/>
      <c r="Q3" s="32"/>
      <c r="R3" s="32"/>
      <c r="S3" s="32"/>
      <c r="T3" s="32"/>
      <c r="U3" s="29"/>
      <c r="V3" s="30"/>
      <c r="W3" s="30"/>
      <c r="X3" s="32"/>
      <c r="Y3" s="32"/>
      <c r="Z3" s="29"/>
      <c r="AA3" s="32"/>
      <c r="AB3" s="29"/>
      <c r="AC3" s="32"/>
      <c r="AD3" s="29"/>
      <c r="AE3" s="191" t="s">
        <v>318</v>
      </c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29"/>
      <c r="AU3" s="32"/>
      <c r="AV3" s="29"/>
      <c r="AW3" s="32"/>
      <c r="AX3" s="29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29"/>
      <c r="BJ3" s="32"/>
      <c r="BK3" s="32"/>
      <c r="BL3" s="32"/>
      <c r="BM3" s="32"/>
    </row>
    <row r="4" spans="1:65" s="33" customFormat="1">
      <c r="A4" s="29" t="str">
        <f>'1-συμβολαια'!A4</f>
        <v>2ο</v>
      </c>
      <c r="B4" s="15" t="str">
        <f>'4-πολλυπρ'!D4</f>
        <v>219-120</v>
      </c>
      <c r="C4" s="15" t="str">
        <f>'4-πολλυπρ'!I4</f>
        <v>????</v>
      </c>
      <c r="D4" s="31"/>
      <c r="E4" s="29"/>
      <c r="F4" s="29"/>
      <c r="G4" s="30"/>
      <c r="H4" s="29"/>
      <c r="I4" s="29"/>
      <c r="J4" s="29"/>
      <c r="K4" s="140" t="s">
        <v>318</v>
      </c>
      <c r="L4" s="32"/>
      <c r="M4" s="32"/>
      <c r="N4" s="32"/>
      <c r="O4" s="32"/>
      <c r="P4" s="32"/>
      <c r="Q4" s="32"/>
      <c r="R4" s="32"/>
      <c r="S4" s="32"/>
      <c r="T4" s="32"/>
      <c r="U4" s="29"/>
      <c r="V4" s="30"/>
      <c r="W4" s="30"/>
      <c r="X4" s="32"/>
      <c r="Y4" s="32"/>
      <c r="Z4" s="29"/>
      <c r="AA4" s="32"/>
      <c r="AB4" s="29"/>
      <c r="AC4" s="32"/>
      <c r="AD4" s="29"/>
      <c r="AE4" s="191" t="s">
        <v>318</v>
      </c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29"/>
      <c r="AU4" s="32"/>
      <c r="AV4" s="29"/>
      <c r="AW4" s="32"/>
      <c r="AX4" s="29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29"/>
      <c r="BJ4" s="32"/>
      <c r="BK4" s="32"/>
      <c r="BL4" s="32"/>
      <c r="BM4" s="32"/>
    </row>
    <row r="5" spans="1:65" s="33" customFormat="1">
      <c r="A5" s="29" t="str">
        <f>'1-συμβολαια'!A5</f>
        <v>3ο</v>
      </c>
      <c r="B5" s="15" t="str">
        <f>'4-πολλυπρ'!D5</f>
        <v>219-120</v>
      </c>
      <c r="C5" s="15" t="str">
        <f>'4-πολλυπρ'!I5</f>
        <v>????</v>
      </c>
      <c r="D5" s="31"/>
      <c r="E5" s="29"/>
      <c r="F5" s="29"/>
      <c r="G5" s="30"/>
      <c r="H5" s="29"/>
      <c r="I5" s="29"/>
      <c r="J5" s="29"/>
      <c r="K5" s="140" t="s">
        <v>318</v>
      </c>
      <c r="L5" s="32"/>
      <c r="M5" s="32"/>
      <c r="N5" s="32"/>
      <c r="O5" s="32"/>
      <c r="P5" s="32"/>
      <c r="Q5" s="32"/>
      <c r="R5" s="32"/>
      <c r="S5" s="32"/>
      <c r="T5" s="32"/>
      <c r="U5" s="29"/>
      <c r="V5" s="30"/>
      <c r="W5" s="30"/>
      <c r="X5" s="32"/>
      <c r="Y5" s="32"/>
      <c r="Z5" s="29"/>
      <c r="AA5" s="32"/>
      <c r="AB5" s="29"/>
      <c r="AC5" s="32"/>
      <c r="AD5" s="29"/>
      <c r="AE5" s="191" t="s">
        <v>318</v>
      </c>
      <c r="AF5" s="32"/>
      <c r="AG5" s="32"/>
      <c r="AH5" s="32"/>
      <c r="AI5" s="32"/>
      <c r="AJ5" s="32"/>
      <c r="AK5" s="32"/>
      <c r="AL5" s="32"/>
      <c r="AM5" s="32"/>
      <c r="AN5" s="32"/>
      <c r="AO5" s="32"/>
      <c r="AP5" s="32"/>
      <c r="AQ5" s="32"/>
      <c r="AR5" s="32"/>
      <c r="AS5" s="32"/>
      <c r="AT5" s="29"/>
      <c r="AU5" s="32"/>
      <c r="AV5" s="29"/>
      <c r="AW5" s="32"/>
      <c r="AX5" s="29"/>
      <c r="AY5" s="32"/>
      <c r="AZ5" s="32"/>
      <c r="BA5" s="32"/>
      <c r="BB5" s="32"/>
      <c r="BC5" s="32"/>
      <c r="BD5" s="32"/>
      <c r="BE5" s="32"/>
      <c r="BF5" s="32"/>
      <c r="BG5" s="32"/>
      <c r="BH5" s="32"/>
      <c r="BI5" s="29"/>
      <c r="BJ5" s="32"/>
      <c r="BK5" s="32"/>
      <c r="BL5" s="32"/>
      <c r="BM5" s="32"/>
    </row>
    <row r="6" spans="1:65" s="33" customFormat="1">
      <c r="A6" s="29" t="str">
        <f>'1-συμβολαια'!A6</f>
        <v>4ο</v>
      </c>
      <c r="B6" s="15" t="str">
        <f>'4-πολλυπρ'!D6</f>
        <v>????</v>
      </c>
      <c r="C6" s="15" t="str">
        <f>'4-πολλυπρ'!I6</f>
        <v>????</v>
      </c>
      <c r="D6" s="31"/>
      <c r="E6" s="29"/>
      <c r="F6" s="29"/>
      <c r="G6" s="30"/>
      <c r="H6" s="29"/>
      <c r="I6" s="29"/>
      <c r="J6" s="29"/>
      <c r="K6" s="140" t="s">
        <v>318</v>
      </c>
      <c r="L6" s="32"/>
      <c r="M6" s="32"/>
      <c r="N6" s="32"/>
      <c r="O6" s="32"/>
      <c r="P6" s="32"/>
      <c r="Q6" s="32"/>
      <c r="R6" s="32"/>
      <c r="S6" s="32"/>
      <c r="T6" s="32"/>
      <c r="U6" s="29"/>
      <c r="V6" s="30"/>
      <c r="W6" s="30"/>
      <c r="X6" s="32"/>
      <c r="Y6" s="32"/>
      <c r="Z6" s="29"/>
      <c r="AA6" s="32"/>
      <c r="AB6" s="29"/>
      <c r="AC6" s="32"/>
      <c r="AD6" s="29"/>
      <c r="AE6" s="191" t="s">
        <v>318</v>
      </c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29"/>
      <c r="AU6" s="32"/>
      <c r="AV6" s="29"/>
      <c r="AW6" s="32"/>
      <c r="AX6" s="29"/>
      <c r="AY6" s="32"/>
      <c r="AZ6" s="32"/>
      <c r="BA6" s="32"/>
      <c r="BB6" s="32"/>
      <c r="BC6" s="32"/>
      <c r="BD6" s="32"/>
      <c r="BE6" s="32"/>
      <c r="BF6" s="32"/>
      <c r="BG6" s="32"/>
      <c r="BH6" s="32"/>
      <c r="BI6" s="29"/>
      <c r="BJ6" s="32"/>
      <c r="BK6" s="32"/>
      <c r="BL6" s="32"/>
      <c r="BM6" s="32"/>
    </row>
    <row r="7" spans="1:65" s="33" customFormat="1">
      <c r="A7" s="29" t="str">
        <f>'1-συμβολαια'!A7</f>
        <v>5ο</v>
      </c>
      <c r="B7" s="15" t="str">
        <f>'4-πολλυπρ'!D7</f>
        <v>????</v>
      </c>
      <c r="C7" s="15" t="str">
        <f>'4-πολλυπρ'!I7</f>
        <v>????</v>
      </c>
      <c r="D7" s="31"/>
      <c r="E7" s="29"/>
      <c r="F7" s="29"/>
      <c r="G7" s="30"/>
      <c r="H7" s="29"/>
      <c r="I7" s="29"/>
      <c r="J7" s="29"/>
      <c r="K7" s="140" t="s">
        <v>318</v>
      </c>
      <c r="L7" s="32"/>
      <c r="M7" s="32"/>
      <c r="N7" s="32"/>
      <c r="O7" s="32"/>
      <c r="P7" s="32"/>
      <c r="Q7" s="32"/>
      <c r="R7" s="32"/>
      <c r="S7" s="32"/>
      <c r="T7" s="32"/>
      <c r="U7" s="29"/>
      <c r="V7" s="30"/>
      <c r="W7" s="30"/>
      <c r="X7" s="32"/>
      <c r="Y7" s="32"/>
      <c r="Z7" s="29"/>
      <c r="AA7" s="32"/>
      <c r="AB7" s="29"/>
      <c r="AC7" s="32"/>
      <c r="AD7" s="29"/>
      <c r="AE7" s="191" t="s">
        <v>318</v>
      </c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0"/>
      <c r="AQ7" s="32"/>
      <c r="AR7" s="32"/>
      <c r="AS7" s="32"/>
      <c r="AT7" s="29"/>
      <c r="AU7" s="32"/>
      <c r="AV7" s="29"/>
      <c r="AW7" s="32"/>
      <c r="AX7" s="29"/>
      <c r="AY7" s="32"/>
      <c r="AZ7" s="32"/>
      <c r="BA7" s="32"/>
      <c r="BB7" s="32"/>
      <c r="BC7" s="32"/>
      <c r="BD7" s="32"/>
      <c r="BE7" s="32"/>
      <c r="BF7" s="32"/>
      <c r="BG7" s="32"/>
      <c r="BH7" s="32"/>
      <c r="BI7" s="29"/>
      <c r="BJ7" s="32"/>
      <c r="BK7" s="32"/>
      <c r="BL7" s="32"/>
      <c r="BM7" s="32"/>
    </row>
    <row r="8" spans="1:65" s="33" customFormat="1">
      <c r="A8" s="29" t="str">
        <f>'1-συμβολαια'!A8</f>
        <v>7ο</v>
      </c>
      <c r="B8" s="15" t="str">
        <f>'4-πολλυπρ'!D8</f>
        <v>219-120</v>
      </c>
      <c r="C8" s="15">
        <f>'4-πολλυπρ'!I8</f>
        <v>0</v>
      </c>
      <c r="D8" s="31"/>
      <c r="E8" s="29"/>
      <c r="F8" s="29"/>
      <c r="G8" s="30"/>
      <c r="H8" s="29"/>
      <c r="I8" s="29"/>
      <c r="J8" s="29"/>
      <c r="K8" s="140" t="s">
        <v>318</v>
      </c>
      <c r="L8" s="32"/>
      <c r="M8" s="32"/>
      <c r="N8" s="32"/>
      <c r="O8" s="32"/>
      <c r="P8" s="32"/>
      <c r="Q8" s="32"/>
      <c r="R8" s="32"/>
      <c r="S8" s="32"/>
      <c r="T8" s="32"/>
      <c r="U8" s="29"/>
      <c r="V8" s="30"/>
      <c r="W8" s="30"/>
      <c r="X8" s="32"/>
      <c r="Y8" s="32"/>
      <c r="Z8" s="29"/>
      <c r="AA8" s="32"/>
      <c r="AB8" s="29"/>
      <c r="AC8" s="32"/>
      <c r="AD8" s="29"/>
      <c r="AE8" s="191" t="s">
        <v>318</v>
      </c>
      <c r="AF8" s="32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  <c r="AR8" s="32"/>
      <c r="AS8" s="32"/>
      <c r="AT8" s="29"/>
      <c r="AU8" s="32"/>
      <c r="AV8" s="29"/>
      <c r="AW8" s="32"/>
      <c r="AX8" s="29"/>
      <c r="AY8" s="32"/>
      <c r="AZ8" s="32"/>
      <c r="BA8" s="32"/>
      <c r="BB8" s="32"/>
      <c r="BC8" s="32"/>
      <c r="BD8" s="32"/>
      <c r="BE8" s="32"/>
      <c r="BF8" s="32"/>
      <c r="BG8" s="32"/>
      <c r="BH8" s="32"/>
      <c r="BI8" s="29"/>
      <c r="BJ8" s="32"/>
      <c r="BK8" s="32"/>
      <c r="BL8" s="32"/>
      <c r="BM8" s="32"/>
    </row>
    <row r="9" spans="1:65" s="33" customFormat="1">
      <c r="A9" s="29">
        <f>'1-συμβολαια'!A9</f>
        <v>0</v>
      </c>
      <c r="B9" s="15" t="str">
        <f>'4-πολλυπρ'!D9</f>
        <v>219-120</v>
      </c>
      <c r="C9" s="15" t="str">
        <f>'4-πολλυπρ'!I9</f>
        <v>????</v>
      </c>
      <c r="D9" s="31"/>
      <c r="E9" s="29"/>
      <c r="F9" s="29"/>
      <c r="G9" s="30"/>
      <c r="H9" s="29"/>
      <c r="I9" s="29"/>
      <c r="J9" s="29"/>
      <c r="K9" s="140" t="s">
        <v>318</v>
      </c>
      <c r="L9" s="32"/>
      <c r="M9" s="32"/>
      <c r="N9" s="32"/>
      <c r="O9" s="32"/>
      <c r="P9" s="32"/>
      <c r="Q9" s="32"/>
      <c r="R9" s="32"/>
      <c r="S9" s="32"/>
      <c r="T9" s="32"/>
      <c r="U9" s="29"/>
      <c r="V9" s="30"/>
      <c r="W9" s="30"/>
      <c r="X9" s="32"/>
      <c r="Y9" s="32"/>
      <c r="Z9" s="29"/>
      <c r="AA9" s="32"/>
      <c r="AB9" s="29"/>
      <c r="AC9" s="32"/>
      <c r="AD9" s="29"/>
      <c r="AE9" s="191" t="s">
        <v>318</v>
      </c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2"/>
      <c r="AS9" s="32"/>
      <c r="AT9" s="29"/>
      <c r="AU9" s="32"/>
      <c r="AV9" s="29"/>
      <c r="AW9" s="32"/>
      <c r="AX9" s="29"/>
      <c r="AY9" s="32"/>
      <c r="AZ9" s="32"/>
      <c r="BA9" s="32"/>
      <c r="BB9" s="32"/>
      <c r="BC9" s="32"/>
      <c r="BD9" s="32"/>
      <c r="BE9" s="32"/>
      <c r="BF9" s="32"/>
      <c r="BG9" s="32"/>
      <c r="BH9" s="32"/>
      <c r="BI9" s="29"/>
      <c r="BJ9" s="32"/>
      <c r="BK9" s="32"/>
      <c r="BL9" s="32"/>
      <c r="BM9" s="32"/>
    </row>
    <row r="10" spans="1:65" s="33" customFormat="1">
      <c r="A10" s="29">
        <f>'1-συμβολαια'!A10</f>
        <v>0</v>
      </c>
      <c r="B10" s="15" t="str">
        <f>'4-πολλυπρ'!D10</f>
        <v>219-120</v>
      </c>
      <c r="C10" s="15">
        <f>'4-πολλυπρ'!I10</f>
        <v>0</v>
      </c>
      <c r="D10" s="31"/>
      <c r="E10" s="29"/>
      <c r="F10" s="29"/>
      <c r="G10" s="30"/>
      <c r="H10" s="29"/>
      <c r="I10" s="29"/>
      <c r="J10" s="29"/>
      <c r="K10" s="140" t="s">
        <v>318</v>
      </c>
      <c r="L10" s="32"/>
      <c r="M10" s="32"/>
      <c r="N10" s="32"/>
      <c r="O10" s="32"/>
      <c r="P10" s="32"/>
      <c r="Q10" s="32"/>
      <c r="R10" s="32"/>
      <c r="S10" s="32"/>
      <c r="T10" s="32"/>
      <c r="U10" s="29"/>
      <c r="V10" s="30"/>
      <c r="W10" s="30"/>
      <c r="X10" s="32"/>
      <c r="Y10" s="32"/>
      <c r="Z10" s="29"/>
      <c r="AA10" s="32"/>
      <c r="AB10" s="29"/>
      <c r="AC10" s="32"/>
      <c r="AD10" s="29"/>
      <c r="AE10" s="191" t="s">
        <v>318</v>
      </c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29"/>
      <c r="AU10" s="32"/>
      <c r="AV10" s="29"/>
      <c r="AW10" s="32"/>
      <c r="AX10" s="29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29"/>
      <c r="BJ10" s="32"/>
      <c r="BK10" s="32"/>
      <c r="BL10" s="32"/>
      <c r="BM10" s="32"/>
    </row>
    <row r="11" spans="1:65" s="33" customFormat="1">
      <c r="A11" s="29">
        <f>'1-συμβολαια'!A11</f>
        <v>0</v>
      </c>
      <c r="B11" s="15" t="str">
        <f>'4-πολλυπρ'!D11</f>
        <v>219-120</v>
      </c>
      <c r="C11" s="15">
        <f>'4-πολλυπρ'!I11</f>
        <v>0</v>
      </c>
      <c r="D11" s="31"/>
      <c r="E11" s="29"/>
      <c r="F11" s="29"/>
      <c r="G11" s="30"/>
      <c r="H11" s="29"/>
      <c r="I11" s="29"/>
      <c r="J11" s="29"/>
      <c r="K11" s="140" t="s">
        <v>318</v>
      </c>
      <c r="L11" s="32"/>
      <c r="M11" s="32"/>
      <c r="N11" s="32"/>
      <c r="O11" s="32"/>
      <c r="P11" s="32"/>
      <c r="Q11" s="32"/>
      <c r="R11" s="32"/>
      <c r="S11" s="32"/>
      <c r="T11" s="32"/>
      <c r="U11" s="29"/>
      <c r="V11" s="30"/>
      <c r="W11" s="30"/>
      <c r="X11" s="32"/>
      <c r="Y11" s="32"/>
      <c r="Z11" s="29"/>
      <c r="AA11" s="32"/>
      <c r="AB11" s="29"/>
      <c r="AC11" s="32"/>
      <c r="AD11" s="29"/>
      <c r="AE11" s="191" t="s">
        <v>318</v>
      </c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AT11" s="29"/>
      <c r="AU11" s="32"/>
      <c r="AV11" s="29"/>
      <c r="AW11" s="32"/>
      <c r="AX11" s="29"/>
      <c r="AY11" s="32"/>
      <c r="AZ11" s="32"/>
      <c r="BA11" s="32"/>
      <c r="BB11" s="32"/>
      <c r="BC11" s="32"/>
      <c r="BD11" s="32"/>
      <c r="BE11" s="32"/>
      <c r="BF11" s="32"/>
      <c r="BG11" s="32"/>
      <c r="BH11" s="32"/>
      <c r="BI11" s="29"/>
      <c r="BJ11" s="32"/>
      <c r="BK11" s="32"/>
      <c r="BL11" s="32"/>
      <c r="BM11" s="32"/>
    </row>
    <row r="12" spans="1:65" s="33" customFormat="1">
      <c r="A12" s="29" t="str">
        <f>'1-συμβολαια'!A12</f>
        <v>6ο</v>
      </c>
      <c r="B12" s="15" t="str">
        <f>'4-πολλυπρ'!D12</f>
        <v>????</v>
      </c>
      <c r="C12" s="15" t="str">
        <f>'4-πολλυπρ'!I12</f>
        <v>????</v>
      </c>
      <c r="D12" s="31"/>
      <c r="E12" s="29"/>
      <c r="F12" s="29"/>
      <c r="G12" s="30"/>
      <c r="H12" s="29"/>
      <c r="I12" s="29"/>
      <c r="J12" s="29"/>
      <c r="K12" s="140" t="s">
        <v>318</v>
      </c>
      <c r="L12" s="32"/>
      <c r="M12" s="32"/>
      <c r="N12" s="32"/>
      <c r="O12" s="32"/>
      <c r="P12" s="32"/>
      <c r="Q12" s="32"/>
      <c r="R12" s="32"/>
      <c r="S12" s="32"/>
      <c r="T12" s="32"/>
      <c r="U12" s="29"/>
      <c r="V12" s="30"/>
      <c r="W12" s="30"/>
      <c r="X12" s="32"/>
      <c r="Y12" s="32"/>
      <c r="Z12" s="29"/>
      <c r="AA12" s="32"/>
      <c r="AB12" s="29"/>
      <c r="AC12" s="32"/>
      <c r="AD12" s="29"/>
      <c r="AE12" s="191" t="s">
        <v>318</v>
      </c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2"/>
      <c r="AS12" s="32"/>
      <c r="AT12" s="29"/>
      <c r="AU12" s="32"/>
      <c r="AV12" s="29"/>
      <c r="AW12" s="32"/>
      <c r="AX12" s="29"/>
      <c r="AY12" s="32"/>
      <c r="AZ12" s="32"/>
      <c r="BA12" s="32"/>
      <c r="BB12" s="32"/>
      <c r="BC12" s="32"/>
      <c r="BD12" s="32"/>
      <c r="BE12" s="32"/>
      <c r="BF12" s="32"/>
      <c r="BG12" s="32"/>
      <c r="BH12" s="32"/>
      <c r="BI12" s="29"/>
      <c r="BJ12" s="32"/>
      <c r="BK12" s="32"/>
      <c r="BL12" s="32"/>
      <c r="BM12" s="32"/>
    </row>
    <row r="13" spans="1:65" s="33" customFormat="1">
      <c r="A13" s="29" t="str">
        <f>'1-συμβολαια'!A13</f>
        <v>8ο</v>
      </c>
      <c r="B13" s="15" t="str">
        <f>'4-πολλυπρ'!D13</f>
        <v>????</v>
      </c>
      <c r="C13" s="15" t="str">
        <f>'4-πολλυπρ'!I13</f>
        <v>????</v>
      </c>
      <c r="D13" s="31"/>
      <c r="E13" s="29"/>
      <c r="F13" s="29"/>
      <c r="G13" s="30"/>
      <c r="H13" s="29"/>
      <c r="I13" s="29"/>
      <c r="J13" s="29"/>
      <c r="K13" s="140" t="s">
        <v>318</v>
      </c>
      <c r="L13" s="32"/>
      <c r="M13" s="32"/>
      <c r="N13" s="32"/>
      <c r="O13" s="32"/>
      <c r="P13" s="32"/>
      <c r="Q13" s="32"/>
      <c r="R13" s="32"/>
      <c r="S13" s="32"/>
      <c r="T13" s="32"/>
      <c r="U13" s="29"/>
      <c r="V13" s="30"/>
      <c r="W13" s="30"/>
      <c r="X13" s="32"/>
      <c r="Y13" s="32"/>
      <c r="Z13" s="29"/>
      <c r="AA13" s="32"/>
      <c r="AB13" s="29"/>
      <c r="AC13" s="32"/>
      <c r="AD13" s="29"/>
      <c r="AE13" s="191" t="s">
        <v>318</v>
      </c>
      <c r="AF13" s="32"/>
      <c r="AG13" s="32"/>
      <c r="AH13" s="32"/>
      <c r="AI13" s="32"/>
      <c r="AJ13" s="32"/>
      <c r="AK13" s="32"/>
      <c r="AL13" s="32"/>
      <c r="AM13" s="32"/>
      <c r="AN13" s="32"/>
      <c r="AO13" s="32"/>
      <c r="AP13" s="32"/>
      <c r="AQ13" s="32"/>
      <c r="AR13" s="32"/>
      <c r="AS13" s="32"/>
      <c r="AT13" s="29"/>
      <c r="AU13" s="32"/>
      <c r="AV13" s="29"/>
      <c r="AW13" s="32"/>
      <c r="AX13" s="29"/>
      <c r="AY13" s="32"/>
      <c r="AZ13" s="32"/>
      <c r="BA13" s="32"/>
      <c r="BB13" s="32"/>
      <c r="BC13" s="32"/>
      <c r="BD13" s="32"/>
      <c r="BE13" s="32"/>
      <c r="BF13" s="32"/>
      <c r="BG13" s="32"/>
      <c r="BH13" s="32"/>
      <c r="BI13" s="29"/>
      <c r="BJ13" s="32"/>
      <c r="BK13" s="32"/>
      <c r="BL13" s="32"/>
      <c r="BM13" s="32"/>
    </row>
    <row r="14" spans="1:65" s="33" customFormat="1">
      <c r="A14" s="29" t="str">
        <f>'1-συμβολαια'!A14</f>
        <v>9ο</v>
      </c>
      <c r="B14" s="15" t="str">
        <f>'4-πολλυπρ'!D14</f>
        <v>219-120</v>
      </c>
      <c r="C14" s="15" t="str">
        <f>'4-πολλυπρ'!I14</f>
        <v>????</v>
      </c>
      <c r="D14" s="31"/>
      <c r="E14" s="29"/>
      <c r="F14" s="29"/>
      <c r="G14" s="30"/>
      <c r="H14" s="29"/>
      <c r="I14" s="29"/>
      <c r="J14" s="29"/>
      <c r="K14" s="140" t="s">
        <v>318</v>
      </c>
      <c r="L14" s="32"/>
      <c r="M14" s="32"/>
      <c r="N14" s="32"/>
      <c r="O14" s="32"/>
      <c r="P14" s="32"/>
      <c r="Q14" s="32"/>
      <c r="R14" s="32"/>
      <c r="S14" s="32"/>
      <c r="T14" s="32"/>
      <c r="U14" s="29"/>
      <c r="V14" s="30"/>
      <c r="W14" s="30"/>
      <c r="X14" s="32"/>
      <c r="Y14" s="32"/>
      <c r="Z14" s="29"/>
      <c r="AA14" s="32"/>
      <c r="AB14" s="29"/>
      <c r="AC14" s="32"/>
      <c r="AD14" s="29"/>
      <c r="AE14" s="191" t="s">
        <v>318</v>
      </c>
      <c r="AF14" s="32"/>
      <c r="AG14" s="32"/>
      <c r="AH14" s="32"/>
      <c r="AI14" s="32"/>
      <c r="AJ14" s="32"/>
      <c r="AK14" s="32"/>
      <c r="AL14" s="32"/>
      <c r="AM14" s="32"/>
      <c r="AN14" s="32"/>
      <c r="AO14" s="32"/>
      <c r="AP14" s="32"/>
      <c r="AQ14" s="32"/>
      <c r="AR14" s="32"/>
      <c r="AS14" s="32"/>
      <c r="AT14" s="29"/>
      <c r="AU14" s="32"/>
      <c r="AV14" s="29"/>
      <c r="AW14" s="32"/>
      <c r="AX14" s="29"/>
      <c r="AY14" s="32"/>
      <c r="AZ14" s="32"/>
      <c r="BA14" s="32"/>
      <c r="BB14" s="32"/>
      <c r="BC14" s="32"/>
      <c r="BD14" s="32"/>
      <c r="BE14" s="32"/>
      <c r="BF14" s="32"/>
      <c r="BG14" s="32"/>
      <c r="BH14" s="32"/>
      <c r="BI14" s="29"/>
      <c r="BJ14" s="32"/>
      <c r="BK14" s="32"/>
      <c r="BL14" s="32"/>
      <c r="BM14" s="32"/>
    </row>
    <row r="15" spans="1:65" s="33" customFormat="1">
      <c r="A15" s="29" t="str">
        <f>'1-συμβολαια'!A15</f>
        <v>10ο</v>
      </c>
      <c r="B15" s="15" t="str">
        <f>'4-πολλυπρ'!D15</f>
        <v>219-120</v>
      </c>
      <c r="C15" s="15" t="str">
        <f>'4-πολλυπρ'!I15</f>
        <v>????</v>
      </c>
      <c r="D15" s="31"/>
      <c r="E15" s="29"/>
      <c r="F15" s="29"/>
      <c r="G15" s="30"/>
      <c r="H15" s="29"/>
      <c r="I15" s="29"/>
      <c r="J15" s="29"/>
      <c r="K15" s="140" t="s">
        <v>318</v>
      </c>
      <c r="L15" s="32"/>
      <c r="M15" s="32"/>
      <c r="N15" s="32"/>
      <c r="O15" s="32"/>
      <c r="P15" s="32"/>
      <c r="Q15" s="32"/>
      <c r="R15" s="32"/>
      <c r="S15" s="32"/>
      <c r="T15" s="32"/>
      <c r="U15" s="29"/>
      <c r="V15" s="30"/>
      <c r="W15" s="30"/>
      <c r="X15" s="32"/>
      <c r="Y15" s="32"/>
      <c r="Z15" s="29"/>
      <c r="AA15" s="32"/>
      <c r="AB15" s="29"/>
      <c r="AC15" s="32"/>
      <c r="AD15" s="29"/>
      <c r="AE15" s="191" t="s">
        <v>318</v>
      </c>
      <c r="AF15" s="32"/>
      <c r="AG15" s="32"/>
      <c r="AH15" s="32"/>
      <c r="AI15" s="32"/>
      <c r="AJ15" s="32"/>
      <c r="AK15" s="32"/>
      <c r="AL15" s="32"/>
      <c r="AM15" s="32"/>
      <c r="AN15" s="32"/>
      <c r="AO15" s="32"/>
      <c r="AP15" s="32"/>
      <c r="AQ15" s="32"/>
      <c r="AR15" s="32"/>
      <c r="AS15" s="32"/>
      <c r="AT15" s="29"/>
      <c r="AU15" s="32"/>
      <c r="AV15" s="29"/>
      <c r="AW15" s="32"/>
      <c r="AX15" s="29"/>
      <c r="AY15" s="32"/>
      <c r="AZ15" s="32"/>
      <c r="BA15" s="32"/>
      <c r="BB15" s="32"/>
      <c r="BC15" s="32"/>
      <c r="BD15" s="32"/>
      <c r="BE15" s="32"/>
      <c r="BF15" s="32"/>
      <c r="BG15" s="32"/>
      <c r="BH15" s="32"/>
      <c r="BI15" s="29"/>
      <c r="BJ15" s="32"/>
      <c r="BK15" s="32"/>
      <c r="BL15" s="32"/>
      <c r="BM15" s="32"/>
    </row>
    <row r="16" spans="1:65" s="33" customFormat="1">
      <c r="A16" s="29">
        <f>'1-συμβολαια'!A16</f>
        <v>0</v>
      </c>
      <c r="B16" s="15" t="str">
        <f>'4-πολλυπρ'!D16</f>
        <v>219-120</v>
      </c>
      <c r="C16" s="15">
        <f>'4-πολλυπρ'!I16</f>
        <v>0</v>
      </c>
      <c r="D16" s="31"/>
      <c r="E16" s="29"/>
      <c r="F16" s="29"/>
      <c r="G16" s="30"/>
      <c r="H16" s="29"/>
      <c r="I16" s="29"/>
      <c r="J16" s="29"/>
      <c r="K16" s="140" t="s">
        <v>318</v>
      </c>
      <c r="L16" s="32"/>
      <c r="M16" s="32"/>
      <c r="N16" s="32"/>
      <c r="O16" s="32"/>
      <c r="P16" s="32"/>
      <c r="Q16" s="32"/>
      <c r="R16" s="32"/>
      <c r="S16" s="32"/>
      <c r="T16" s="32"/>
      <c r="U16" s="29"/>
      <c r="V16" s="30"/>
      <c r="W16" s="30"/>
      <c r="X16" s="32"/>
      <c r="Y16" s="32"/>
      <c r="Z16" s="29"/>
      <c r="AA16" s="32"/>
      <c r="AB16" s="29"/>
      <c r="AC16" s="32"/>
      <c r="AD16" s="29"/>
      <c r="AE16" s="191" t="s">
        <v>318</v>
      </c>
      <c r="AF16" s="32"/>
      <c r="AG16" s="32"/>
      <c r="AH16" s="32"/>
      <c r="AI16" s="32"/>
      <c r="AJ16" s="32"/>
      <c r="AK16" s="32"/>
      <c r="AL16" s="32"/>
      <c r="AM16" s="32"/>
      <c r="AN16" s="32"/>
      <c r="AO16" s="32"/>
      <c r="AP16" s="32"/>
      <c r="AQ16" s="32"/>
      <c r="AR16" s="32"/>
      <c r="AS16" s="32"/>
      <c r="AT16" s="29"/>
      <c r="AU16" s="32"/>
      <c r="AV16" s="29"/>
      <c r="AW16" s="32"/>
      <c r="AX16" s="29"/>
      <c r="AY16" s="32"/>
      <c r="AZ16" s="32"/>
      <c r="BA16" s="32"/>
      <c r="BB16" s="32"/>
      <c r="BC16" s="32"/>
      <c r="BD16" s="32"/>
      <c r="BE16" s="32"/>
      <c r="BF16" s="32"/>
      <c r="BG16" s="32"/>
      <c r="BH16" s="32"/>
      <c r="BI16" s="29"/>
      <c r="BJ16" s="32"/>
      <c r="BK16" s="32"/>
      <c r="BL16" s="32"/>
      <c r="BM16" s="32"/>
    </row>
    <row r="18" spans="6:9">
      <c r="F18" s="837" t="s">
        <v>319</v>
      </c>
      <c r="G18" s="837"/>
      <c r="H18" s="837"/>
      <c r="I18" s="837"/>
    </row>
    <row r="19" spans="6:9">
      <c r="F19" s="837"/>
      <c r="G19" s="837"/>
      <c r="H19" s="837"/>
      <c r="I19" s="837"/>
    </row>
  </sheetData>
  <mergeCells count="9">
    <mergeCell ref="AX1:BM1"/>
    <mergeCell ref="D2:E2"/>
    <mergeCell ref="F18:I19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BA90"/>
  <sheetViews>
    <sheetView workbookViewId="0">
      <pane ySplit="2" topLeftCell="A3" activePane="bottomLeft" state="frozen"/>
      <selection pane="bottomLeft" activeCell="N18" sqref="N18"/>
    </sheetView>
  </sheetViews>
  <sheetFormatPr defaultRowHeight="11.25"/>
  <cols>
    <col min="1" max="1" width="7.28515625" style="8" bestFit="1" customWidth="1"/>
    <col min="2" max="2" width="8.7109375" style="135" bestFit="1" customWidth="1"/>
    <col min="3" max="3" width="47.5703125" style="91" bestFit="1" customWidth="1"/>
    <col min="4" max="4" width="8.5703125" style="3" customWidth="1"/>
    <col min="5" max="5" width="12.42578125" style="3" customWidth="1"/>
    <col min="6" max="6" width="9" style="3" bestFit="1" customWidth="1"/>
    <col min="7" max="7" width="8.140625" style="2" bestFit="1" customWidth="1"/>
    <col min="8" max="8" width="9" style="2" bestFit="1" customWidth="1"/>
    <col min="9" max="9" width="9.42578125" style="2" bestFit="1" customWidth="1"/>
    <col min="10" max="10" width="9" style="2" bestFit="1" customWidth="1"/>
    <col min="11" max="11" width="8.140625" style="2" bestFit="1" customWidth="1"/>
    <col min="12" max="12" width="8.140625" style="2" customWidth="1"/>
    <col min="13" max="13" width="10.85546875" style="2" customWidth="1"/>
    <col min="14" max="14" width="8.140625" style="2" customWidth="1"/>
    <col min="15" max="15" width="10.5703125" style="2" customWidth="1"/>
    <col min="16" max="18" width="8.140625" style="2" customWidth="1"/>
    <col min="19" max="20" width="10.28515625" style="2" bestFit="1" customWidth="1"/>
    <col min="21" max="21" width="11.140625" style="2" bestFit="1" customWidth="1"/>
    <col min="22" max="23" width="10.28515625" style="2" bestFit="1" customWidth="1"/>
    <col min="24" max="24" width="9.42578125" style="2" bestFit="1" customWidth="1"/>
    <col min="25" max="26" width="12.140625" style="76" customWidth="1"/>
    <col min="27" max="27" width="10.28515625" style="2" bestFit="1" customWidth="1"/>
    <col min="28" max="28" width="5.7109375" style="2" bestFit="1" customWidth="1"/>
    <col min="29" max="29" width="9.42578125" style="2" bestFit="1" customWidth="1"/>
    <col min="30" max="31" width="10.28515625" style="2" bestFit="1" customWidth="1"/>
    <col min="32" max="32" width="9" style="2" bestFit="1" customWidth="1"/>
    <col min="33" max="33" width="11.140625" style="2" bestFit="1" customWidth="1"/>
    <col min="34" max="34" width="10.28515625" style="2" bestFit="1" customWidth="1"/>
    <col min="35" max="35" width="8.28515625" style="2" bestFit="1" customWidth="1"/>
    <col min="36" max="36" width="11.140625" style="2" bestFit="1" customWidth="1"/>
    <col min="37" max="37" width="10.28515625" style="2" bestFit="1" customWidth="1"/>
    <col min="38" max="38" width="9" style="2" bestFit="1" customWidth="1"/>
    <col min="39" max="39" width="9.42578125" style="2" bestFit="1" customWidth="1"/>
    <col min="40" max="40" width="11.140625" style="2" bestFit="1" customWidth="1"/>
    <col min="41" max="41" width="11.140625" style="2" customWidth="1"/>
    <col min="42" max="42" width="9.5703125" style="28" customWidth="1"/>
    <col min="43" max="43" width="9.42578125" style="28" bestFit="1" customWidth="1"/>
    <col min="44" max="44" width="33" style="78" customWidth="1"/>
    <col min="45" max="45" width="7.5703125" style="3" customWidth="1"/>
    <col min="46" max="46" width="9.5703125" style="3" customWidth="1"/>
    <col min="47" max="49" width="6.42578125" style="3" customWidth="1"/>
    <col min="50" max="52" width="7" style="3" customWidth="1"/>
    <col min="53" max="53" width="29.28515625" style="3" bestFit="1" customWidth="1"/>
    <col min="54" max="16384" width="9.140625" style="3"/>
  </cols>
  <sheetData>
    <row r="1" spans="1:49" ht="15.75" customHeight="1">
      <c r="A1" s="874" t="s">
        <v>1</v>
      </c>
      <c r="B1" s="876" t="s">
        <v>2</v>
      </c>
      <c r="C1" s="873" t="s">
        <v>0</v>
      </c>
      <c r="D1" s="877" t="s">
        <v>11</v>
      </c>
      <c r="E1" s="871" t="s">
        <v>12</v>
      </c>
      <c r="F1" s="881" t="s">
        <v>463</v>
      </c>
      <c r="G1" s="881"/>
      <c r="H1" s="881"/>
      <c r="I1" s="881"/>
      <c r="J1" s="879" t="s">
        <v>370</v>
      </c>
      <c r="K1" s="880"/>
      <c r="L1" s="860" t="s">
        <v>603</v>
      </c>
      <c r="M1" s="861"/>
      <c r="N1" s="861"/>
      <c r="O1" s="861"/>
      <c r="P1" s="861"/>
      <c r="Q1" s="861"/>
      <c r="R1" s="862"/>
      <c r="S1" s="867" t="s">
        <v>504</v>
      </c>
      <c r="T1" s="867"/>
      <c r="U1" s="882" t="s">
        <v>139</v>
      </c>
      <c r="V1" s="883"/>
      <c r="W1" s="886" t="s">
        <v>77</v>
      </c>
      <c r="X1" s="887"/>
      <c r="Y1" s="887"/>
      <c r="Z1" s="887"/>
      <c r="AA1" s="887"/>
      <c r="AB1" s="858" t="s">
        <v>505</v>
      </c>
      <c r="AC1" s="859"/>
      <c r="AD1" s="848" t="s">
        <v>43</v>
      </c>
      <c r="AE1" s="849"/>
      <c r="AF1" s="850"/>
      <c r="AG1" s="851" t="s">
        <v>58</v>
      </c>
      <c r="AH1" s="852"/>
      <c r="AI1" s="853"/>
      <c r="AJ1" s="888" t="s">
        <v>78</v>
      </c>
      <c r="AK1" s="889"/>
      <c r="AL1" s="889"/>
      <c r="AM1" s="889"/>
      <c r="AN1" s="889"/>
      <c r="AO1" s="445"/>
      <c r="AP1" s="854" t="s">
        <v>54</v>
      </c>
      <c r="AQ1" s="856" t="s">
        <v>44</v>
      </c>
      <c r="AR1" s="884" t="s">
        <v>81</v>
      </c>
      <c r="AS1" s="864" t="s">
        <v>29</v>
      </c>
      <c r="AT1" s="865"/>
      <c r="AU1" s="865"/>
      <c r="AV1" s="865"/>
      <c r="AW1" s="866"/>
    </row>
    <row r="2" spans="1:49" ht="26.25" thickBot="1">
      <c r="A2" s="875"/>
      <c r="B2" s="600"/>
      <c r="C2" s="628"/>
      <c r="D2" s="878"/>
      <c r="E2" s="872"/>
      <c r="F2" s="347" t="s">
        <v>257</v>
      </c>
      <c r="G2" s="348" t="s">
        <v>92</v>
      </c>
      <c r="H2" s="348" t="s">
        <v>47</v>
      </c>
      <c r="I2" s="346" t="s">
        <v>416</v>
      </c>
      <c r="J2" s="259" t="s">
        <v>23</v>
      </c>
      <c r="K2" s="570" t="s">
        <v>416</v>
      </c>
      <c r="L2" s="572" t="s">
        <v>370</v>
      </c>
      <c r="M2" s="573" t="s">
        <v>576</v>
      </c>
      <c r="N2" s="573" t="s">
        <v>604</v>
      </c>
      <c r="O2" s="572" t="s">
        <v>95</v>
      </c>
      <c r="P2" s="572"/>
      <c r="Q2" s="573" t="s">
        <v>576</v>
      </c>
      <c r="R2" s="573" t="s">
        <v>604</v>
      </c>
      <c r="S2" s="180"/>
      <c r="T2" s="570" t="s">
        <v>416</v>
      </c>
      <c r="U2" s="41" t="s">
        <v>23</v>
      </c>
      <c r="V2" s="346" t="s">
        <v>416</v>
      </c>
      <c r="W2" s="70" t="s">
        <v>23</v>
      </c>
      <c r="X2" s="259" t="s">
        <v>416</v>
      </c>
      <c r="Y2" s="75" t="s">
        <v>82</v>
      </c>
      <c r="Z2" s="75" t="s">
        <v>576</v>
      </c>
      <c r="AA2" s="173" t="s">
        <v>577</v>
      </c>
      <c r="AB2" s="41" t="s">
        <v>23</v>
      </c>
      <c r="AC2" s="345" t="s">
        <v>416</v>
      </c>
      <c r="AD2" s="41" t="s">
        <v>23</v>
      </c>
      <c r="AE2" s="259" t="s">
        <v>416</v>
      </c>
      <c r="AF2" s="36" t="s">
        <v>34</v>
      </c>
      <c r="AG2" s="41" t="s">
        <v>23</v>
      </c>
      <c r="AH2" s="259" t="s">
        <v>416</v>
      </c>
      <c r="AI2" s="37" t="s">
        <v>34</v>
      </c>
      <c r="AJ2" s="41" t="s">
        <v>507</v>
      </c>
      <c r="AK2" s="259" t="s">
        <v>416</v>
      </c>
      <c r="AL2" s="10" t="s">
        <v>506</v>
      </c>
      <c r="AM2" s="259" t="s">
        <v>416</v>
      </c>
      <c r="AN2" s="10" t="s">
        <v>33</v>
      </c>
      <c r="AO2" s="446" t="s">
        <v>416</v>
      </c>
      <c r="AP2" s="855"/>
      <c r="AQ2" s="857"/>
      <c r="AR2" s="885"/>
      <c r="AS2" s="864"/>
      <c r="AT2" s="865"/>
      <c r="AU2" s="865"/>
      <c r="AV2" s="865"/>
      <c r="AW2" s="866"/>
    </row>
    <row r="3" spans="1:49" s="5" customFormat="1">
      <c r="A3" s="371" t="str">
        <f>'1-συμβολαια'!A3</f>
        <v>1ο</v>
      </c>
      <c r="B3" s="373">
        <f>'1-συμβολαια'!B3</f>
        <v>36751</v>
      </c>
      <c r="C3" s="342" t="str">
        <f>'1-συμβολαια'!C3</f>
        <v>γονικής ΠΡΟΣΥΜΦΩΝΟ</v>
      </c>
      <c r="D3" s="305" t="str">
        <f>'4-πολλυπρ'!D3</f>
        <v>219-120</v>
      </c>
      <c r="E3" s="305" t="str">
        <f>'4-πολλυπρ'!I3</f>
        <v>????</v>
      </c>
      <c r="F3" s="305">
        <f>'14-βιβλΕσ'!O3</f>
        <v>0</v>
      </c>
      <c r="G3" s="276">
        <f>'14-βιβλΕσ'!Q3</f>
        <v>0</v>
      </c>
      <c r="H3" s="276">
        <f t="shared" ref="H3:H13" si="0">F3+G3</f>
        <v>0</v>
      </c>
      <c r="I3" s="343">
        <f t="shared" ref="I3:I13" si="1">H3/340.75</f>
        <v>0</v>
      </c>
      <c r="J3" s="276">
        <f>'8-κ-15-17'!AG3</f>
        <v>0</v>
      </c>
      <c r="K3" s="343">
        <f t="shared" ref="K3:K13" si="2">J3/340.75</f>
        <v>0</v>
      </c>
      <c r="L3" s="343"/>
      <c r="M3" s="343"/>
      <c r="N3" s="343"/>
      <c r="O3" s="343"/>
      <c r="P3" s="343"/>
      <c r="Q3" s="343"/>
      <c r="R3" s="343"/>
      <c r="S3" s="276">
        <f>('14-βιβλΕσ'!N3+'14-βιβλΕσ'!O3+'14-βιβλΕσ'!R3)*30%</f>
        <v>4628.3999999999996</v>
      </c>
      <c r="T3" s="343">
        <f t="shared" ref="T3:T13" si="3">S3/340.75</f>
        <v>13.582978723404254</v>
      </c>
      <c r="U3" s="276">
        <f>'14-βιβλΕσ'!R3</f>
        <v>23100</v>
      </c>
      <c r="V3" s="343">
        <f t="shared" ref="V3:X13" si="4">U3/340.75</f>
        <v>67.791636096845195</v>
      </c>
      <c r="W3" s="276"/>
      <c r="X3" s="343"/>
      <c r="Y3" s="276"/>
      <c r="Z3" s="276"/>
      <c r="AA3" s="343">
        <f>AO3</f>
        <v>45.276595744680854</v>
      </c>
      <c r="AB3" s="444"/>
      <c r="AC3" s="444"/>
      <c r="AD3" s="276">
        <f>AN3</f>
        <v>15428</v>
      </c>
      <c r="AE3" s="343">
        <f t="shared" ref="AE3:AE13" si="5">AD3/340.75</f>
        <v>45.276595744680854</v>
      </c>
      <c r="AF3" s="384"/>
      <c r="AG3" s="444"/>
      <c r="AH3" s="444"/>
      <c r="AI3" s="444"/>
      <c r="AJ3" s="276">
        <f>'1-συμβολαια'!L3+'8-κ-15-17'!AE3+'14-βιβλΕσ'!L3+'14-βιβλΕσ'!Q3+'14-βιβλΕσ'!R3+256</f>
        <v>31556</v>
      </c>
      <c r="AK3" s="343">
        <f t="shared" ref="AK3:AK13" si="6">AJ3/340.75</f>
        <v>92.60748349229641</v>
      </c>
      <c r="AL3" s="276">
        <f>'1-συμβολαια'!M3</f>
        <v>16128</v>
      </c>
      <c r="AM3" s="343">
        <f t="shared" ref="AM3:AM13" si="7">AL3/340.75</f>
        <v>47.330887747615556</v>
      </c>
      <c r="AN3" s="276">
        <f t="shared" ref="AN3:AN10" si="8">AJ3-AL3</f>
        <v>15428</v>
      </c>
      <c r="AO3" s="343">
        <f t="shared" ref="AO3:AO13" si="9">AN3/340.75</f>
        <v>45.276595744680854</v>
      </c>
      <c r="AP3" s="327">
        <v>45998</v>
      </c>
      <c r="AQ3" s="331">
        <f t="shared" ref="AQ3:AQ13" si="10">AF3+AI3</f>
        <v>0</v>
      </c>
      <c r="AR3" s="344"/>
      <c r="AS3" s="74"/>
      <c r="AT3" s="74"/>
      <c r="AU3" s="74"/>
      <c r="AV3" s="74"/>
      <c r="AW3" s="74"/>
    </row>
    <row r="4" spans="1:49" s="5" customFormat="1">
      <c r="A4" s="371" t="str">
        <f>'1-συμβολαια'!A4</f>
        <v>2ο</v>
      </c>
      <c r="B4" s="373">
        <f>'1-συμβολαια'!B4</f>
        <v>36751</v>
      </c>
      <c r="C4" s="342" t="str">
        <f>'1-συμβολαια'!C4</f>
        <v>δωρεάς ΠΡΟΣΥΜΦΩΝΟ</v>
      </c>
      <c r="D4" s="305" t="str">
        <f>'4-πολλυπρ'!D4</f>
        <v>219-120</v>
      </c>
      <c r="E4" s="305" t="str">
        <f>'4-πολλυπρ'!I4</f>
        <v>????</v>
      </c>
      <c r="F4" s="305">
        <f>'14-βιβλΕσ'!O4</f>
        <v>0</v>
      </c>
      <c r="G4" s="276">
        <f>'14-βιβλΕσ'!Q4</f>
        <v>0</v>
      </c>
      <c r="H4" s="276">
        <f t="shared" si="0"/>
        <v>0</v>
      </c>
      <c r="I4" s="343">
        <f t="shared" si="1"/>
        <v>0</v>
      </c>
      <c r="J4" s="276">
        <f>'8-κ-15-17'!AG4</f>
        <v>0</v>
      </c>
      <c r="K4" s="343">
        <f t="shared" si="2"/>
        <v>0</v>
      </c>
      <c r="L4" s="343"/>
      <c r="M4" s="343"/>
      <c r="N4" s="343"/>
      <c r="O4" s="343"/>
      <c r="P4" s="343"/>
      <c r="Q4" s="343"/>
      <c r="R4" s="343"/>
      <c r="S4" s="276">
        <f>('14-βιβλΕσ'!N4+'14-βιβλΕσ'!O4+'14-βιβλΕσ'!R4)*30%</f>
        <v>5783.4</v>
      </c>
      <c r="T4" s="343">
        <f t="shared" si="3"/>
        <v>16.972560528246515</v>
      </c>
      <c r="U4" s="276">
        <f>'14-βιβλΕσ'!R4</f>
        <v>23150</v>
      </c>
      <c r="V4" s="343">
        <f t="shared" si="4"/>
        <v>67.938371239911959</v>
      </c>
      <c r="W4" s="276"/>
      <c r="X4" s="343"/>
      <c r="Y4" s="276"/>
      <c r="Z4" s="276"/>
      <c r="AA4" s="343">
        <f t="shared" ref="AA4:AA7" si="11">AO4</f>
        <v>56.57520176082172</v>
      </c>
      <c r="AB4" s="444"/>
      <c r="AC4" s="444"/>
      <c r="AD4" s="276">
        <f t="shared" ref="AD4:AD16" si="12">AN4</f>
        <v>19278</v>
      </c>
      <c r="AE4" s="343">
        <f t="shared" si="5"/>
        <v>56.57520176082172</v>
      </c>
      <c r="AF4" s="384"/>
      <c r="AG4" s="444"/>
      <c r="AH4" s="444"/>
      <c r="AI4" s="444"/>
      <c r="AJ4" s="276">
        <f>'1-συμβολαια'!L4+'8-κ-15-17'!AE4+'14-βιβλΕσ'!L4+'14-βιβλΕσ'!Q4+'14-βιβλΕσ'!R4+256</f>
        <v>35406</v>
      </c>
      <c r="AK4" s="343">
        <f t="shared" si="6"/>
        <v>103.90608950843728</v>
      </c>
      <c r="AL4" s="276">
        <f>'1-συμβολαια'!M4</f>
        <v>16128</v>
      </c>
      <c r="AM4" s="343">
        <f t="shared" si="7"/>
        <v>47.330887747615556</v>
      </c>
      <c r="AN4" s="276">
        <f t="shared" si="8"/>
        <v>19278</v>
      </c>
      <c r="AO4" s="343">
        <f t="shared" si="9"/>
        <v>56.57520176082172</v>
      </c>
      <c r="AP4" s="327"/>
      <c r="AQ4" s="331">
        <f t="shared" si="10"/>
        <v>0</v>
      </c>
      <c r="AR4" s="344"/>
      <c r="AS4" s="74"/>
      <c r="AT4" s="74"/>
      <c r="AU4" s="74"/>
      <c r="AV4" s="74"/>
      <c r="AW4" s="74"/>
    </row>
    <row r="5" spans="1:49" s="5" customFormat="1">
      <c r="A5" s="371" t="str">
        <f>'1-συμβολαια'!A5</f>
        <v>3ο</v>
      </c>
      <c r="B5" s="373">
        <f>'1-συμβολαια'!B5</f>
        <v>36751</v>
      </c>
      <c r="C5" s="342" t="str">
        <f>'1-συμβολαια'!C5</f>
        <v>δωρεάς ΠΡΟΣΥΜΦΩΝΟ [1ο όροφο 55,63μ2</v>
      </c>
      <c r="D5" s="305" t="str">
        <f>'4-πολλυπρ'!D5</f>
        <v>219-120</v>
      </c>
      <c r="E5" s="305" t="str">
        <f>'4-πολλυπρ'!I5</f>
        <v>????</v>
      </c>
      <c r="F5" s="305">
        <f>'14-βιβλΕσ'!O5</f>
        <v>0</v>
      </c>
      <c r="G5" s="276">
        <f>'14-βιβλΕσ'!Q5</f>
        <v>0</v>
      </c>
      <c r="H5" s="276">
        <f t="shared" si="0"/>
        <v>0</v>
      </c>
      <c r="I5" s="343">
        <f t="shared" si="1"/>
        <v>0</v>
      </c>
      <c r="J5" s="276">
        <f>'8-κ-15-17'!AG5</f>
        <v>0</v>
      </c>
      <c r="K5" s="343">
        <f t="shared" si="2"/>
        <v>0</v>
      </c>
      <c r="L5" s="343"/>
      <c r="M5" s="343"/>
      <c r="N5" s="343"/>
      <c r="O5" s="343"/>
      <c r="P5" s="343"/>
      <c r="Q5" s="343"/>
      <c r="R5" s="343"/>
      <c r="S5" s="276">
        <f>('14-βιβλΕσ'!N5+'14-βιβλΕσ'!O5+'14-βιβλΕσ'!R5)*30%</f>
        <v>4628.3999999999996</v>
      </c>
      <c r="T5" s="343">
        <f t="shared" si="3"/>
        <v>13.582978723404254</v>
      </c>
      <c r="U5" s="276">
        <f>'14-βιβλΕσ'!R5</f>
        <v>23100</v>
      </c>
      <c r="V5" s="343">
        <f t="shared" si="4"/>
        <v>67.791636096845195</v>
      </c>
      <c r="W5" s="276"/>
      <c r="X5" s="343"/>
      <c r="Y5" s="276"/>
      <c r="Z5" s="276"/>
      <c r="AA5" s="343">
        <f t="shared" si="11"/>
        <v>45.276595744680854</v>
      </c>
      <c r="AB5" s="444"/>
      <c r="AC5" s="444"/>
      <c r="AD5" s="276">
        <f t="shared" si="12"/>
        <v>15428</v>
      </c>
      <c r="AE5" s="343">
        <f t="shared" si="5"/>
        <v>45.276595744680854</v>
      </c>
      <c r="AF5" s="384"/>
      <c r="AG5" s="444"/>
      <c r="AH5" s="444"/>
      <c r="AI5" s="444"/>
      <c r="AJ5" s="276">
        <f>'1-συμβολαια'!L5+'8-κ-15-17'!AE5+'14-βιβλΕσ'!L5+'14-βιβλΕσ'!Q5+'14-βιβλΕσ'!R5+256</f>
        <v>31556</v>
      </c>
      <c r="AK5" s="343">
        <f t="shared" si="6"/>
        <v>92.60748349229641</v>
      </c>
      <c r="AL5" s="276">
        <f>'1-συμβολαια'!M5</f>
        <v>16128</v>
      </c>
      <c r="AM5" s="343">
        <f t="shared" si="7"/>
        <v>47.330887747615556</v>
      </c>
      <c r="AN5" s="276">
        <f t="shared" si="8"/>
        <v>15428</v>
      </c>
      <c r="AO5" s="343">
        <f t="shared" si="9"/>
        <v>45.276595744680854</v>
      </c>
      <c r="AP5" s="327"/>
      <c r="AQ5" s="331">
        <f t="shared" si="10"/>
        <v>0</v>
      </c>
      <c r="AR5" s="344"/>
      <c r="AS5" s="74"/>
      <c r="AT5" s="74"/>
      <c r="AU5" s="74"/>
      <c r="AV5" s="74"/>
      <c r="AW5" s="74"/>
    </row>
    <row r="6" spans="1:49" s="5" customFormat="1">
      <c r="A6" s="371" t="str">
        <f>'1-συμβολαια'!A6</f>
        <v>4ο</v>
      </c>
      <c r="B6" s="373">
        <f>'1-συμβολαια'!B6</f>
        <v>36752</v>
      </c>
      <c r="C6" s="342" t="str">
        <f>'1-συμβολαια'!C6</f>
        <v>πληρεξούσιο</v>
      </c>
      <c r="D6" s="305" t="str">
        <f>'4-πολλυπρ'!D6</f>
        <v>????</v>
      </c>
      <c r="E6" s="305" t="str">
        <f>'4-πολλυπρ'!I6</f>
        <v>????</v>
      </c>
      <c r="F6" s="305">
        <f>'14-βιβλΕσ'!O6</f>
        <v>100</v>
      </c>
      <c r="G6" s="276">
        <f>'14-βιβλΕσ'!Q6</f>
        <v>0</v>
      </c>
      <c r="H6" s="276">
        <f t="shared" si="0"/>
        <v>100</v>
      </c>
      <c r="I6" s="343">
        <f t="shared" si="1"/>
        <v>0.29347028613352899</v>
      </c>
      <c r="J6" s="276">
        <f>'8-κ-15-17'!AG6</f>
        <v>0</v>
      </c>
      <c r="K6" s="343">
        <f t="shared" si="2"/>
        <v>0</v>
      </c>
      <c r="L6" s="343"/>
      <c r="M6" s="343"/>
      <c r="N6" s="343"/>
      <c r="O6" s="343"/>
      <c r="P6" s="343"/>
      <c r="Q6" s="343"/>
      <c r="R6" s="343"/>
      <c r="S6" s="276">
        <f>('14-βιβλΕσ'!N6+'14-βιβλΕσ'!O6+'14-βιβλΕσ'!R6)*30%</f>
        <v>-30</v>
      </c>
      <c r="T6" s="343">
        <f t="shared" si="3"/>
        <v>-8.8041085840058694E-2</v>
      </c>
      <c r="U6" s="276">
        <f>'14-βιβλΕσ'!R6</f>
        <v>100</v>
      </c>
      <c r="V6" s="343">
        <f t="shared" si="4"/>
        <v>0.29347028613352899</v>
      </c>
      <c r="W6" s="276"/>
      <c r="X6" s="343"/>
      <c r="Y6" s="276"/>
      <c r="Z6" s="276"/>
      <c r="AA6" s="343">
        <f t="shared" si="11"/>
        <v>0</v>
      </c>
      <c r="AB6" s="444"/>
      <c r="AC6" s="444"/>
      <c r="AD6" s="276">
        <f t="shared" si="12"/>
        <v>0</v>
      </c>
      <c r="AE6" s="343">
        <f t="shared" si="5"/>
        <v>0</v>
      </c>
      <c r="AF6" s="384"/>
      <c r="AG6" s="444"/>
      <c r="AH6" s="444"/>
      <c r="AI6" s="444"/>
      <c r="AJ6" s="276">
        <f>'1-συμβολαια'!L6+'8-κ-15-17'!AE6+'14-βιβλΕσ'!L6+'14-βιβλΕσ'!Q6+'14-βιβλΕσ'!R6+356</f>
        <v>6456</v>
      </c>
      <c r="AK6" s="343">
        <f t="shared" si="6"/>
        <v>18.94644167278063</v>
      </c>
      <c r="AL6" s="276">
        <f>'1-συμβολαια'!M6</f>
        <v>6456</v>
      </c>
      <c r="AM6" s="343">
        <f t="shared" si="7"/>
        <v>18.94644167278063</v>
      </c>
      <c r="AN6" s="276">
        <f t="shared" si="8"/>
        <v>0</v>
      </c>
      <c r="AO6" s="343">
        <f t="shared" si="9"/>
        <v>0</v>
      </c>
      <c r="AP6" s="327"/>
      <c r="AQ6" s="331">
        <f t="shared" si="10"/>
        <v>0</v>
      </c>
      <c r="AR6" s="344"/>
      <c r="AS6" s="74"/>
      <c r="AT6" s="74"/>
      <c r="AU6" s="74"/>
      <c r="AV6" s="74"/>
      <c r="AW6" s="74"/>
    </row>
    <row r="7" spans="1:49" s="5" customFormat="1">
      <c r="A7" s="371" t="str">
        <f>'1-συμβολαια'!A7</f>
        <v>5ο</v>
      </c>
      <c r="B7" s="373">
        <f>'1-συμβολαια'!B7</f>
        <v>36855</v>
      </c>
      <c r="C7" s="342" t="str">
        <f>'1-συμβολαια'!C7</f>
        <v>πληρεξούσιο</v>
      </c>
      <c r="D7" s="305" t="str">
        <f>'4-πολλυπρ'!D7</f>
        <v>????</v>
      </c>
      <c r="E7" s="305" t="str">
        <f>'4-πολλυπρ'!I7</f>
        <v>????</v>
      </c>
      <c r="F7" s="305">
        <f>'14-βιβλΕσ'!O7</f>
        <v>0</v>
      </c>
      <c r="G7" s="276">
        <f>'14-βιβλΕσ'!Q7</f>
        <v>0</v>
      </c>
      <c r="H7" s="276">
        <f t="shared" ref="H7" si="13">F7+G7</f>
        <v>0</v>
      </c>
      <c r="I7" s="343">
        <f t="shared" ref="I7" si="14">H7/340.75</f>
        <v>0</v>
      </c>
      <c r="J7" s="276">
        <f>'8-κ-15-17'!AG7</f>
        <v>0</v>
      </c>
      <c r="K7" s="343">
        <f t="shared" ref="K7" si="15">J7/340.75</f>
        <v>0</v>
      </c>
      <c r="L7" s="343"/>
      <c r="M7" s="343"/>
      <c r="N7" s="343"/>
      <c r="O7" s="343"/>
      <c r="P7" s="343"/>
      <c r="Q7" s="343"/>
      <c r="R7" s="343"/>
      <c r="S7" s="276">
        <f>('14-βιβλΕσ'!N7+'14-βιβλΕσ'!O7+'14-βιβλΕσ'!R7)*30%</f>
        <v>13.2</v>
      </c>
      <c r="T7" s="343">
        <f t="shared" ref="T7" si="16">S7/340.75</f>
        <v>3.8738077769625824E-2</v>
      </c>
      <c r="U7" s="276">
        <f>'14-βιβλΕσ'!R7</f>
        <v>100</v>
      </c>
      <c r="V7" s="343">
        <f t="shared" ref="V7" si="17">U7/340.75</f>
        <v>0.29347028613352899</v>
      </c>
      <c r="W7" s="276"/>
      <c r="X7" s="343"/>
      <c r="Y7" s="276"/>
      <c r="Z7" s="276"/>
      <c r="AA7" s="343">
        <f t="shared" si="11"/>
        <v>0.12912692589875274</v>
      </c>
      <c r="AB7" s="444"/>
      <c r="AC7" s="444"/>
      <c r="AD7" s="276">
        <f t="shared" si="12"/>
        <v>44</v>
      </c>
      <c r="AE7" s="343">
        <f t="shared" ref="AE7" si="18">AD7/340.75</f>
        <v>0.12912692589875274</v>
      </c>
      <c r="AF7" s="384">
        <v>5343</v>
      </c>
      <c r="AG7" s="444"/>
      <c r="AH7" s="444"/>
      <c r="AI7" s="444"/>
      <c r="AJ7" s="276">
        <f>'1-συμβολαια'!L7+'8-κ-15-17'!AE7+'14-βιβλΕσ'!L7+'14-βιβλΕσ'!Q7+'14-βιβλΕσ'!R7+300</f>
        <v>4500</v>
      </c>
      <c r="AK7" s="343">
        <f t="shared" ref="AK7" si="19">AJ7/340.75</f>
        <v>13.206162876008804</v>
      </c>
      <c r="AL7" s="276">
        <f>'1-συμβολαια'!M7</f>
        <v>4456</v>
      </c>
      <c r="AM7" s="343">
        <f t="shared" ref="AM7" si="20">AL7/340.75</f>
        <v>13.077035950110051</v>
      </c>
      <c r="AN7" s="276">
        <f t="shared" ref="AN7" si="21">AJ7-AL7</f>
        <v>44</v>
      </c>
      <c r="AO7" s="343">
        <f t="shared" ref="AO7" si="22">AN7/340.75</f>
        <v>0.12912692589875274</v>
      </c>
      <c r="AP7" s="327"/>
      <c r="AQ7" s="331">
        <f t="shared" si="10"/>
        <v>5343</v>
      </c>
      <c r="AR7" s="344"/>
      <c r="AS7" s="74"/>
      <c r="AT7" s="74"/>
      <c r="AU7" s="74"/>
      <c r="AV7" s="74"/>
      <c r="AW7" s="74"/>
    </row>
    <row r="8" spans="1:49" s="5" customFormat="1">
      <c r="A8" s="443" t="str">
        <f>'1-συμβολαια'!A8</f>
        <v>7ο</v>
      </c>
      <c r="B8" s="373">
        <f>'1-συμβολαια'!B8</f>
        <v>36949</v>
      </c>
      <c r="C8" s="342" t="str">
        <f>'1-συμβολαια'!C8</f>
        <v>διανομή [34,60% {= 7.480.642δρχ}] &amp; {65,40% {= 14.139.710δρχ}]</v>
      </c>
      <c r="D8" s="305" t="str">
        <f>'4-πολλυπρ'!D8</f>
        <v>219-120</v>
      </c>
      <c r="E8" s="305">
        <f>'4-πολλυπρ'!I8</f>
        <v>0</v>
      </c>
      <c r="F8" s="305">
        <f>'14-βιβλΕσ'!O8</f>
        <v>305.6336000000083</v>
      </c>
      <c r="G8" s="276">
        <f>'14-βιβλΕσ'!Q8</f>
        <v>6309</v>
      </c>
      <c r="H8" s="276">
        <f t="shared" si="0"/>
        <v>6614.6336000000083</v>
      </c>
      <c r="I8" s="343">
        <f t="shared" si="1"/>
        <v>19.411984152604575</v>
      </c>
      <c r="J8" s="276">
        <f>'8-κ-15-17'!AG8</f>
        <v>0</v>
      </c>
      <c r="K8" s="343">
        <f t="shared" si="2"/>
        <v>0</v>
      </c>
      <c r="L8" s="343"/>
      <c r="M8" s="343"/>
      <c r="N8" s="343"/>
      <c r="O8" s="343"/>
      <c r="P8" s="343"/>
      <c r="Q8" s="343"/>
      <c r="R8" s="343"/>
      <c r="S8" s="276">
        <f>('14-βιβλΕσ'!N8+'14-βιβλΕσ'!O8+'14-βιβλΕσ'!R8)*30%</f>
        <v>48216.367200000015</v>
      </c>
      <c r="T8" s="343">
        <f t="shared" si="3"/>
        <v>141.50071078503305</v>
      </c>
      <c r="U8" s="276">
        <f>'14-βιβλΕσ'!R8</f>
        <v>127911</v>
      </c>
      <c r="V8" s="343">
        <f t="shared" si="4"/>
        <v>375.38077769625824</v>
      </c>
      <c r="W8" s="276">
        <v>254794</v>
      </c>
      <c r="X8" s="343">
        <f t="shared" ref="X8:X11" si="23">W8/340.75</f>
        <v>747.74468085106378</v>
      </c>
      <c r="Y8" s="276" t="s">
        <v>558</v>
      </c>
      <c r="Z8" s="343">
        <v>10963.03</v>
      </c>
      <c r="AA8" s="343">
        <v>10963.03</v>
      </c>
      <c r="AB8" s="444"/>
      <c r="AC8" s="444"/>
      <c r="AD8" s="276">
        <f>AN8</f>
        <v>167030.22400000005</v>
      </c>
      <c r="AE8" s="343">
        <f t="shared" si="5"/>
        <v>490.18407630227455</v>
      </c>
      <c r="AF8" s="280">
        <v>27570.851145814871</v>
      </c>
      <c r="AG8" s="444"/>
      <c r="AH8" s="444"/>
      <c r="AI8" s="444"/>
      <c r="AJ8" s="276">
        <f>'1-συμβολαια'!L8+'8-κ-15-17'!AE8+'14-βιβλΕσ'!L8+'14-βιβλΕσ'!Q8+'14-βιβλΕσ'!R8+100</f>
        <v>421824.22400000005</v>
      </c>
      <c r="AK8" s="343">
        <f t="shared" si="6"/>
        <v>1237.9287571533384</v>
      </c>
      <c r="AL8" s="276">
        <f>'1-συμβολαια'!M8</f>
        <v>254794</v>
      </c>
      <c r="AM8" s="343">
        <f t="shared" si="7"/>
        <v>747.74468085106378</v>
      </c>
      <c r="AN8" s="276">
        <f t="shared" si="8"/>
        <v>167030.22400000005</v>
      </c>
      <c r="AO8" s="343">
        <f t="shared" si="9"/>
        <v>490.18407630227455</v>
      </c>
      <c r="AP8" s="327"/>
      <c r="AQ8" s="331">
        <f t="shared" si="10"/>
        <v>27570.851145814871</v>
      </c>
      <c r="AR8" s="344" t="s">
        <v>568</v>
      </c>
      <c r="AS8" s="74"/>
      <c r="AT8" s="74"/>
      <c r="AU8" s="74"/>
      <c r="AV8" s="74"/>
      <c r="AW8" s="74"/>
    </row>
    <row r="9" spans="1:49" s="5" customFormat="1">
      <c r="A9" s="443">
        <f>'1-συμβολαια'!A9</f>
        <v>0</v>
      </c>
      <c r="B9" s="373"/>
      <c r="C9" s="342" t="str">
        <f>'1-συμβολαια'!C9</f>
        <v>εξισορόπηση διαφοράς διανεμομένων</v>
      </c>
      <c r="D9" s="305" t="str">
        <f>'4-πολλυπρ'!D9</f>
        <v>219-120</v>
      </c>
      <c r="E9" s="305" t="str">
        <f>'4-πολλυπρ'!I9</f>
        <v>????</v>
      </c>
      <c r="F9" s="305">
        <f>'14-βιβλΕσ'!O9</f>
        <v>7637.1612000000005</v>
      </c>
      <c r="G9" s="276">
        <f>'14-βιβλΕσ'!Q9</f>
        <v>100</v>
      </c>
      <c r="H9" s="276">
        <f t="shared" ref="H9" si="24">F9+G9</f>
        <v>7737.1612000000005</v>
      </c>
      <c r="I9" s="343">
        <f t="shared" ref="I9" si="25">H9/340.75</f>
        <v>22.706269112252386</v>
      </c>
      <c r="J9" s="276">
        <f>'8-κ-15-17'!AG9</f>
        <v>43283.942000000003</v>
      </c>
      <c r="K9" s="343">
        <f t="shared" ref="K9" si="26">J9/340.75</f>
        <v>127.02550843727073</v>
      </c>
      <c r="L9" s="343"/>
      <c r="M9" s="343"/>
      <c r="N9" s="343"/>
      <c r="O9" s="343"/>
      <c r="P9" s="343"/>
      <c r="Q9" s="343"/>
      <c r="R9" s="343"/>
      <c r="S9" s="276">
        <f>('14-βιβλΕσ'!N9+'14-βιβλΕσ'!O9+'14-βιβλΕσ'!R9)*30%</f>
        <v>17434.322400000001</v>
      </c>
      <c r="T9" s="343">
        <f t="shared" ref="T9" si="27">S9/340.75</f>
        <v>51.164555832721938</v>
      </c>
      <c r="U9" s="276">
        <f>'14-βιβλΕσ'!R9</f>
        <v>0</v>
      </c>
      <c r="V9" s="343">
        <f t="shared" ref="V9" si="28">U9/340.75</f>
        <v>0</v>
      </c>
      <c r="W9" s="276">
        <v>0</v>
      </c>
      <c r="X9" s="343">
        <f t="shared" si="23"/>
        <v>0</v>
      </c>
      <c r="Y9" s="276"/>
      <c r="Z9" s="343"/>
      <c r="AA9" s="343">
        <f>AO9</f>
        <v>297.86749816581073</v>
      </c>
      <c r="AB9" s="444"/>
      <c r="AC9" s="444"/>
      <c r="AD9" s="276">
        <f t="shared" ref="AD9:AD11" si="29">AN9</f>
        <v>101498.35</v>
      </c>
      <c r="AE9" s="343">
        <f t="shared" ref="AE9" si="30">AD9/340.75</f>
        <v>297.86749816581073</v>
      </c>
      <c r="AF9" s="280">
        <v>9958.4101152945004</v>
      </c>
      <c r="AG9" s="444"/>
      <c r="AH9" s="444"/>
      <c r="AI9" s="444"/>
      <c r="AJ9" s="276">
        <f>'1-συμβολαια'!L9+'8-κ-15-17'!AE9+'14-βιβλΕσ'!L9+'14-βιβλΕσ'!Q9+'14-βιβλΕσ'!R9</f>
        <v>101498.35</v>
      </c>
      <c r="AK9" s="343">
        <f t="shared" ref="AK9" si="31">AJ9/340.75</f>
        <v>297.86749816581073</v>
      </c>
      <c r="AL9" s="276">
        <f>'1-συμβολαια'!M9</f>
        <v>0</v>
      </c>
      <c r="AM9" s="343">
        <f t="shared" ref="AM9" si="32">AL9/340.75</f>
        <v>0</v>
      </c>
      <c r="AN9" s="276">
        <f t="shared" ref="AN9" si="33">AJ9-AL9</f>
        <v>101498.35</v>
      </c>
      <c r="AO9" s="343">
        <f t="shared" ref="AO9" si="34">AN9/340.75</f>
        <v>297.86749816581073</v>
      </c>
      <c r="AP9" s="327"/>
      <c r="AQ9" s="331">
        <f t="shared" si="10"/>
        <v>9958.4101152945004</v>
      </c>
      <c r="AR9" s="344"/>
      <c r="AS9" s="74"/>
      <c r="AT9" s="74"/>
      <c r="AU9" s="74"/>
      <c r="AV9" s="74"/>
      <c r="AW9" s="74"/>
    </row>
    <row r="10" spans="1:49" s="5" customFormat="1">
      <c r="A10" s="443">
        <f>'1-συμβολαια'!A10</f>
        <v>0</v>
      </c>
      <c r="B10" s="373"/>
      <c r="C10" s="342" t="str">
        <f>'1-συμβολαια'!C10</f>
        <v>χρήσης ΚΑΝΟΝΙΣΝΟΣ</v>
      </c>
      <c r="D10" s="305" t="str">
        <f>'4-πολλυπρ'!D10</f>
        <v>219-120</v>
      </c>
      <c r="E10" s="305">
        <f>'4-πολλυπρ'!I10</f>
        <v>0</v>
      </c>
      <c r="F10" s="305">
        <f>'14-βιβλΕσ'!O10</f>
        <v>1540</v>
      </c>
      <c r="G10" s="276">
        <f>'14-βιβλΕσ'!Q10</f>
        <v>322</v>
      </c>
      <c r="H10" s="276">
        <f t="shared" si="0"/>
        <v>1862</v>
      </c>
      <c r="I10" s="343">
        <f t="shared" si="1"/>
        <v>5.4644167278063094</v>
      </c>
      <c r="J10" s="276">
        <f>'8-κ-15-17'!AG10</f>
        <v>0</v>
      </c>
      <c r="K10" s="343">
        <f t="shared" si="2"/>
        <v>0</v>
      </c>
      <c r="L10" s="343"/>
      <c r="M10" s="343"/>
      <c r="N10" s="343"/>
      <c r="O10" s="343"/>
      <c r="P10" s="343"/>
      <c r="Q10" s="343"/>
      <c r="R10" s="343"/>
      <c r="S10" s="276">
        <f>('14-βιβλΕσ'!N10+'14-βιβλΕσ'!O10+'14-βιβλΕσ'!R10)*30%</f>
        <v>6180</v>
      </c>
      <c r="T10" s="343">
        <f t="shared" si="3"/>
        <v>18.136463683052092</v>
      </c>
      <c r="U10" s="276">
        <f>'14-βιβλΕσ'!R10</f>
        <v>100</v>
      </c>
      <c r="V10" s="343">
        <f t="shared" si="4"/>
        <v>0.29347028613352899</v>
      </c>
      <c r="W10" s="276">
        <v>0</v>
      </c>
      <c r="X10" s="343">
        <f t="shared" si="23"/>
        <v>0</v>
      </c>
      <c r="Y10" s="276"/>
      <c r="Z10" s="343"/>
      <c r="AA10" s="343">
        <f>AO10</f>
        <v>61.399853264856937</v>
      </c>
      <c r="AB10" s="444"/>
      <c r="AC10" s="444"/>
      <c r="AD10" s="276">
        <f t="shared" si="29"/>
        <v>20922</v>
      </c>
      <c r="AE10" s="343">
        <f t="shared" si="5"/>
        <v>61.399853264856937</v>
      </c>
      <c r="AF10" s="280">
        <v>2052.7351470648323</v>
      </c>
      <c r="AG10" s="444"/>
      <c r="AH10" s="444"/>
      <c r="AI10" s="444"/>
      <c r="AJ10" s="276">
        <f>'1-συμβολαια'!L10+'8-κ-15-17'!AE10+'14-βιβλΕσ'!L10+'14-βιβλΕσ'!Q10+'14-βιβλΕσ'!R10</f>
        <v>20922</v>
      </c>
      <c r="AK10" s="343">
        <f t="shared" si="6"/>
        <v>61.399853264856937</v>
      </c>
      <c r="AL10" s="276">
        <f>'1-συμβολαια'!M10</f>
        <v>0</v>
      </c>
      <c r="AM10" s="343">
        <f t="shared" si="7"/>
        <v>0</v>
      </c>
      <c r="AN10" s="276">
        <f t="shared" si="8"/>
        <v>20922</v>
      </c>
      <c r="AO10" s="343">
        <f t="shared" si="9"/>
        <v>61.399853264856937</v>
      </c>
      <c r="AP10" s="327"/>
      <c r="AQ10" s="331">
        <f t="shared" si="10"/>
        <v>2052.7351470648323</v>
      </c>
      <c r="AR10" s="344"/>
      <c r="AS10" s="74"/>
      <c r="AT10" s="74"/>
      <c r="AU10" s="74"/>
      <c r="AV10" s="74"/>
      <c r="AW10" s="74"/>
    </row>
    <row r="11" spans="1:49" s="5" customFormat="1" ht="12" thickBot="1">
      <c r="A11" s="460">
        <f>'1-συμβολαια'!A11</f>
        <v>0</v>
      </c>
      <c r="B11" s="453"/>
      <c r="C11" s="471" t="str">
        <f>'1-συμβολαια'!C11</f>
        <v xml:space="preserve">κάθετος ΣΥΣΤΑΣΗ </v>
      </c>
      <c r="D11" s="455" t="str">
        <f>'4-πολλυπρ'!D11</f>
        <v>219-120</v>
      </c>
      <c r="E11" s="455">
        <f>'4-πολλυπρ'!I11</f>
        <v>0</v>
      </c>
      <c r="F11" s="455">
        <f>'14-βιβλΕσ'!O11</f>
        <v>3410</v>
      </c>
      <c r="G11" s="457">
        <f>'14-βιβλΕσ'!Q11</f>
        <v>2776</v>
      </c>
      <c r="H11" s="457">
        <f t="shared" ref="H11" si="35">F11+G11</f>
        <v>6186</v>
      </c>
      <c r="I11" s="540">
        <f t="shared" ref="I11" si="36">H11/340.75</f>
        <v>18.154071900220103</v>
      </c>
      <c r="J11" s="457">
        <f>'8-κ-15-17'!AG11</f>
        <v>0</v>
      </c>
      <c r="K11" s="540">
        <f t="shared" ref="K11" si="37">J11/340.75</f>
        <v>0</v>
      </c>
      <c r="L11" s="540"/>
      <c r="M11" s="540"/>
      <c r="N11" s="540"/>
      <c r="O11" s="540"/>
      <c r="P11" s="540"/>
      <c r="Q11" s="540"/>
      <c r="R11" s="540"/>
      <c r="S11" s="457">
        <f>('14-βιβλΕσ'!N11+'14-βιβλΕσ'!O11+'14-βιβλΕσ'!R11)*30%</f>
        <v>29250</v>
      </c>
      <c r="T11" s="540">
        <f t="shared" ref="T11" si="38">S11/340.75</f>
        <v>85.84005869405722</v>
      </c>
      <c r="U11" s="457">
        <f>'14-βιβλΕσ'!R11</f>
        <v>54500</v>
      </c>
      <c r="V11" s="540">
        <f t="shared" ref="V11" si="39">U11/340.75</f>
        <v>159.94130594277328</v>
      </c>
      <c r="W11" s="457">
        <v>20000</v>
      </c>
      <c r="X11" s="540">
        <f t="shared" si="23"/>
        <v>58.694057226705795</v>
      </c>
      <c r="Y11" s="457" t="s">
        <v>558</v>
      </c>
      <c r="Z11" s="540">
        <v>860.49</v>
      </c>
      <c r="AA11" s="540">
        <v>860.49</v>
      </c>
      <c r="AB11" s="554"/>
      <c r="AC11" s="554"/>
      <c r="AD11" s="457">
        <f t="shared" si="29"/>
        <v>100276</v>
      </c>
      <c r="AE11" s="540">
        <f t="shared" ref="AE11" si="40">AD11/340.75</f>
        <v>294.2802641232575</v>
      </c>
      <c r="AF11" s="457">
        <v>10691.35807994525</v>
      </c>
      <c r="AG11" s="554"/>
      <c r="AH11" s="554"/>
      <c r="AI11" s="554"/>
      <c r="AJ11" s="457">
        <f>'1-συμβολαια'!L11+'8-κ-15-17'!AE11+'14-βιβλΕσ'!L11+'14-βιβλΕσ'!Q11+'14-βιβλΕσ'!R11</f>
        <v>100276</v>
      </c>
      <c r="AK11" s="540">
        <f t="shared" ref="AK11" si="41">AJ11/340.75</f>
        <v>294.2802641232575</v>
      </c>
      <c r="AL11" s="457">
        <f>'1-συμβολαια'!M11</f>
        <v>0</v>
      </c>
      <c r="AM11" s="540">
        <f t="shared" ref="AM11" si="42">AL11/340.75</f>
        <v>0</v>
      </c>
      <c r="AN11" s="457">
        <f t="shared" ref="AN11" si="43">AJ11-AL11</f>
        <v>100276</v>
      </c>
      <c r="AO11" s="540">
        <f t="shared" ref="AO11" si="44">AN11/340.75</f>
        <v>294.2802641232575</v>
      </c>
      <c r="AP11" s="327"/>
      <c r="AQ11" s="331">
        <f t="shared" si="10"/>
        <v>10691.35807994525</v>
      </c>
      <c r="AR11" s="344"/>
      <c r="AS11" s="74"/>
      <c r="AT11" s="74"/>
      <c r="AU11" s="74"/>
      <c r="AV11" s="74"/>
      <c r="AW11" s="74"/>
    </row>
    <row r="12" spans="1:49" s="5" customFormat="1">
      <c r="A12" s="371" t="str">
        <f>'1-συμβολαια'!A12</f>
        <v>6ο</v>
      </c>
      <c r="B12" s="373">
        <f>'1-συμβολαια'!B12</f>
        <v>36949</v>
      </c>
      <c r="C12" s="342" t="str">
        <f>'1-συμβολαια'!C12</f>
        <v>πληρεξούσιο</v>
      </c>
      <c r="D12" s="305" t="str">
        <f>'4-πολλυπρ'!D12</f>
        <v>????</v>
      </c>
      <c r="E12" s="305" t="str">
        <f>'4-πολλυπρ'!I12</f>
        <v>????</v>
      </c>
      <c r="F12" s="305">
        <f>'14-βιβλΕσ'!O12</f>
        <v>0</v>
      </c>
      <c r="G12" s="276">
        <f>'14-βιβλΕσ'!Q12</f>
        <v>100</v>
      </c>
      <c r="H12" s="276">
        <f t="shared" si="0"/>
        <v>100</v>
      </c>
      <c r="I12" s="343">
        <f t="shared" si="1"/>
        <v>0.29347028613352899</v>
      </c>
      <c r="J12" s="276">
        <f>'8-κ-15-17'!AG12</f>
        <v>0</v>
      </c>
      <c r="K12" s="343">
        <f t="shared" si="2"/>
        <v>0</v>
      </c>
      <c r="L12" s="343"/>
      <c r="M12" s="343"/>
      <c r="N12" s="343"/>
      <c r="O12" s="343"/>
      <c r="P12" s="343"/>
      <c r="Q12" s="343"/>
      <c r="R12" s="343"/>
      <c r="S12" s="276">
        <f>('14-βιβλΕσ'!N12+'14-βιβλΕσ'!O12+'14-βιβλΕσ'!R12)*30%</f>
        <v>-19.8</v>
      </c>
      <c r="T12" s="343">
        <f t="shared" si="3"/>
        <v>-5.810711665443874E-2</v>
      </c>
      <c r="U12" s="276">
        <f>'14-βιβλΕσ'!R12</f>
        <v>200</v>
      </c>
      <c r="V12" s="343">
        <f t="shared" si="4"/>
        <v>0.58694057226705798</v>
      </c>
      <c r="W12" s="276"/>
      <c r="X12" s="343"/>
      <c r="Y12" s="276"/>
      <c r="Z12" s="276"/>
      <c r="AA12" s="343">
        <f>AO12</f>
        <v>9.9779897285399849E-2</v>
      </c>
      <c r="AB12" s="444"/>
      <c r="AC12" s="444"/>
      <c r="AD12" s="276">
        <f t="shared" si="12"/>
        <v>34</v>
      </c>
      <c r="AE12" s="343">
        <f t="shared" si="5"/>
        <v>9.9779897285399849E-2</v>
      </c>
      <c r="AF12" s="276">
        <v>2</v>
      </c>
      <c r="AG12" s="444"/>
      <c r="AH12" s="444"/>
      <c r="AI12" s="444"/>
      <c r="AJ12" s="276">
        <f>'1-συμβολαια'!L12+'8-κ-15-17'!AE12+'14-βιβλΕσ'!L12+'14-βιβλΕσ'!Q12+'14-βιβλΕσ'!R12+90</f>
        <v>4490</v>
      </c>
      <c r="AK12" s="343">
        <f t="shared" si="6"/>
        <v>13.176815847395451</v>
      </c>
      <c r="AL12" s="276">
        <f>'1-συμβολαια'!M12</f>
        <v>4456</v>
      </c>
      <c r="AM12" s="343">
        <f t="shared" si="7"/>
        <v>13.077035950110051</v>
      </c>
      <c r="AN12" s="276">
        <f t="shared" ref="AN12:AN16" si="45">AJ12-AL12</f>
        <v>34</v>
      </c>
      <c r="AO12" s="343">
        <f t="shared" si="9"/>
        <v>9.9779897285399849E-2</v>
      </c>
      <c r="AP12" s="327"/>
      <c r="AQ12" s="331">
        <f t="shared" si="10"/>
        <v>2</v>
      </c>
      <c r="AR12" s="344"/>
      <c r="AS12" s="74"/>
      <c r="AT12" s="74"/>
      <c r="AU12" s="74"/>
      <c r="AV12" s="74"/>
      <c r="AW12" s="74"/>
    </row>
    <row r="13" spans="1:49" s="5" customFormat="1">
      <c r="A13" s="371" t="str">
        <f>'1-συμβολαια'!A13</f>
        <v>8ο</v>
      </c>
      <c r="B13" s="373">
        <f>'1-συμβολαια'!B13</f>
        <v>36949</v>
      </c>
      <c r="C13" s="342" t="str">
        <f>'1-συμβολαια'!C13</f>
        <v>δωρεα [οικόπεδο42μ2</v>
      </c>
      <c r="D13" s="305" t="str">
        <f>'4-πολλυπρ'!D13</f>
        <v>????</v>
      </c>
      <c r="E13" s="305" t="str">
        <f>'4-πολλυπρ'!I13</f>
        <v>????</v>
      </c>
      <c r="F13" s="305">
        <f>'14-βιβλΕσ'!O13</f>
        <v>1079.3679999999995</v>
      </c>
      <c r="G13" s="276">
        <f>'14-βιβλΕσ'!Q13</f>
        <v>6504</v>
      </c>
      <c r="H13" s="276">
        <f t="shared" si="0"/>
        <v>7583.3679999999995</v>
      </c>
      <c r="I13" s="343">
        <f t="shared" si="1"/>
        <v>22.254931768158471</v>
      </c>
      <c r="J13" s="276">
        <f>'8-κ-15-17'!AG13</f>
        <v>-199.35999999999967</v>
      </c>
      <c r="K13" s="343">
        <f t="shared" si="2"/>
        <v>-0.58506236243580245</v>
      </c>
      <c r="L13" s="574">
        <v>17.09</v>
      </c>
      <c r="M13" s="574">
        <v>171.95</v>
      </c>
      <c r="N13" s="462">
        <v>293</v>
      </c>
      <c r="O13" s="575">
        <v>43762</v>
      </c>
      <c r="P13" s="343"/>
      <c r="Q13" s="343"/>
      <c r="R13" s="343"/>
      <c r="S13" s="276">
        <f>('14-βιβλΕσ'!N13+'14-βιβλΕσ'!O13+'14-βιβλΕσ'!R13)*30%</f>
        <v>42964.536</v>
      </c>
      <c r="T13" s="343">
        <f t="shared" si="3"/>
        <v>126.08814673514307</v>
      </c>
      <c r="U13" s="276">
        <f>'14-βιβλΕσ'!R13</f>
        <v>120511</v>
      </c>
      <c r="V13" s="343">
        <f t="shared" si="4"/>
        <v>353.66397652237708</v>
      </c>
      <c r="W13" s="276">
        <f>AL13</f>
        <v>27765</v>
      </c>
      <c r="X13" s="343">
        <f t="shared" si="4"/>
        <v>81.482024944974327</v>
      </c>
      <c r="Y13" s="276" t="s">
        <v>558</v>
      </c>
      <c r="Z13" s="343">
        <v>1194.6199999999999</v>
      </c>
      <c r="AA13" s="343">
        <v>1194.6199999999999</v>
      </c>
      <c r="AB13" s="444"/>
      <c r="AC13" s="444"/>
      <c r="AD13" s="276">
        <f t="shared" si="12"/>
        <v>155343.76</v>
      </c>
      <c r="AE13" s="343">
        <f t="shared" si="5"/>
        <v>455.88777696258256</v>
      </c>
      <c r="AF13" s="280">
        <f>16421+N13</f>
        <v>16714</v>
      </c>
      <c r="AG13" s="444"/>
      <c r="AH13" s="444"/>
      <c r="AI13" s="444"/>
      <c r="AJ13" s="276">
        <f>'1-συμβολαια'!L13+'8-κ-15-17'!AE13+'14-βιβλΕσ'!L13+'14-βιβλΕσ'!Q13+'14-βιβλΕσ'!R13+100</f>
        <v>183108.76</v>
      </c>
      <c r="AK13" s="343">
        <f t="shared" si="6"/>
        <v>537.36980190755685</v>
      </c>
      <c r="AL13" s="276">
        <f>'1-συμβολαια'!M13</f>
        <v>27765</v>
      </c>
      <c r="AM13" s="343">
        <f t="shared" si="7"/>
        <v>81.482024944974327</v>
      </c>
      <c r="AN13" s="276">
        <f t="shared" si="45"/>
        <v>155343.76</v>
      </c>
      <c r="AO13" s="343">
        <f t="shared" si="9"/>
        <v>455.88777696258256</v>
      </c>
      <c r="AP13" s="327"/>
      <c r="AQ13" s="331">
        <f t="shared" si="10"/>
        <v>16714</v>
      </c>
      <c r="AR13" s="344"/>
      <c r="AS13" s="74"/>
      <c r="AT13" s="74"/>
      <c r="AU13" s="74"/>
      <c r="AV13" s="74"/>
      <c r="AW13" s="74"/>
    </row>
    <row r="14" spans="1:49" s="5" customFormat="1" ht="12" thickBot="1">
      <c r="A14" s="571" t="str">
        <f>'1-συμβολαια'!A14</f>
        <v>9ο</v>
      </c>
      <c r="B14" s="453">
        <f>'1-συμβολαια'!B14</f>
        <v>36949</v>
      </c>
      <c r="C14" s="471" t="str">
        <f>'1-συμβολαια'!C14</f>
        <v xml:space="preserve">γονική ΒΑΣΕΙ 1.113 προσυμφώνου </v>
      </c>
      <c r="D14" s="455" t="str">
        <f>'4-πολλυπρ'!D14</f>
        <v>219-120</v>
      </c>
      <c r="E14" s="455" t="str">
        <f>'4-πολλυπρ'!I14</f>
        <v>????</v>
      </c>
      <c r="F14" s="455">
        <f>'14-βιβλΕσ'!O14</f>
        <v>259.49279999999999</v>
      </c>
      <c r="G14" s="457">
        <f>'14-βιβλΕσ'!Q14</f>
        <v>4904</v>
      </c>
      <c r="H14" s="457">
        <f t="shared" ref="H14:H16" si="46">F14+G14</f>
        <v>5163.4928</v>
      </c>
      <c r="I14" s="540">
        <f t="shared" ref="I14:I16" si="47">H14/340.75</f>
        <v>15.153317094644168</v>
      </c>
      <c r="J14" s="457">
        <f>'8-κ-15-17'!AG14</f>
        <v>573.8440000000046</v>
      </c>
      <c r="K14" s="540">
        <f t="shared" ref="K14:K16" si="48">J14/340.75</f>
        <v>1.6840616287601016</v>
      </c>
      <c r="L14" s="576">
        <v>114.59</v>
      </c>
      <c r="M14" s="576">
        <v>1966</v>
      </c>
      <c r="N14" s="464">
        <v>1966</v>
      </c>
      <c r="O14" s="577" t="s">
        <v>605</v>
      </c>
      <c r="P14" s="540"/>
      <c r="Q14" s="540"/>
      <c r="R14" s="540"/>
      <c r="S14" s="457">
        <f>('14-βιβλΕσ'!N14+'14-βιβλΕσ'!O14+'14-βιβλΕσ'!R14)*30%</f>
        <v>29091.585600000006</v>
      </c>
      <c r="T14" s="540">
        <f t="shared" ref="T14:T16" si="49">S14/340.75</f>
        <v>85.375159501100526</v>
      </c>
      <c r="U14" s="457">
        <f>'14-βιβλΕσ'!R14</f>
        <v>132211</v>
      </c>
      <c r="V14" s="540">
        <f t="shared" ref="V14:V16" si="50">U14/340.75</f>
        <v>388</v>
      </c>
      <c r="W14" s="457">
        <f t="shared" ref="W14:W16" si="51">AL14</f>
        <v>116049</v>
      </c>
      <c r="X14" s="540">
        <f t="shared" ref="X14:X16" si="52">W14/340.75</f>
        <v>340.56933235509905</v>
      </c>
      <c r="Y14" s="457" t="s">
        <v>558</v>
      </c>
      <c r="Z14" s="540">
        <v>7921</v>
      </c>
      <c r="AA14" s="540">
        <v>7921</v>
      </c>
      <c r="AB14" s="554"/>
      <c r="AC14" s="554"/>
      <c r="AD14" s="457">
        <f t="shared" si="12"/>
        <v>141497.79600000003</v>
      </c>
      <c r="AE14" s="540">
        <f t="shared" ref="AE14:AE16" si="53">AD14/340.75</f>
        <v>415.25398679383721</v>
      </c>
      <c r="AF14" s="457">
        <f>19576+N14</f>
        <v>21542</v>
      </c>
      <c r="AG14" s="554"/>
      <c r="AH14" s="554"/>
      <c r="AI14" s="554"/>
      <c r="AJ14" s="457">
        <f>'1-συμβολαια'!L14+'8-κ-15-17'!AE14+'14-βιβλΕσ'!L14+'14-βιβλΕσ'!Q14+'14-βιβλΕσ'!R14+100</f>
        <v>257546.79600000003</v>
      </c>
      <c r="AK14" s="540">
        <f t="shared" ref="AK14:AK16" si="54">AJ14/340.75</f>
        <v>755.82331914893621</v>
      </c>
      <c r="AL14" s="457">
        <f>'1-συμβολαια'!M14</f>
        <v>116049</v>
      </c>
      <c r="AM14" s="540">
        <f t="shared" ref="AM14:AM16" si="55">AL14/340.75</f>
        <v>340.56933235509905</v>
      </c>
      <c r="AN14" s="457">
        <f t="shared" si="45"/>
        <v>141497.79600000003</v>
      </c>
      <c r="AO14" s="540">
        <f t="shared" ref="AO14:AO16" si="56">AN14/340.75</f>
        <v>415.25398679383721</v>
      </c>
      <c r="AP14" s="466"/>
      <c r="AQ14" s="584">
        <f t="shared" ref="AQ14:AQ16" si="57">AF14+AI14</f>
        <v>21542</v>
      </c>
      <c r="AR14" s="585" t="s">
        <v>568</v>
      </c>
      <c r="AS14" s="74"/>
      <c r="AT14" s="74"/>
      <c r="AU14" s="74"/>
      <c r="AV14" s="74"/>
      <c r="AW14" s="74"/>
    </row>
    <row r="15" spans="1:49" s="5" customFormat="1">
      <c r="A15" s="443" t="str">
        <f>'1-συμβολαια'!A15</f>
        <v>10ο</v>
      </c>
      <c r="B15" s="373">
        <f>'1-συμβολαια'!B15</f>
        <v>36949</v>
      </c>
      <c r="C15" s="342" t="str">
        <f>'1-συμβολαια'!C15</f>
        <v>δωρεά  ΒΑΣΕΙ 1.114 προσυμφώνου</v>
      </c>
      <c r="D15" s="305" t="str">
        <f>'4-πολλυπρ'!D15</f>
        <v>219-120</v>
      </c>
      <c r="E15" s="305" t="str">
        <f>'4-πολλυπρ'!I15</f>
        <v>????</v>
      </c>
      <c r="F15" s="305">
        <f>'14-βιβλΕσ'!O15</f>
        <v>997.29680000000189</v>
      </c>
      <c r="G15" s="276">
        <f>'14-βιβλΕσ'!Q15</f>
        <v>6504</v>
      </c>
      <c r="H15" s="276">
        <f t="shared" si="46"/>
        <v>7501.2968000000019</v>
      </c>
      <c r="I15" s="343">
        <f t="shared" si="47"/>
        <v>22.014077182685259</v>
      </c>
      <c r="J15" s="276">
        <f>'8-κ-15-17'!AG15</f>
        <v>777.38900000000285</v>
      </c>
      <c r="K15" s="343">
        <f t="shared" si="48"/>
        <v>2.2814057226705882</v>
      </c>
      <c r="L15" s="578">
        <v>144.9</v>
      </c>
      <c r="M15" s="578">
        <v>1457.92</v>
      </c>
      <c r="N15" s="579">
        <v>2488</v>
      </c>
      <c r="O15" s="580">
        <v>43762</v>
      </c>
      <c r="P15" s="343"/>
      <c r="Q15" s="343"/>
      <c r="R15" s="343"/>
      <c r="S15" s="276">
        <f>('14-βιβλΕσ'!N15+'14-βιβλΕσ'!O15+'14-βιβλΕσ'!R15)*30%</f>
        <v>55239.993600000002</v>
      </c>
      <c r="T15" s="343">
        <f t="shared" si="49"/>
        <v>162.11296727806311</v>
      </c>
      <c r="U15" s="276">
        <f>'14-βιβλΕσ'!R15</f>
        <v>192411</v>
      </c>
      <c r="V15" s="343">
        <f t="shared" si="50"/>
        <v>564.66911225238448</v>
      </c>
      <c r="W15" s="276">
        <f t="shared" si="51"/>
        <v>143393</v>
      </c>
      <c r="X15" s="343">
        <f t="shared" si="52"/>
        <v>420.81584739545121</v>
      </c>
      <c r="Y15" s="581" t="s">
        <v>587</v>
      </c>
      <c r="Z15" s="343">
        <v>6160.95</v>
      </c>
      <c r="AA15" s="343">
        <v>6160.95</v>
      </c>
      <c r="AB15" s="444"/>
      <c r="AC15" s="444"/>
      <c r="AD15" s="276">
        <f t="shared" si="12"/>
        <v>240789.701</v>
      </c>
      <c r="AE15" s="343">
        <f t="shared" si="53"/>
        <v>706.64622450476884</v>
      </c>
      <c r="AF15" s="276">
        <f>29860+N15</f>
        <v>32348</v>
      </c>
      <c r="AG15" s="444"/>
      <c r="AH15" s="444"/>
      <c r="AI15" s="444"/>
      <c r="AJ15" s="276">
        <f>'1-συμβολαια'!L15+'8-κ-15-17'!AE15+'14-βιβλΕσ'!L15+'14-βιβλΕσ'!Q15+'14-βιβλΕσ'!R15+1000</f>
        <v>384182.701</v>
      </c>
      <c r="AK15" s="343">
        <f t="shared" si="54"/>
        <v>1127.4620719002201</v>
      </c>
      <c r="AL15" s="276">
        <f>'1-συμβολαια'!M15</f>
        <v>143393</v>
      </c>
      <c r="AM15" s="343">
        <f t="shared" si="55"/>
        <v>420.81584739545121</v>
      </c>
      <c r="AN15" s="276">
        <f t="shared" si="45"/>
        <v>240789.701</v>
      </c>
      <c r="AO15" s="343">
        <f t="shared" si="56"/>
        <v>706.64622450476884</v>
      </c>
      <c r="AP15" s="582"/>
      <c r="AQ15" s="331">
        <f t="shared" si="57"/>
        <v>32348</v>
      </c>
      <c r="AR15" s="583" t="s">
        <v>568</v>
      </c>
      <c r="AS15" s="74"/>
      <c r="AT15" s="74"/>
      <c r="AU15" s="74"/>
      <c r="AV15" s="74"/>
      <c r="AW15" s="74"/>
    </row>
    <row r="16" spans="1:49" s="5" customFormat="1">
      <c r="A16" s="443">
        <f>'1-συμβολαια'!A16</f>
        <v>0</v>
      </c>
      <c r="B16" s="373"/>
      <c r="C16" s="342" t="str">
        <f>'1-συμβολαια'!C16</f>
        <v xml:space="preserve">κάθετος ΣΥΣΤΑΣΗ </v>
      </c>
      <c r="D16" s="305" t="str">
        <f>'4-πολλυπρ'!D16</f>
        <v>219-120</v>
      </c>
      <c r="E16" s="305">
        <f>'4-πολλυπρ'!I16</f>
        <v>0</v>
      </c>
      <c r="F16" s="305">
        <f>'14-βιβλΕσ'!O16</f>
        <v>0</v>
      </c>
      <c r="G16" s="276">
        <f>'14-βιβλΕσ'!Q16</f>
        <v>3503</v>
      </c>
      <c r="H16" s="276">
        <f t="shared" si="46"/>
        <v>3503</v>
      </c>
      <c r="I16" s="343">
        <f t="shared" si="47"/>
        <v>10.28026412325752</v>
      </c>
      <c r="J16" s="276">
        <f>'8-κ-15-17'!AG16</f>
        <v>0</v>
      </c>
      <c r="K16" s="343">
        <f t="shared" si="48"/>
        <v>0</v>
      </c>
      <c r="L16" s="343"/>
      <c r="M16" s="343"/>
      <c r="N16" s="343"/>
      <c r="O16" s="343"/>
      <c r="P16" s="343"/>
      <c r="Q16" s="343"/>
      <c r="R16" s="343"/>
      <c r="S16" s="276">
        <f>('14-βιβλΕσ'!N16+'14-βιβλΕσ'!O16+'14-βιβλΕσ'!R16)*30%</f>
        <v>30660</v>
      </c>
      <c r="T16" s="343">
        <f t="shared" si="49"/>
        <v>89.977989728539981</v>
      </c>
      <c r="U16" s="276">
        <f>'14-βιβλΕσ'!R16</f>
        <v>82700</v>
      </c>
      <c r="V16" s="343">
        <f t="shared" si="50"/>
        <v>242.69992663242846</v>
      </c>
      <c r="W16" s="276">
        <f t="shared" si="51"/>
        <v>20000</v>
      </c>
      <c r="X16" s="343">
        <f t="shared" si="52"/>
        <v>58.694057226705795</v>
      </c>
      <c r="Y16" s="276" t="s">
        <v>558</v>
      </c>
      <c r="Z16" s="343">
        <v>860.49</v>
      </c>
      <c r="AA16" s="343">
        <v>860.49</v>
      </c>
      <c r="AB16" s="444"/>
      <c r="AC16" s="444"/>
      <c r="AD16" s="276">
        <f t="shared" si="12"/>
        <v>105703</v>
      </c>
      <c r="AE16" s="343">
        <f t="shared" si="53"/>
        <v>310.20689655172413</v>
      </c>
      <c r="AF16" s="280">
        <v>11222</v>
      </c>
      <c r="AG16" s="444"/>
      <c r="AH16" s="444"/>
      <c r="AI16" s="444"/>
      <c r="AJ16" s="276">
        <f>'1-συμβολαια'!L16+'8-κ-15-17'!AE16+'14-βιβλΕσ'!L16+'14-βιβλΕσ'!Q16+'14-βιβλΕσ'!R16+100</f>
        <v>125703</v>
      </c>
      <c r="AK16" s="343">
        <f t="shared" si="54"/>
        <v>368.90095377842994</v>
      </c>
      <c r="AL16" s="276">
        <f>'1-συμβολαια'!M16</f>
        <v>20000</v>
      </c>
      <c r="AM16" s="343">
        <f t="shared" si="55"/>
        <v>58.694057226705795</v>
      </c>
      <c r="AN16" s="276">
        <f t="shared" si="45"/>
        <v>105703</v>
      </c>
      <c r="AO16" s="343">
        <f t="shared" si="56"/>
        <v>310.20689655172413</v>
      </c>
      <c r="AP16" s="327"/>
      <c r="AQ16" s="331">
        <f t="shared" si="57"/>
        <v>11222</v>
      </c>
      <c r="AR16" s="344" t="s">
        <v>568</v>
      </c>
      <c r="AS16" s="74"/>
      <c r="AT16" s="74"/>
      <c r="AU16" s="74"/>
      <c r="AV16" s="74"/>
      <c r="AW16" s="74"/>
    </row>
    <row r="17" spans="1:53">
      <c r="A17" s="868" t="s">
        <v>35</v>
      </c>
      <c r="B17" s="869"/>
      <c r="C17" s="869"/>
      <c r="D17" s="869"/>
      <c r="E17" s="870"/>
      <c r="F17" s="258">
        <f t="shared" ref="F17:AO17" si="58">SUM(F3:F13)</f>
        <v>14072.162800000009</v>
      </c>
      <c r="G17" s="258">
        <f t="shared" si="58"/>
        <v>16111</v>
      </c>
      <c r="H17" s="258">
        <f t="shared" si="58"/>
        <v>30183.162800000009</v>
      </c>
      <c r="I17" s="43">
        <f t="shared" si="58"/>
        <v>88.578614233308897</v>
      </c>
      <c r="J17" s="258">
        <f t="shared" si="58"/>
        <v>43084.582000000002</v>
      </c>
      <c r="K17" s="43">
        <f t="shared" si="58"/>
        <v>126.44044607483492</v>
      </c>
      <c r="L17" s="43">
        <f>SUM(L13:L16)</f>
        <v>276.58000000000004</v>
      </c>
      <c r="M17" s="43">
        <f>SUM(M13:M16)</f>
        <v>3595.87</v>
      </c>
      <c r="N17" s="258">
        <f>SUM(N13:N16)</f>
        <v>4747</v>
      </c>
      <c r="O17" s="43"/>
      <c r="P17" s="43">
        <f t="shared" si="58"/>
        <v>0</v>
      </c>
      <c r="Q17" s="43">
        <f t="shared" si="58"/>
        <v>0</v>
      </c>
      <c r="R17" s="258">
        <f t="shared" si="58"/>
        <v>0</v>
      </c>
      <c r="S17" s="258">
        <f t="shared" si="58"/>
        <v>159048.82560000001</v>
      </c>
      <c r="T17" s="43">
        <f t="shared" si="58"/>
        <v>466.76104358033757</v>
      </c>
      <c r="U17" s="258">
        <f t="shared" si="58"/>
        <v>372772</v>
      </c>
      <c r="V17" s="43">
        <f t="shared" si="58"/>
        <v>1093.9750550256786</v>
      </c>
      <c r="W17" s="258">
        <f t="shared" si="58"/>
        <v>302559</v>
      </c>
      <c r="X17" s="43">
        <f t="shared" si="58"/>
        <v>887.92076302274393</v>
      </c>
      <c r="Y17" s="258">
        <f t="shared" si="58"/>
        <v>0</v>
      </c>
      <c r="Z17" s="258"/>
      <c r="AA17" s="43">
        <f t="shared" si="58"/>
        <v>13524.764651504036</v>
      </c>
      <c r="AB17" s="258">
        <f t="shared" si="58"/>
        <v>0</v>
      </c>
      <c r="AC17" s="43">
        <f t="shared" si="58"/>
        <v>0</v>
      </c>
      <c r="AD17" s="258">
        <f t="shared" si="58"/>
        <v>595282.33400000003</v>
      </c>
      <c r="AE17" s="43">
        <f t="shared" si="58"/>
        <v>1746.9767688921497</v>
      </c>
      <c r="AF17" s="258">
        <f>SUM(AF3:AF16)</f>
        <v>137444.35448811945</v>
      </c>
      <c r="AG17" s="258">
        <f t="shared" si="58"/>
        <v>0</v>
      </c>
      <c r="AH17" s="43">
        <f t="shared" si="58"/>
        <v>0</v>
      </c>
      <c r="AI17" s="258">
        <f t="shared" si="58"/>
        <v>0</v>
      </c>
      <c r="AJ17" s="258">
        <f t="shared" si="58"/>
        <v>941593.33400000003</v>
      </c>
      <c r="AK17" s="43">
        <f t="shared" si="58"/>
        <v>2763.2966515040357</v>
      </c>
      <c r="AL17" s="258">
        <f t="shared" si="58"/>
        <v>346311</v>
      </c>
      <c r="AM17" s="43">
        <f t="shared" si="58"/>
        <v>1016.3198826118855</v>
      </c>
      <c r="AN17" s="258">
        <f t="shared" si="58"/>
        <v>595282.33400000003</v>
      </c>
      <c r="AO17" s="43">
        <f t="shared" si="58"/>
        <v>1746.9767688921497</v>
      </c>
      <c r="AP17" s="43"/>
      <c r="AQ17" s="258">
        <f>SUM(AQ3:AQ16)</f>
        <v>137444.35448811945</v>
      </c>
    </row>
    <row r="18" spans="1:53">
      <c r="U18" s="76"/>
      <c r="V18" s="76"/>
    </row>
    <row r="19" spans="1:53">
      <c r="U19" s="132"/>
      <c r="V19" s="132"/>
      <c r="AJ19" s="132"/>
      <c r="AK19" s="132"/>
    </row>
    <row r="20" spans="1:53">
      <c r="AD20" s="847" t="s">
        <v>588</v>
      </c>
      <c r="AE20" s="847"/>
      <c r="AF20" s="847"/>
      <c r="AG20" s="847"/>
      <c r="AH20" s="847"/>
      <c r="AI20" s="847"/>
      <c r="AJ20" s="132"/>
      <c r="AK20" s="133"/>
    </row>
    <row r="21" spans="1:53">
      <c r="AD21" s="280">
        <f>H3+J3+S3</f>
        <v>4628.3999999999996</v>
      </c>
      <c r="AE21" s="329">
        <f t="shared" ref="AE21" si="59">AD21/340.75</f>
        <v>13.582978723404254</v>
      </c>
      <c r="AF21" s="280"/>
      <c r="AG21" s="280">
        <f>AN3-AD21</f>
        <v>10799.6</v>
      </c>
      <c r="AH21" s="329">
        <f t="shared" ref="AH21" si="60">AG21/340.75</f>
        <v>31.693617021276598</v>
      </c>
      <c r="AI21" s="280"/>
      <c r="AQ21" s="8"/>
      <c r="AR21" s="82"/>
    </row>
    <row r="22" spans="1:53">
      <c r="AD22" s="280">
        <f t="shared" ref="AD22:AD25" si="61">H4+J4+S4</f>
        <v>5783.4</v>
      </c>
      <c r="AE22" s="329">
        <f t="shared" ref="AE22:AE35" si="62">AD22/340.75</f>
        <v>16.972560528246515</v>
      </c>
      <c r="AF22" s="280"/>
      <c r="AG22" s="280">
        <f t="shared" ref="AG22:AG25" si="63">AN4-AD22</f>
        <v>13494.6</v>
      </c>
      <c r="AH22" s="329">
        <f t="shared" ref="AH22:AH35" si="64">AG22/340.75</f>
        <v>39.602641232575202</v>
      </c>
      <c r="AI22" s="280"/>
      <c r="AQ22" s="8"/>
      <c r="AR22" s="82"/>
    </row>
    <row r="23" spans="1:53">
      <c r="V23" s="8">
        <v>1469</v>
      </c>
      <c r="W23" s="327">
        <v>43762</v>
      </c>
      <c r="X23" s="74">
        <v>614</v>
      </c>
      <c r="Y23" s="280">
        <v>9</v>
      </c>
      <c r="AD23" s="280">
        <f t="shared" si="61"/>
        <v>4628.3999999999996</v>
      </c>
      <c r="AE23" s="329">
        <f t="shared" si="62"/>
        <v>13.582978723404254</v>
      </c>
      <c r="AF23" s="280"/>
      <c r="AG23" s="280">
        <f t="shared" si="63"/>
        <v>10799.6</v>
      </c>
      <c r="AH23" s="329">
        <f t="shared" si="64"/>
        <v>31.693617021276598</v>
      </c>
      <c r="AI23" s="280"/>
      <c r="AQ23" s="8"/>
      <c r="AR23" s="82"/>
    </row>
    <row r="24" spans="1:53">
      <c r="V24" s="8">
        <v>0</v>
      </c>
      <c r="W24" s="327"/>
      <c r="X24" s="74"/>
      <c r="Y24" s="280"/>
      <c r="AD24" s="280">
        <f t="shared" si="61"/>
        <v>70</v>
      </c>
      <c r="AE24" s="329">
        <f t="shared" si="62"/>
        <v>0.20542920029347028</v>
      </c>
      <c r="AF24" s="280"/>
      <c r="AG24" s="280">
        <f t="shared" si="63"/>
        <v>-70</v>
      </c>
      <c r="AH24" s="329">
        <f t="shared" si="64"/>
        <v>-0.20542920029347028</v>
      </c>
      <c r="AI24" s="280"/>
      <c r="AQ24" s="8"/>
      <c r="AR24" s="82"/>
    </row>
    <row r="25" spans="1:53">
      <c r="V25" s="8">
        <v>0</v>
      </c>
      <c r="W25" s="327"/>
      <c r="X25" s="74"/>
      <c r="Y25" s="280"/>
      <c r="AD25" s="280">
        <f t="shared" si="61"/>
        <v>13.2</v>
      </c>
      <c r="AE25" s="329">
        <f t="shared" si="62"/>
        <v>3.8738077769625824E-2</v>
      </c>
      <c r="AF25" s="280"/>
      <c r="AG25" s="280">
        <f t="shared" si="63"/>
        <v>30.8</v>
      </c>
      <c r="AH25" s="329">
        <f t="shared" si="64"/>
        <v>9.0388848129126925E-2</v>
      </c>
      <c r="AI25" s="280"/>
      <c r="AQ25" s="8"/>
      <c r="AR25" s="82"/>
    </row>
    <row r="26" spans="1:53" ht="12" thickBot="1">
      <c r="V26" s="8">
        <v>0</v>
      </c>
      <c r="W26" s="466">
        <v>43762</v>
      </c>
      <c r="X26" s="467">
        <v>614</v>
      </c>
      <c r="Y26" s="457">
        <v>10</v>
      </c>
      <c r="AC26" s="133" t="s">
        <v>589</v>
      </c>
      <c r="AD26" s="563">
        <f>SUM(AD21:AD25)</f>
        <v>15123.4</v>
      </c>
      <c r="AE26" s="564">
        <f t="shared" ref="AE26:AH26" si="65">SUM(AE21:AE25)</f>
        <v>44.382685253118126</v>
      </c>
      <c r="AF26" s="563">
        <v>805</v>
      </c>
      <c r="AG26" s="563">
        <f t="shared" si="65"/>
        <v>35054.600000000006</v>
      </c>
      <c r="AH26" s="564">
        <f t="shared" si="65"/>
        <v>102.87483492296406</v>
      </c>
      <c r="AI26" s="563">
        <v>945</v>
      </c>
      <c r="AQ26" s="566">
        <f t="shared" ref="AQ26:AQ35" si="66">AF26+AI26</f>
        <v>1750</v>
      </c>
      <c r="AR26" s="82"/>
      <c r="AT26" s="127"/>
      <c r="AU26" s="127"/>
      <c r="AV26" s="127"/>
    </row>
    <row r="27" spans="1:53">
      <c r="V27" s="8" t="s">
        <v>571</v>
      </c>
      <c r="W27" s="327"/>
      <c r="X27" s="74"/>
      <c r="Y27" s="280"/>
      <c r="AC27" s="567">
        <v>1469</v>
      </c>
      <c r="AD27" s="280">
        <f>H8+J8+S8</f>
        <v>54831.000800000023</v>
      </c>
      <c r="AE27" s="329">
        <f t="shared" si="62"/>
        <v>160.91269493763764</v>
      </c>
      <c r="AF27" s="280">
        <v>2690</v>
      </c>
      <c r="AG27" s="280">
        <f>AN8-AD27</f>
        <v>112199.22320000002</v>
      </c>
      <c r="AH27" s="329">
        <f t="shared" si="64"/>
        <v>329.27138136463691</v>
      </c>
      <c r="AI27" s="280">
        <v>2781</v>
      </c>
      <c r="AQ27" s="565">
        <f t="shared" si="66"/>
        <v>5471</v>
      </c>
      <c r="AR27" s="82"/>
      <c r="AS27" s="559"/>
      <c r="AT27" s="559"/>
      <c r="AU27" s="559"/>
      <c r="AV27" s="559"/>
      <c r="AW27" s="559"/>
    </row>
    <row r="28" spans="1:53">
      <c r="V28" s="8">
        <v>1470</v>
      </c>
      <c r="W28" s="327">
        <v>43762</v>
      </c>
      <c r="X28" s="74">
        <v>614</v>
      </c>
      <c r="Y28" s="280">
        <v>11</v>
      </c>
      <c r="AC28" s="567"/>
      <c r="AD28" s="280">
        <f t="shared" ref="AD28:AD35" si="67">H9+J9+S9</f>
        <v>68455.425600000002</v>
      </c>
      <c r="AE28" s="329">
        <f t="shared" si="62"/>
        <v>200.89633338224505</v>
      </c>
      <c r="AF28" s="280">
        <v>3358</v>
      </c>
      <c r="AG28" s="280">
        <f t="shared" ref="AG28:AG35" si="68">AN9-AD28</f>
        <v>33042.924400000004</v>
      </c>
      <c r="AH28" s="329">
        <f t="shared" si="64"/>
        <v>96.971164783565669</v>
      </c>
      <c r="AI28" s="280">
        <v>819</v>
      </c>
      <c r="AQ28" s="565">
        <f t="shared" si="66"/>
        <v>4177</v>
      </c>
      <c r="AR28" s="82"/>
      <c r="AT28" s="560"/>
      <c r="AU28" s="560"/>
      <c r="AV28" s="560"/>
      <c r="AW28" s="560"/>
      <c r="AX28" s="11"/>
      <c r="AY28" s="11"/>
      <c r="AZ28" s="11"/>
      <c r="BA28" s="11"/>
    </row>
    <row r="29" spans="1:53">
      <c r="V29" s="8">
        <v>1471</v>
      </c>
      <c r="W29" s="555" t="s">
        <v>587</v>
      </c>
      <c r="X29" s="74"/>
      <c r="Y29" s="280"/>
      <c r="AC29" s="567"/>
      <c r="AD29" s="280">
        <f t="shared" si="67"/>
        <v>8042</v>
      </c>
      <c r="AE29" s="329">
        <f t="shared" si="62"/>
        <v>23.600880410858402</v>
      </c>
      <c r="AF29" s="280">
        <v>395</v>
      </c>
      <c r="AG29" s="280">
        <f t="shared" si="68"/>
        <v>12880</v>
      </c>
      <c r="AH29" s="329">
        <f t="shared" si="64"/>
        <v>37.798972853998535</v>
      </c>
      <c r="AI29" s="280">
        <v>319</v>
      </c>
      <c r="AQ29" s="565">
        <f t="shared" si="66"/>
        <v>714</v>
      </c>
      <c r="AR29" s="82"/>
      <c r="AT29" s="561"/>
      <c r="AU29" s="561"/>
      <c r="AV29" s="561"/>
      <c r="AW29" s="561"/>
      <c r="AX29" s="11"/>
      <c r="AY29" s="11"/>
      <c r="AZ29" s="11"/>
      <c r="BA29" s="11"/>
    </row>
    <row r="30" spans="1:53">
      <c r="V30" s="8">
        <v>1472</v>
      </c>
      <c r="W30" s="327">
        <v>43762</v>
      </c>
      <c r="X30" s="74">
        <v>614</v>
      </c>
      <c r="Y30" s="280">
        <v>91</v>
      </c>
      <c r="AC30" s="567"/>
      <c r="AD30" s="280">
        <f t="shared" si="67"/>
        <v>35436</v>
      </c>
      <c r="AE30" s="329">
        <f t="shared" si="62"/>
        <v>103.99413059427732</v>
      </c>
      <c r="AF30" s="280">
        <v>1738</v>
      </c>
      <c r="AG30" s="280">
        <f t="shared" si="68"/>
        <v>64840</v>
      </c>
      <c r="AH30" s="329">
        <f t="shared" si="64"/>
        <v>190.2861335289802</v>
      </c>
      <c r="AI30" s="280">
        <v>1607</v>
      </c>
      <c r="AQ30" s="565">
        <f t="shared" si="66"/>
        <v>3345</v>
      </c>
      <c r="AR30" s="82"/>
      <c r="AS30" s="11"/>
      <c r="AT30" s="11"/>
      <c r="AU30" s="11"/>
      <c r="AV30" s="11"/>
      <c r="AW30" s="11"/>
      <c r="AX30" s="11"/>
      <c r="AY30" s="11"/>
      <c r="AZ30" s="11"/>
      <c r="BA30" s="11"/>
    </row>
    <row r="31" spans="1:53">
      <c r="V31" s="8">
        <v>0</v>
      </c>
      <c r="W31" s="327">
        <v>43762</v>
      </c>
      <c r="X31" s="74">
        <v>614</v>
      </c>
      <c r="Y31" s="280">
        <v>92</v>
      </c>
      <c r="AC31" s="8" t="s">
        <v>571</v>
      </c>
      <c r="AD31" s="280">
        <f t="shared" si="67"/>
        <v>80.2</v>
      </c>
      <c r="AE31" s="329">
        <f t="shared" si="62"/>
        <v>0.23536316947909025</v>
      </c>
      <c r="AF31" s="280">
        <v>4</v>
      </c>
      <c r="AG31" s="280">
        <f t="shared" si="68"/>
        <v>-46.2</v>
      </c>
      <c r="AH31" s="329">
        <f t="shared" si="64"/>
        <v>-0.1355832721936904</v>
      </c>
      <c r="AI31" s="277">
        <v>-1</v>
      </c>
      <c r="AQ31" s="565">
        <f t="shared" si="66"/>
        <v>3</v>
      </c>
      <c r="AR31" s="82"/>
      <c r="AS31" s="11"/>
      <c r="AT31" s="11"/>
      <c r="AU31" s="11"/>
      <c r="AV31" s="11"/>
      <c r="AW31" s="11"/>
      <c r="AX31" s="562"/>
      <c r="AY31" s="562"/>
      <c r="AZ31" s="562"/>
      <c r="BA31" s="11"/>
    </row>
    <row r="32" spans="1:53">
      <c r="AC32" s="8">
        <v>1470</v>
      </c>
      <c r="AD32" s="280">
        <f t="shared" si="67"/>
        <v>50348.544000000002</v>
      </c>
      <c r="AE32" s="329">
        <f t="shared" si="62"/>
        <v>147.75801614086575</v>
      </c>
      <c r="AF32" s="280">
        <v>2470</v>
      </c>
      <c r="AG32" s="280">
        <f t="shared" si="68"/>
        <v>104995.21600000001</v>
      </c>
      <c r="AH32" s="329">
        <f t="shared" si="64"/>
        <v>308.12976082171684</v>
      </c>
      <c r="AI32" s="280">
        <v>2603</v>
      </c>
      <c r="AQ32" s="565">
        <f t="shared" si="66"/>
        <v>5073</v>
      </c>
      <c r="AR32" s="82"/>
      <c r="AS32" s="11"/>
      <c r="AT32" s="11"/>
      <c r="AU32" s="11"/>
      <c r="AV32" s="11"/>
      <c r="AW32" s="11"/>
      <c r="AX32" s="11"/>
      <c r="AY32" s="11"/>
      <c r="AZ32" s="11"/>
      <c r="BA32" s="11"/>
    </row>
    <row r="33" spans="29:53">
      <c r="AC33" s="8">
        <v>1471</v>
      </c>
      <c r="AD33" s="280">
        <f t="shared" si="67"/>
        <v>34828.92240000001</v>
      </c>
      <c r="AE33" s="329">
        <f t="shared" si="62"/>
        <v>102.2125382245048</v>
      </c>
      <c r="AF33" s="280">
        <v>1709</v>
      </c>
      <c r="AG33" s="280">
        <f t="shared" si="68"/>
        <v>106668.87360000002</v>
      </c>
      <c r="AH33" s="329">
        <f t="shared" si="64"/>
        <v>313.04144856933243</v>
      </c>
      <c r="AI33" s="280">
        <v>2644</v>
      </c>
      <c r="AQ33" s="565">
        <f t="shared" si="66"/>
        <v>4353</v>
      </c>
      <c r="AR33" s="82"/>
      <c r="AS33" s="11"/>
      <c r="AT33" s="11"/>
      <c r="AU33" s="11"/>
      <c r="AV33" s="11"/>
      <c r="AW33" s="11"/>
      <c r="AX33" s="11"/>
      <c r="AY33" s="11"/>
      <c r="AZ33" s="11"/>
      <c r="BA33" s="11"/>
    </row>
    <row r="34" spans="29:53">
      <c r="AC34" s="567">
        <v>1472</v>
      </c>
      <c r="AD34" s="280">
        <f t="shared" si="67"/>
        <v>63518.679400000008</v>
      </c>
      <c r="AE34" s="329">
        <f t="shared" si="62"/>
        <v>186.40845018341895</v>
      </c>
      <c r="AF34" s="280">
        <v>3116</v>
      </c>
      <c r="AG34" s="280">
        <f t="shared" si="68"/>
        <v>177271.02159999998</v>
      </c>
      <c r="AH34" s="329">
        <f t="shared" si="64"/>
        <v>520.23777432134989</v>
      </c>
      <c r="AI34" s="280">
        <v>4394</v>
      </c>
      <c r="AQ34" s="565">
        <f t="shared" si="66"/>
        <v>7510</v>
      </c>
      <c r="AR34" s="82"/>
      <c r="AS34" s="11"/>
      <c r="AT34" s="11"/>
      <c r="AU34" s="11"/>
      <c r="AV34" s="11"/>
      <c r="AW34" s="11"/>
      <c r="AX34" s="11"/>
      <c r="AY34" s="11"/>
      <c r="AZ34" s="11"/>
      <c r="BA34" s="11"/>
    </row>
    <row r="35" spans="29:53">
      <c r="AC35" s="567"/>
      <c r="AD35" s="280">
        <f t="shared" si="67"/>
        <v>34163</v>
      </c>
      <c r="AE35" s="329">
        <f t="shared" si="62"/>
        <v>100.25825385179751</v>
      </c>
      <c r="AF35" s="280">
        <v>1676</v>
      </c>
      <c r="AG35" s="280">
        <f t="shared" si="68"/>
        <v>71540</v>
      </c>
      <c r="AH35" s="329">
        <f t="shared" si="64"/>
        <v>209.94864269992664</v>
      </c>
      <c r="AI35" s="280">
        <v>1773</v>
      </c>
      <c r="AQ35" s="565">
        <f t="shared" si="66"/>
        <v>3449</v>
      </c>
      <c r="AR35" s="82"/>
      <c r="AS35" s="11"/>
      <c r="AT35" s="11"/>
      <c r="AU35" s="11"/>
      <c r="AV35" s="11"/>
      <c r="AW35" s="11"/>
      <c r="AX35" s="11"/>
      <c r="AY35" s="11"/>
      <c r="AZ35" s="11"/>
      <c r="BA35" s="11"/>
    </row>
    <row r="36" spans="29:53">
      <c r="AF36" s="568">
        <f>SUM(AF26:AF35)</f>
        <v>17961</v>
      </c>
      <c r="AI36" s="568">
        <f>SUM(AI26:AI35)</f>
        <v>17884</v>
      </c>
      <c r="AQ36" s="568">
        <f>SUM(AQ26:AQ35)</f>
        <v>35845</v>
      </c>
      <c r="AR36" s="82"/>
      <c r="AS36" s="11"/>
      <c r="AT36" s="11"/>
      <c r="AU36" s="11"/>
      <c r="AV36" s="11"/>
      <c r="AW36" s="11"/>
      <c r="AX36" s="11"/>
      <c r="AY36" s="11"/>
      <c r="AZ36" s="11"/>
      <c r="BA36" s="11"/>
    </row>
    <row r="37" spans="29:53" ht="15">
      <c r="AQ37" s="8"/>
      <c r="AR37" s="82"/>
      <c r="AS37" s="123"/>
      <c r="AT37" s="123"/>
      <c r="AU37" s="123"/>
      <c r="AV37" s="123"/>
      <c r="AW37" s="123"/>
      <c r="AX37" s="123"/>
      <c r="AY37" s="123"/>
      <c r="AZ37" s="123"/>
      <c r="BA37" s="123"/>
    </row>
    <row r="38" spans="29:53" ht="15">
      <c r="AQ38" s="8"/>
      <c r="AR38" s="82"/>
      <c r="AS38" s="123"/>
      <c r="AT38" s="123"/>
      <c r="AU38" s="123"/>
      <c r="AV38" s="123"/>
      <c r="AW38" s="123"/>
      <c r="AX38" s="123"/>
      <c r="AY38" s="123"/>
      <c r="AZ38" s="123"/>
      <c r="BA38" s="123"/>
    </row>
    <row r="39" spans="29:53" ht="15">
      <c r="AQ39" s="8"/>
      <c r="AR39" s="82"/>
      <c r="AS39" s="123"/>
      <c r="AT39" s="123"/>
      <c r="AU39" s="123"/>
      <c r="AV39" s="123"/>
      <c r="AW39" s="123"/>
      <c r="AX39" s="123"/>
      <c r="AY39" s="123"/>
      <c r="AZ39" s="123"/>
      <c r="BA39" s="123"/>
    </row>
    <row r="40" spans="29:53" ht="15">
      <c r="AQ40" s="8"/>
      <c r="AR40" s="82"/>
      <c r="AS40" s="123"/>
      <c r="AT40" s="123"/>
      <c r="AU40" s="123"/>
      <c r="AV40" s="123"/>
      <c r="AW40" s="123"/>
      <c r="AX40" s="123"/>
      <c r="AY40" s="123"/>
      <c r="AZ40" s="123"/>
      <c r="BA40" s="123"/>
    </row>
    <row r="41" spans="29:53" ht="15">
      <c r="AQ41" s="8"/>
      <c r="AR41" s="82"/>
      <c r="AS41" s="123"/>
      <c r="AT41" s="123"/>
      <c r="AU41" s="123"/>
      <c r="AV41" s="123"/>
      <c r="AW41" s="123"/>
      <c r="AX41" s="123"/>
      <c r="AY41" s="123"/>
      <c r="AZ41" s="123"/>
      <c r="BA41" s="123"/>
    </row>
    <row r="42" spans="29:53" ht="15">
      <c r="AQ42" s="8"/>
      <c r="AR42" s="82"/>
      <c r="AS42" s="123"/>
      <c r="AT42" s="123"/>
      <c r="AU42" s="123"/>
      <c r="AV42" s="123"/>
      <c r="AW42" s="123"/>
      <c r="AX42" s="123"/>
      <c r="AY42" s="123"/>
      <c r="AZ42" s="123"/>
      <c r="BA42" s="123"/>
    </row>
    <row r="43" spans="29:53" ht="15">
      <c r="AS43" s="123"/>
      <c r="AT43" s="123"/>
      <c r="AU43" s="123"/>
      <c r="AV43" s="123"/>
      <c r="AW43" s="123"/>
      <c r="AX43" s="123"/>
      <c r="AY43" s="123"/>
      <c r="AZ43" s="123"/>
      <c r="BA43" s="123"/>
    </row>
    <row r="44" spans="29:53" ht="15">
      <c r="AS44" s="123"/>
      <c r="AT44" s="123"/>
      <c r="AU44" s="123"/>
      <c r="AV44" s="123"/>
      <c r="AW44" s="123"/>
      <c r="AX44" s="123"/>
      <c r="AY44" s="123"/>
      <c r="AZ44" s="123"/>
      <c r="BA44" s="123"/>
    </row>
    <row r="45" spans="29:53" ht="15">
      <c r="AS45" s="123"/>
      <c r="AT45" s="123"/>
      <c r="AU45" s="123"/>
      <c r="AV45" s="123"/>
      <c r="AW45" s="123"/>
      <c r="AX45" s="123"/>
      <c r="AY45" s="123"/>
      <c r="AZ45" s="123"/>
      <c r="BA45" s="123"/>
    </row>
    <row r="46" spans="29:53" ht="15">
      <c r="AS46" s="123"/>
      <c r="AT46" s="123"/>
      <c r="AU46" s="123"/>
      <c r="AV46" s="123"/>
      <c r="AW46" s="123"/>
      <c r="AX46" s="123"/>
      <c r="AY46" s="123"/>
      <c r="AZ46" s="123"/>
      <c r="BA46" s="123"/>
    </row>
    <row r="47" spans="29:53" ht="15">
      <c r="AS47" s="123"/>
      <c r="AT47" s="123"/>
      <c r="AU47" s="123"/>
      <c r="AV47" s="123"/>
      <c r="AW47" s="123"/>
      <c r="AX47" s="123"/>
      <c r="AY47" s="123"/>
      <c r="AZ47" s="123"/>
      <c r="BA47" s="123"/>
    </row>
    <row r="48" spans="29:53" ht="15">
      <c r="AS48" s="123"/>
      <c r="AT48" s="123"/>
      <c r="AU48" s="123"/>
      <c r="AV48" s="123"/>
      <c r="AW48" s="123"/>
      <c r="AX48" s="123"/>
      <c r="AY48" s="123"/>
      <c r="AZ48" s="123"/>
      <c r="BA48" s="123"/>
    </row>
    <row r="49" spans="45:53" ht="15">
      <c r="AS49" s="123"/>
      <c r="AT49" s="123"/>
      <c r="AU49" s="123"/>
      <c r="AV49" s="123"/>
      <c r="AW49" s="123"/>
      <c r="AX49" s="123"/>
      <c r="AY49" s="123"/>
      <c r="AZ49" s="123"/>
      <c r="BA49" s="123"/>
    </row>
    <row r="50" spans="45:53" ht="15">
      <c r="AS50" s="123"/>
      <c r="AT50" s="123"/>
      <c r="AU50" s="123"/>
      <c r="AV50" s="123"/>
      <c r="AW50" s="123"/>
      <c r="AX50" s="123"/>
      <c r="AY50" s="123"/>
      <c r="AZ50" s="123"/>
      <c r="BA50" s="123"/>
    </row>
    <row r="51" spans="45:53" ht="15">
      <c r="AS51" s="123"/>
      <c r="AT51" s="123"/>
      <c r="AU51" s="123"/>
      <c r="AV51" s="123"/>
      <c r="AW51" s="123"/>
      <c r="AX51" s="123"/>
      <c r="AY51" s="123"/>
      <c r="AZ51" s="123"/>
      <c r="BA51" s="123"/>
    </row>
    <row r="52" spans="45:53" ht="15">
      <c r="AS52" s="123"/>
      <c r="AT52" s="123"/>
      <c r="AU52" s="123"/>
      <c r="AV52" s="123"/>
      <c r="AW52" s="123"/>
      <c r="AX52" s="123"/>
      <c r="AY52" s="123"/>
      <c r="AZ52" s="123"/>
      <c r="BA52" s="123"/>
    </row>
    <row r="53" spans="45:53" ht="15">
      <c r="AS53" s="123"/>
      <c r="AT53" s="123"/>
      <c r="AU53" s="123"/>
      <c r="AV53" s="123"/>
      <c r="AW53" s="123"/>
      <c r="AX53" s="123"/>
      <c r="AY53" s="123"/>
      <c r="AZ53" s="123"/>
      <c r="BA53" s="123"/>
    </row>
    <row r="54" spans="45:53" ht="15">
      <c r="AS54" s="123"/>
      <c r="AT54" s="123"/>
      <c r="AU54" s="123"/>
      <c r="AV54" s="123"/>
      <c r="AW54" s="123"/>
      <c r="AX54" s="123"/>
      <c r="AY54" s="123"/>
      <c r="AZ54" s="123"/>
      <c r="BA54" s="123"/>
    </row>
    <row r="55" spans="45:53" ht="15">
      <c r="AS55" s="123"/>
      <c r="AT55" s="123"/>
      <c r="AU55" s="123"/>
      <c r="AV55" s="123"/>
      <c r="AW55" s="123"/>
      <c r="AX55" s="123"/>
      <c r="AY55" s="123"/>
      <c r="AZ55" s="123"/>
      <c r="BA55" s="123"/>
    </row>
    <row r="56" spans="45:53" ht="15">
      <c r="AS56" s="123"/>
      <c r="AT56" s="123"/>
      <c r="AU56" s="123"/>
      <c r="AV56" s="123"/>
      <c r="AW56" s="123"/>
      <c r="AX56" s="123"/>
      <c r="AY56" s="123"/>
      <c r="AZ56" s="123"/>
      <c r="BA56" s="123"/>
    </row>
    <row r="57" spans="45:53" ht="15">
      <c r="AS57" s="123"/>
      <c r="AT57" s="123"/>
      <c r="AU57" s="123"/>
      <c r="AV57" s="123"/>
      <c r="AW57" s="123"/>
      <c r="AX57" s="123"/>
      <c r="AY57" s="123"/>
      <c r="AZ57" s="123"/>
      <c r="BA57" s="123"/>
    </row>
    <row r="58" spans="45:53" ht="15.75" customHeight="1">
      <c r="AS58" s="123"/>
      <c r="AT58" s="123"/>
      <c r="AU58" s="123"/>
      <c r="AV58" s="123"/>
      <c r="AW58" s="123"/>
      <c r="AX58" s="123"/>
      <c r="AY58" s="123"/>
      <c r="AZ58" s="123"/>
      <c r="BA58" s="123"/>
    </row>
    <row r="59" spans="45:53" ht="15">
      <c r="AS59" s="123"/>
      <c r="AT59" s="123"/>
      <c r="AU59" s="123"/>
      <c r="AV59" s="123"/>
      <c r="AW59" s="123"/>
      <c r="AX59" s="123"/>
      <c r="AY59" s="123"/>
      <c r="AZ59" s="123"/>
      <c r="BA59" s="123"/>
    </row>
    <row r="60" spans="45:53" ht="15">
      <c r="AS60" s="123"/>
      <c r="AT60" s="123"/>
      <c r="AU60" s="123"/>
      <c r="AV60" s="123"/>
      <c r="AW60" s="123"/>
      <c r="AX60" s="123"/>
      <c r="AY60" s="123"/>
      <c r="AZ60" s="123"/>
      <c r="BA60" s="123"/>
    </row>
    <row r="61" spans="45:53" ht="15.75">
      <c r="AS61" s="123"/>
      <c r="AT61" s="123"/>
      <c r="AU61" s="123"/>
      <c r="AV61" s="123"/>
      <c r="AW61" s="123"/>
      <c r="AX61" s="126"/>
      <c r="AY61" s="126"/>
      <c r="AZ61" s="126"/>
      <c r="BA61" s="126"/>
    </row>
    <row r="62" spans="45:53" ht="15.75" customHeight="1">
      <c r="AS62" s="123"/>
      <c r="AT62" s="123"/>
      <c r="AU62" s="123"/>
      <c r="AV62" s="123"/>
      <c r="AW62" s="123"/>
      <c r="AX62" s="126"/>
      <c r="AY62" s="126"/>
      <c r="AZ62" s="126"/>
      <c r="BA62" s="126"/>
    </row>
    <row r="63" spans="45:53" ht="15">
      <c r="AS63" s="123"/>
      <c r="AT63" s="123"/>
      <c r="AU63" s="123"/>
      <c r="AV63" s="123"/>
      <c r="AW63" s="123"/>
      <c r="AX63" s="123"/>
      <c r="AY63" s="123"/>
      <c r="AZ63" s="123"/>
      <c r="BA63" s="123"/>
    </row>
    <row r="64" spans="45:53" ht="15">
      <c r="AS64" s="123"/>
      <c r="AT64" s="123"/>
      <c r="AU64" s="123"/>
      <c r="AV64" s="123"/>
      <c r="AW64" s="123"/>
      <c r="AX64" s="123"/>
      <c r="AY64" s="123"/>
      <c r="AZ64" s="123"/>
      <c r="BA64" s="123"/>
    </row>
    <row r="65" spans="45:53" ht="15">
      <c r="AS65" s="123"/>
      <c r="AT65" s="123"/>
      <c r="AU65" s="123"/>
      <c r="AV65" s="123"/>
      <c r="AW65" s="123"/>
      <c r="AX65" s="123"/>
      <c r="AY65" s="123"/>
      <c r="AZ65" s="123"/>
      <c r="BA65" s="123"/>
    </row>
    <row r="66" spans="45:53" ht="15">
      <c r="AS66" s="123"/>
      <c r="AT66" s="123"/>
      <c r="AU66" s="123"/>
      <c r="AV66" s="123"/>
      <c r="AW66" s="123"/>
      <c r="AX66" s="123"/>
      <c r="AY66" s="123"/>
      <c r="AZ66" s="123"/>
      <c r="BA66" s="123"/>
    </row>
    <row r="67" spans="45:53" ht="15">
      <c r="AS67" s="123"/>
      <c r="AT67" s="123"/>
      <c r="AU67" s="123"/>
      <c r="AV67" s="123"/>
      <c r="AW67" s="123"/>
      <c r="AX67" s="123"/>
      <c r="AY67" s="123"/>
      <c r="AZ67" s="123"/>
      <c r="BA67" s="123"/>
    </row>
    <row r="68" spans="45:53" ht="15">
      <c r="AS68" s="123"/>
      <c r="AT68" s="123"/>
      <c r="AU68" s="123"/>
      <c r="AV68" s="123"/>
      <c r="AW68" s="123"/>
      <c r="AX68" s="123"/>
      <c r="AY68" s="123"/>
      <c r="AZ68" s="123"/>
      <c r="BA68" s="123"/>
    </row>
    <row r="69" spans="45:53" ht="15">
      <c r="AS69" s="123"/>
      <c r="AT69" s="123"/>
      <c r="AU69" s="123"/>
      <c r="AV69" s="123"/>
      <c r="AW69" s="123"/>
      <c r="AX69" s="123"/>
      <c r="AY69" s="123"/>
      <c r="AZ69" s="123"/>
      <c r="BA69" s="123"/>
    </row>
    <row r="70" spans="45:53" ht="15">
      <c r="AS70" s="123"/>
      <c r="AT70" s="123"/>
      <c r="AU70" s="123"/>
      <c r="AV70" s="123"/>
      <c r="AW70" s="123"/>
      <c r="AX70" s="123"/>
      <c r="AY70" s="123"/>
      <c r="AZ70" s="123"/>
      <c r="BA70" s="123"/>
    </row>
    <row r="71" spans="45:53" ht="15">
      <c r="AS71" s="123"/>
      <c r="AT71" s="123"/>
      <c r="AU71" s="123"/>
      <c r="AV71" s="123"/>
      <c r="AW71" s="123"/>
      <c r="AX71" s="123"/>
      <c r="AY71" s="123"/>
      <c r="AZ71" s="123"/>
      <c r="BA71" s="123"/>
    </row>
    <row r="72" spans="45:53" ht="15">
      <c r="AS72" s="123"/>
      <c r="AT72" s="123"/>
      <c r="AU72" s="123"/>
      <c r="AV72" s="123"/>
      <c r="AW72" s="123"/>
      <c r="AX72" s="123"/>
      <c r="AY72" s="123"/>
      <c r="AZ72" s="123"/>
      <c r="BA72" s="123"/>
    </row>
    <row r="73" spans="45:53" ht="15.75">
      <c r="AS73" s="123"/>
      <c r="AT73" s="123"/>
      <c r="AU73" s="123"/>
      <c r="AV73" s="123"/>
      <c r="AW73" s="123"/>
      <c r="AX73" s="125"/>
      <c r="AY73" s="125"/>
      <c r="AZ73" s="125"/>
      <c r="BA73" s="123"/>
    </row>
    <row r="74" spans="45:53" ht="15.75">
      <c r="AS74" s="123"/>
      <c r="AT74" s="123"/>
      <c r="AU74" s="123"/>
      <c r="AV74" s="123"/>
      <c r="AW74" s="123"/>
      <c r="AX74" s="361"/>
      <c r="AY74" s="123"/>
      <c r="AZ74" s="123"/>
      <c r="BA74" s="123"/>
    </row>
    <row r="75" spans="45:53" ht="15.75">
      <c r="AS75" s="123"/>
      <c r="AT75" s="123"/>
      <c r="AU75" s="123"/>
      <c r="AV75" s="123"/>
      <c r="AW75" s="123"/>
      <c r="AX75" s="863"/>
      <c r="AY75" s="863"/>
      <c r="AZ75" s="123"/>
      <c r="BA75" s="123"/>
    </row>
    <row r="76" spans="45:53" ht="15">
      <c r="AS76" s="123"/>
      <c r="AT76" s="123"/>
      <c r="AU76" s="123"/>
      <c r="AV76" s="123"/>
      <c r="AW76" s="123"/>
      <c r="AX76" s="123"/>
      <c r="AY76" s="123"/>
      <c r="AZ76" s="123"/>
      <c r="BA76" s="123"/>
    </row>
    <row r="77" spans="45:53" ht="15">
      <c r="AS77" s="123"/>
      <c r="AT77" s="123"/>
      <c r="AU77" s="123"/>
      <c r="AV77" s="123"/>
      <c r="AW77" s="123"/>
      <c r="AX77" s="123"/>
      <c r="AY77" s="123"/>
      <c r="AZ77" s="123"/>
      <c r="BA77" s="123"/>
    </row>
    <row r="78" spans="45:53" ht="15">
      <c r="AS78" s="123"/>
      <c r="AT78" s="123"/>
      <c r="AU78" s="123"/>
      <c r="AV78" s="123"/>
      <c r="AW78" s="123"/>
      <c r="AX78" s="123"/>
      <c r="AY78" s="123"/>
      <c r="AZ78" s="123"/>
      <c r="BA78" s="123"/>
    </row>
    <row r="79" spans="45:53" ht="15">
      <c r="AS79" s="123"/>
      <c r="AT79" s="123"/>
      <c r="AU79" s="123"/>
      <c r="AV79" s="123"/>
      <c r="AW79" s="123"/>
      <c r="AX79" s="123"/>
      <c r="AY79" s="123"/>
      <c r="AZ79" s="123"/>
      <c r="BA79" s="123"/>
    </row>
    <row r="80" spans="45:53" ht="15">
      <c r="AS80" s="123"/>
      <c r="AT80" s="123"/>
      <c r="AU80" s="123"/>
      <c r="AV80" s="123"/>
      <c r="AW80" s="123"/>
      <c r="AX80" s="123"/>
      <c r="AY80" s="123"/>
      <c r="AZ80" s="123"/>
      <c r="BA80" s="123"/>
    </row>
    <row r="81" spans="45:53" ht="15">
      <c r="AS81" s="123"/>
      <c r="AT81" s="123"/>
      <c r="AU81" s="123"/>
      <c r="AV81" s="123"/>
      <c r="AW81" s="123"/>
      <c r="AX81" s="123"/>
      <c r="AY81" s="123"/>
      <c r="AZ81" s="123"/>
      <c r="BA81" s="123"/>
    </row>
    <row r="82" spans="45:53" ht="15">
      <c r="AS82" s="123"/>
      <c r="AT82" s="123"/>
      <c r="AU82" s="123"/>
      <c r="AV82" s="123"/>
      <c r="AW82" s="123"/>
      <c r="AX82" s="123"/>
      <c r="AY82" s="123"/>
      <c r="AZ82" s="123"/>
      <c r="BA82" s="123"/>
    </row>
    <row r="83" spans="45:53" ht="15">
      <c r="AS83" s="123"/>
      <c r="AT83" s="123"/>
      <c r="AU83" s="123"/>
      <c r="AV83" s="123"/>
      <c r="AW83" s="123"/>
      <c r="AX83" s="123"/>
      <c r="AY83" s="123"/>
      <c r="AZ83" s="123"/>
      <c r="BA83" s="123"/>
    </row>
    <row r="84" spans="45:53" ht="15">
      <c r="AS84" s="123"/>
      <c r="AT84" s="123"/>
      <c r="AU84" s="123"/>
      <c r="AV84" s="123"/>
      <c r="AW84" s="123"/>
      <c r="AX84" s="123"/>
      <c r="AY84" s="123"/>
      <c r="AZ84" s="123"/>
      <c r="BA84" s="123"/>
    </row>
    <row r="85" spans="45:53" ht="15">
      <c r="AS85" s="123"/>
      <c r="AT85" s="123"/>
      <c r="AU85" s="123"/>
      <c r="AV85" s="123"/>
      <c r="AW85" s="123"/>
      <c r="AX85" s="123"/>
      <c r="AY85" s="123"/>
      <c r="AZ85" s="123"/>
      <c r="BA85" s="123"/>
    </row>
    <row r="86" spans="45:53" ht="15">
      <c r="AS86" s="123"/>
      <c r="AT86" s="123"/>
      <c r="AU86" s="123"/>
      <c r="AV86" s="123"/>
      <c r="AW86" s="123"/>
      <c r="AX86" s="123"/>
      <c r="AY86" s="123"/>
      <c r="AZ86" s="123"/>
      <c r="BA86" s="123"/>
    </row>
    <row r="87" spans="45:53" ht="15">
      <c r="AS87" s="123"/>
      <c r="AT87" s="123"/>
      <c r="AU87" s="123"/>
      <c r="AV87" s="123"/>
      <c r="AW87" s="123"/>
      <c r="AX87" s="123"/>
      <c r="AY87" s="123"/>
      <c r="AZ87" s="123"/>
      <c r="BA87" s="123"/>
    </row>
    <row r="88" spans="45:53" ht="15">
      <c r="AS88" s="123"/>
      <c r="AT88" s="123"/>
      <c r="AU88" s="123"/>
      <c r="AV88" s="123"/>
      <c r="AW88" s="123"/>
      <c r="AX88" s="123"/>
      <c r="AY88" s="123"/>
      <c r="AZ88" s="123"/>
      <c r="BA88" s="123"/>
    </row>
    <row r="89" spans="45:53" ht="15">
      <c r="AS89" s="123"/>
      <c r="AT89" s="123"/>
      <c r="AU89" s="123"/>
      <c r="AV89" s="123"/>
      <c r="AW89" s="123"/>
      <c r="AX89" s="123"/>
      <c r="AY89" s="123"/>
      <c r="AZ89" s="123"/>
      <c r="BA89" s="123"/>
    </row>
    <row r="90" spans="45:53" ht="15">
      <c r="AS90" s="123"/>
      <c r="AT90" s="123"/>
      <c r="AU90" s="123"/>
      <c r="AV90" s="123"/>
      <c r="AW90" s="123"/>
      <c r="AX90" s="123"/>
      <c r="AY90" s="123"/>
      <c r="AZ90" s="123"/>
      <c r="BA90" s="123"/>
    </row>
  </sheetData>
  <mergeCells count="22">
    <mergeCell ref="J1:K1"/>
    <mergeCell ref="F1:I1"/>
    <mergeCell ref="U1:V1"/>
    <mergeCell ref="AR1:AR2"/>
    <mergeCell ref="W1:AA1"/>
    <mergeCell ref="AJ1:AN1"/>
    <mergeCell ref="A17:E17"/>
    <mergeCell ref="E1:E2"/>
    <mergeCell ref="C1:C2"/>
    <mergeCell ref="A1:A2"/>
    <mergeCell ref="B1:B2"/>
    <mergeCell ref="D1:D2"/>
    <mergeCell ref="AB1:AC1"/>
    <mergeCell ref="L1:R1"/>
    <mergeCell ref="AX75:AY75"/>
    <mergeCell ref="AS1:AW2"/>
    <mergeCell ref="S1:T1"/>
    <mergeCell ref="AD20:AI20"/>
    <mergeCell ref="AD1:AF1"/>
    <mergeCell ref="AG1:AI1"/>
    <mergeCell ref="AP1:AP2"/>
    <mergeCell ref="AQ1:AQ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A45"/>
  <sheetViews>
    <sheetView workbookViewId="0">
      <pane ySplit="1" topLeftCell="A2" activePane="bottomLeft" state="frozen"/>
      <selection pane="bottomLeft" activeCell="Q7" sqref="Q7:S15"/>
    </sheetView>
  </sheetViews>
  <sheetFormatPr defaultRowHeight="11.25"/>
  <cols>
    <col min="1" max="1" width="9.140625" style="3"/>
    <col min="2" max="2" width="42.28515625" style="3" bestFit="1" customWidth="1"/>
    <col min="3" max="3" width="15.28515625" style="8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22" width="9.140625" style="3"/>
    <col min="23" max="23" width="33.140625" style="3" bestFit="1" customWidth="1"/>
    <col min="24" max="16384" width="9.140625" style="3"/>
  </cols>
  <sheetData>
    <row r="1" spans="1:27">
      <c r="A1" s="193"/>
      <c r="B1" s="193"/>
      <c r="C1" s="376"/>
      <c r="D1" s="193" t="s">
        <v>320</v>
      </c>
      <c r="E1" s="193" t="s">
        <v>321</v>
      </c>
      <c r="F1" s="193" t="s">
        <v>322</v>
      </c>
      <c r="G1" s="193" t="s">
        <v>323</v>
      </c>
      <c r="H1" s="193" t="s">
        <v>324</v>
      </c>
      <c r="I1" s="193" t="s">
        <v>325</v>
      </c>
      <c r="J1" s="193" t="s">
        <v>326</v>
      </c>
      <c r="K1" s="194" t="s">
        <v>327</v>
      </c>
      <c r="L1" s="193" t="s">
        <v>328</v>
      </c>
      <c r="M1" s="193" t="s">
        <v>95</v>
      </c>
      <c r="N1" s="193" t="s">
        <v>329</v>
      </c>
      <c r="O1" s="193" t="s">
        <v>324</v>
      </c>
      <c r="P1" s="195" t="s">
        <v>29</v>
      </c>
      <c r="Q1" s="605" t="s">
        <v>330</v>
      </c>
      <c r="R1" s="606"/>
      <c r="S1" s="607"/>
      <c r="T1" s="613" t="s">
        <v>414</v>
      </c>
      <c r="U1" s="614"/>
      <c r="V1" s="614"/>
      <c r="W1" s="608" t="s">
        <v>331</v>
      </c>
      <c r="X1" s="608"/>
      <c r="Y1" s="608"/>
      <c r="Z1" s="608"/>
      <c r="AA1" s="609"/>
    </row>
    <row r="2" spans="1:27">
      <c r="A2" s="280" t="str">
        <f>'1-συμβολαια'!A3</f>
        <v>1ο</v>
      </c>
      <c r="B2" s="77" t="str">
        <f>'1-συμβολαια'!C3</f>
        <v>γονικής ΠΡΟΣΥΜΦΩΝΟ</v>
      </c>
      <c r="C2" s="196">
        <f>'1-συμβολαια'!D3</f>
        <v>0</v>
      </c>
      <c r="D2" s="74">
        <v>100</v>
      </c>
      <c r="E2" s="74">
        <v>96</v>
      </c>
      <c r="F2" s="74"/>
      <c r="G2" s="74">
        <v>60</v>
      </c>
      <c r="H2" s="74"/>
      <c r="I2" s="74"/>
      <c r="J2" s="74"/>
      <c r="K2" s="74">
        <f t="shared" ref="K2" si="0">SUM(D2:I2)</f>
        <v>256</v>
      </c>
      <c r="L2" s="77"/>
      <c r="M2" s="77"/>
      <c r="N2" s="77"/>
      <c r="O2" s="77"/>
      <c r="P2" s="77"/>
      <c r="Q2" s="327"/>
      <c r="R2" s="74"/>
      <c r="S2" s="280"/>
      <c r="T2" s="77"/>
      <c r="U2" s="77"/>
      <c r="V2" s="77"/>
      <c r="W2" s="77"/>
      <c r="X2" s="77"/>
      <c r="Y2" s="77"/>
      <c r="Z2" s="77"/>
      <c r="AA2" s="77"/>
    </row>
    <row r="3" spans="1:27">
      <c r="A3" s="280" t="str">
        <f>'1-συμβολαια'!A4</f>
        <v>2ο</v>
      </c>
      <c r="B3" s="77" t="str">
        <f>'1-συμβολαια'!C4</f>
        <v>δωρεάς ΠΡΟΣΥΜΦΩΝΟ</v>
      </c>
      <c r="C3" s="196">
        <f>'1-συμβολαια'!D4</f>
        <v>0</v>
      </c>
      <c r="D3" s="74">
        <v>100</v>
      </c>
      <c r="E3" s="74">
        <v>96</v>
      </c>
      <c r="F3" s="74"/>
      <c r="G3" s="74">
        <v>60</v>
      </c>
      <c r="H3" s="74"/>
      <c r="I3" s="74"/>
      <c r="J3" s="74"/>
      <c r="K3" s="74">
        <f t="shared" ref="K3" si="1">SUM(D3:I3)</f>
        <v>256</v>
      </c>
      <c r="L3" s="77"/>
      <c r="M3" s="77"/>
      <c r="N3" s="77"/>
      <c r="O3" s="77"/>
      <c r="P3" s="77"/>
      <c r="Q3" s="327"/>
      <c r="R3" s="74"/>
      <c r="S3" s="280"/>
      <c r="T3" s="77"/>
      <c r="U3" s="77"/>
      <c r="V3" s="77"/>
      <c r="W3" s="77"/>
      <c r="X3" s="77"/>
      <c r="Y3" s="77"/>
      <c r="Z3" s="77"/>
      <c r="AA3" s="77"/>
    </row>
    <row r="4" spans="1:27">
      <c r="A4" s="280" t="str">
        <f>'1-συμβολαια'!A5</f>
        <v>3ο</v>
      </c>
      <c r="B4" s="77" t="str">
        <f>'1-συμβολαια'!C5</f>
        <v>δωρεάς ΠΡΟΣΥΜΦΩΝΟ [1ο όροφο 55,63μ2</v>
      </c>
      <c r="C4" s="196">
        <f>'1-συμβολαια'!D5</f>
        <v>0</v>
      </c>
      <c r="D4" s="74">
        <v>100</v>
      </c>
      <c r="E4" s="74">
        <v>96</v>
      </c>
      <c r="F4" s="74"/>
      <c r="G4" s="74">
        <v>60</v>
      </c>
      <c r="H4" s="74"/>
      <c r="I4" s="74"/>
      <c r="J4" s="74"/>
      <c r="K4" s="74">
        <f t="shared" ref="K4" si="2">SUM(D4:I4)</f>
        <v>256</v>
      </c>
      <c r="L4" s="77"/>
      <c r="M4" s="77"/>
      <c r="N4" s="77"/>
      <c r="O4" s="77"/>
      <c r="P4" s="77"/>
      <c r="Q4" s="327"/>
      <c r="R4" s="74"/>
      <c r="S4" s="280"/>
      <c r="T4" s="77"/>
      <c r="U4" s="77"/>
      <c r="V4" s="77"/>
      <c r="W4" s="77"/>
      <c r="X4" s="77"/>
      <c r="Y4" s="77"/>
      <c r="Z4" s="77"/>
      <c r="AA4" s="77"/>
    </row>
    <row r="5" spans="1:27">
      <c r="A5" s="280" t="str">
        <f>'1-συμβολαια'!A6</f>
        <v>4ο</v>
      </c>
      <c r="B5" s="77" t="str">
        <f>'1-συμβολαια'!C6</f>
        <v>πληρεξούσιο</v>
      </c>
      <c r="C5" s="196">
        <f>'1-συμβολαια'!D6</f>
        <v>0</v>
      </c>
      <c r="D5" s="74">
        <v>100</v>
      </c>
      <c r="E5" s="74">
        <v>96</v>
      </c>
      <c r="F5" s="74"/>
      <c r="G5" s="74">
        <v>60</v>
      </c>
      <c r="H5" s="74"/>
      <c r="I5" s="74"/>
      <c r="J5" s="74"/>
      <c r="K5" s="74">
        <f t="shared" ref="K5" si="3">SUM(D5:I5)</f>
        <v>256</v>
      </c>
      <c r="L5" s="77"/>
      <c r="M5" s="77"/>
      <c r="N5" s="77"/>
      <c r="O5" s="77"/>
      <c r="P5" s="77"/>
      <c r="Q5" s="327"/>
      <c r="R5" s="74"/>
      <c r="S5" s="280"/>
      <c r="T5" s="77"/>
      <c r="U5" s="77"/>
      <c r="V5" s="77"/>
      <c r="W5" s="77"/>
      <c r="X5" s="77"/>
      <c r="Y5" s="77"/>
      <c r="Z5" s="77"/>
      <c r="AA5" s="77"/>
    </row>
    <row r="6" spans="1:27">
      <c r="A6" s="280" t="str">
        <f>'1-συμβολαια'!A7</f>
        <v>5ο</v>
      </c>
      <c r="B6" s="77" t="str">
        <f>'1-συμβολαια'!C7</f>
        <v>πληρεξούσιο</v>
      </c>
      <c r="C6" s="196">
        <f>'1-συμβολαια'!D7</f>
        <v>0</v>
      </c>
      <c r="D6" s="74">
        <v>120</v>
      </c>
      <c r="E6" s="74"/>
      <c r="F6" s="74"/>
      <c r="G6" s="74">
        <v>180</v>
      </c>
      <c r="H6" s="74"/>
      <c r="I6" s="74"/>
      <c r="J6" s="74"/>
      <c r="K6" s="74">
        <f t="shared" ref="K6" si="4">SUM(D6:I6)</f>
        <v>300</v>
      </c>
      <c r="L6" s="77"/>
      <c r="M6" s="77"/>
      <c r="N6" s="77"/>
      <c r="O6" s="77"/>
      <c r="P6" s="77"/>
      <c r="Q6" s="327"/>
      <c r="R6" s="74"/>
      <c r="S6" s="280"/>
      <c r="T6" s="77"/>
      <c r="U6" s="77"/>
      <c r="V6" s="77"/>
      <c r="W6" s="77"/>
      <c r="X6" s="77"/>
      <c r="Y6" s="77"/>
      <c r="Z6" s="77"/>
      <c r="AA6" s="77"/>
    </row>
    <row r="7" spans="1:27">
      <c r="A7" s="384" t="str">
        <f>'1-συμβολαια'!A8</f>
        <v>7ο</v>
      </c>
      <c r="B7" s="77" t="str">
        <f>'1-συμβολαια'!C8</f>
        <v>διανομή [34,60% {= 7.480.642δρχ}] &amp; {65,40% {= 14.139.710δρχ}]</v>
      </c>
      <c r="C7" s="196">
        <f>'1-συμβολαια'!D8</f>
        <v>21620352</v>
      </c>
      <c r="D7" s="379"/>
      <c r="E7" s="379"/>
      <c r="F7" s="379"/>
      <c r="G7" s="379"/>
      <c r="H7" s="379"/>
      <c r="I7" s="379"/>
      <c r="J7" s="379"/>
      <c r="K7" s="379">
        <f t="shared" ref="K7:K15" si="5">SUM(D7:I7)</f>
        <v>0</v>
      </c>
      <c r="L7" s="77"/>
      <c r="M7" s="77"/>
      <c r="N7" s="77"/>
      <c r="O7" s="77"/>
      <c r="P7" s="77"/>
      <c r="Q7" s="327">
        <v>43762</v>
      </c>
      <c r="R7" s="74">
        <v>614</v>
      </c>
      <c r="S7" s="280">
        <v>9</v>
      </c>
      <c r="T7" s="77"/>
      <c r="U7" s="77"/>
      <c r="V7" s="77"/>
      <c r="W7" s="77" t="s">
        <v>528</v>
      </c>
      <c r="X7" s="77"/>
      <c r="Y7" s="77"/>
      <c r="Z7" s="77"/>
      <c r="AA7" s="77"/>
    </row>
    <row r="8" spans="1:27">
      <c r="A8" s="384">
        <f>'1-συμβολαια'!A9</f>
        <v>0</v>
      </c>
      <c r="B8" s="77" t="str">
        <f>'1-συμβολαια'!C9</f>
        <v>εξισορόπηση διαφοράς διανεμομένων</v>
      </c>
      <c r="C8" s="196">
        <f>'1-συμβολαια'!D9</f>
        <v>3329534</v>
      </c>
      <c r="D8" s="379"/>
      <c r="E8" s="379"/>
      <c r="F8" s="379"/>
      <c r="G8" s="379"/>
      <c r="H8" s="379"/>
      <c r="I8" s="379"/>
      <c r="J8" s="379"/>
      <c r="K8" s="379">
        <f t="shared" si="5"/>
        <v>0</v>
      </c>
      <c r="L8" s="77"/>
      <c r="M8" s="77"/>
      <c r="N8" s="77"/>
      <c r="O8" s="77"/>
      <c r="P8" s="77"/>
      <c r="Q8" s="327"/>
      <c r="R8" s="74"/>
      <c r="S8" s="280"/>
      <c r="T8" s="77"/>
      <c r="U8" s="77"/>
      <c r="V8" s="77"/>
      <c r="W8" s="77"/>
      <c r="X8" s="77"/>
      <c r="Y8" s="77"/>
      <c r="Z8" s="77"/>
      <c r="AA8" s="77"/>
    </row>
    <row r="9" spans="1:27">
      <c r="A9" s="384">
        <f>'1-συμβολαια'!A10</f>
        <v>0</v>
      </c>
      <c r="B9" s="77" t="str">
        <f>'1-συμβολαια'!C10</f>
        <v>χρήσης ΚΑΝΟΝΙΣΝΟΣ</v>
      </c>
      <c r="C9" s="196">
        <f>'1-συμβολαια'!D10</f>
        <v>0</v>
      </c>
      <c r="D9" s="379"/>
      <c r="E9" s="379"/>
      <c r="F9" s="379"/>
      <c r="G9" s="379"/>
      <c r="H9" s="379"/>
      <c r="I9" s="379"/>
      <c r="J9" s="379"/>
      <c r="K9" s="379">
        <f t="shared" si="5"/>
        <v>0</v>
      </c>
      <c r="L9" s="77"/>
      <c r="M9" s="77"/>
      <c r="N9" s="77"/>
      <c r="O9" s="77"/>
      <c r="P9" s="77"/>
      <c r="Q9" s="327"/>
      <c r="R9" s="74"/>
      <c r="S9" s="280"/>
      <c r="T9" s="77"/>
      <c r="U9" s="77"/>
      <c r="V9" s="77"/>
      <c r="W9" s="77"/>
      <c r="X9" s="77"/>
      <c r="Y9" s="77"/>
      <c r="Z9" s="77"/>
      <c r="AA9" s="77"/>
    </row>
    <row r="10" spans="1:27" ht="12" thickBot="1">
      <c r="A10" s="468">
        <f>'1-συμβολαια'!A11</f>
        <v>0</v>
      </c>
      <c r="B10" s="265" t="str">
        <f>'1-συμβολαια'!C11</f>
        <v xml:space="preserve">κάθετος ΣΥΣΤΑΣΗ </v>
      </c>
      <c r="C10" s="464">
        <f>'1-συμβολαια'!D11</f>
        <v>0</v>
      </c>
      <c r="D10" s="465"/>
      <c r="E10" s="465"/>
      <c r="F10" s="465"/>
      <c r="G10" s="465"/>
      <c r="H10" s="465"/>
      <c r="I10" s="465"/>
      <c r="J10" s="465"/>
      <c r="K10" s="465">
        <f t="shared" si="5"/>
        <v>0</v>
      </c>
      <c r="L10" s="265"/>
      <c r="M10" s="265"/>
      <c r="N10" s="265"/>
      <c r="O10" s="265"/>
      <c r="P10" s="265"/>
      <c r="Q10" s="466">
        <v>43762</v>
      </c>
      <c r="R10" s="467">
        <v>614</v>
      </c>
      <c r="S10" s="457">
        <v>10</v>
      </c>
      <c r="T10" s="265"/>
      <c r="U10" s="265"/>
      <c r="V10" s="265"/>
      <c r="W10" s="265"/>
      <c r="X10" s="77"/>
      <c r="Y10" s="77"/>
      <c r="Z10" s="77"/>
      <c r="AA10" s="77"/>
    </row>
    <row r="11" spans="1:27">
      <c r="A11" s="276" t="str">
        <f>'1-συμβολαια'!A12</f>
        <v>6ο</v>
      </c>
      <c r="B11" s="461" t="str">
        <f>'1-συμβολαια'!C12</f>
        <v>πληρεξούσιο</v>
      </c>
      <c r="C11" s="462">
        <f>'1-συμβολαια'!D12</f>
        <v>0</v>
      </c>
      <c r="D11" s="74">
        <v>90</v>
      </c>
      <c r="E11" s="74"/>
      <c r="F11" s="74"/>
      <c r="G11" s="74"/>
      <c r="H11" s="74"/>
      <c r="I11" s="74"/>
      <c r="J11" s="74"/>
      <c r="K11" s="74">
        <f t="shared" si="5"/>
        <v>90</v>
      </c>
      <c r="L11" s="77"/>
      <c r="M11" s="77"/>
      <c r="N11" s="77"/>
      <c r="O11" s="77"/>
      <c r="P11" s="77"/>
      <c r="Q11" s="327"/>
      <c r="R11" s="74"/>
      <c r="S11" s="280"/>
      <c r="T11" s="77"/>
      <c r="U11" s="77"/>
      <c r="V11" s="77"/>
      <c r="W11" s="77"/>
      <c r="X11" s="77"/>
      <c r="Y11" s="77"/>
      <c r="Z11" s="77"/>
      <c r="AA11" s="77"/>
    </row>
    <row r="12" spans="1:27">
      <c r="A12" s="280" t="str">
        <f>'1-συμβολαια'!A13</f>
        <v>8ο</v>
      </c>
      <c r="B12" s="77" t="str">
        <f>'1-συμβολαια'!C13</f>
        <v>δωρεα [οικόπεδο42μ2</v>
      </c>
      <c r="C12" s="196">
        <f>'1-συμβολαια'!D13</f>
        <v>725760</v>
      </c>
      <c r="D12" s="379"/>
      <c r="E12" s="379"/>
      <c r="F12" s="379"/>
      <c r="G12" s="379"/>
      <c r="H12" s="379"/>
      <c r="I12" s="379"/>
      <c r="J12" s="379"/>
      <c r="K12" s="379">
        <f t="shared" si="5"/>
        <v>0</v>
      </c>
      <c r="L12" s="77"/>
      <c r="M12" s="77"/>
      <c r="N12" s="77"/>
      <c r="O12" s="77"/>
      <c r="P12" s="77"/>
      <c r="Q12" s="327">
        <v>43762</v>
      </c>
      <c r="R12" s="74">
        <v>614</v>
      </c>
      <c r="S12" s="280">
        <v>11</v>
      </c>
      <c r="T12" s="77"/>
      <c r="U12" s="77"/>
      <c r="V12" s="77"/>
      <c r="W12" s="77" t="s">
        <v>528</v>
      </c>
      <c r="X12" s="77"/>
      <c r="Y12" s="77"/>
      <c r="Z12" s="77"/>
      <c r="AA12" s="77"/>
    </row>
    <row r="13" spans="1:27">
      <c r="A13" s="280" t="str">
        <f>'1-συμβολαια'!A14</f>
        <v>9ο</v>
      </c>
      <c r="B13" s="77" t="str">
        <f>'1-συμβολαια'!C14</f>
        <v xml:space="preserve">γονική ΒΑΣΕΙ 1.113 προσυμφώνου </v>
      </c>
      <c r="C13" s="196">
        <f>'1-συμβολαια'!D14</f>
        <v>5112496</v>
      </c>
      <c r="D13" s="379"/>
      <c r="E13" s="379"/>
      <c r="F13" s="379"/>
      <c r="G13" s="379"/>
      <c r="H13" s="379"/>
      <c r="I13" s="379"/>
      <c r="J13" s="379"/>
      <c r="K13" s="379">
        <f t="shared" si="5"/>
        <v>0</v>
      </c>
      <c r="L13" s="77"/>
      <c r="M13" s="77"/>
      <c r="N13" s="77"/>
      <c r="O13" s="77"/>
      <c r="P13" s="77"/>
      <c r="Q13" s="555" t="s">
        <v>587</v>
      </c>
      <c r="R13" s="74"/>
      <c r="S13" s="280"/>
      <c r="T13" s="77"/>
      <c r="U13" s="77"/>
      <c r="V13" s="77"/>
      <c r="W13" s="77"/>
      <c r="X13" s="77"/>
      <c r="Y13" s="77"/>
      <c r="Z13" s="77"/>
      <c r="AA13" s="77"/>
    </row>
    <row r="14" spans="1:27">
      <c r="A14" s="384" t="str">
        <f>'1-συμβολαια'!A15</f>
        <v>10ο</v>
      </c>
      <c r="B14" s="77" t="str">
        <f>'1-συμβολαια'!C15</f>
        <v>δωρεά  ΒΑΣΕΙ 1.114 προσυμφώνου</v>
      </c>
      <c r="C14" s="196">
        <f>'1-συμβολαια'!D15</f>
        <v>6471276</v>
      </c>
      <c r="D14" s="379"/>
      <c r="E14" s="379"/>
      <c r="F14" s="379"/>
      <c r="G14" s="379"/>
      <c r="H14" s="379"/>
      <c r="I14" s="379"/>
      <c r="J14" s="379"/>
      <c r="K14" s="379">
        <f t="shared" si="5"/>
        <v>0</v>
      </c>
      <c r="L14" s="77"/>
      <c r="M14" s="77"/>
      <c r="N14" s="77"/>
      <c r="O14" s="77"/>
      <c r="P14" s="77"/>
      <c r="Q14" s="327">
        <v>43762</v>
      </c>
      <c r="R14" s="74">
        <v>614</v>
      </c>
      <c r="S14" s="280">
        <v>91</v>
      </c>
      <c r="T14" s="77"/>
      <c r="U14" s="77"/>
      <c r="V14" s="77"/>
      <c r="W14" s="77" t="s">
        <v>528</v>
      </c>
      <c r="X14" s="77"/>
      <c r="Y14" s="77"/>
      <c r="Z14" s="77"/>
      <c r="AA14" s="77"/>
    </row>
    <row r="15" spans="1:27">
      <c r="A15" s="384">
        <f>'1-συμβολαια'!A16</f>
        <v>0</v>
      </c>
      <c r="B15" s="77" t="str">
        <f>'1-συμβολαια'!C16</f>
        <v xml:space="preserve">κάθετος ΣΥΣΤΑΣΗ </v>
      </c>
      <c r="C15" s="196">
        <f>'1-συμβολαια'!D16</f>
        <v>0</v>
      </c>
      <c r="D15" s="379"/>
      <c r="E15" s="379"/>
      <c r="F15" s="379"/>
      <c r="G15" s="379"/>
      <c r="H15" s="379"/>
      <c r="I15" s="379"/>
      <c r="J15" s="379"/>
      <c r="K15" s="379">
        <f t="shared" si="5"/>
        <v>0</v>
      </c>
      <c r="L15" s="77"/>
      <c r="M15" s="77"/>
      <c r="N15" s="77"/>
      <c r="O15" s="77"/>
      <c r="P15" s="77"/>
      <c r="Q15" s="327">
        <v>43762</v>
      </c>
      <c r="R15" s="74">
        <v>614</v>
      </c>
      <c r="S15" s="280">
        <v>92</v>
      </c>
      <c r="T15" s="77"/>
      <c r="U15" s="77"/>
      <c r="V15" s="77"/>
      <c r="W15" s="77"/>
      <c r="X15" s="77"/>
      <c r="Y15" s="77"/>
      <c r="Z15" s="77"/>
      <c r="AA15" s="77"/>
    </row>
    <row r="16" spans="1:27">
      <c r="A16" s="610" t="str">
        <f>'1-συμβολαια'!A17</f>
        <v>σύνολο</v>
      </c>
      <c r="B16" s="611"/>
      <c r="C16" s="612"/>
      <c r="D16" s="77">
        <f t="shared" ref="D16:K16" si="6">SUM(D2:D12)</f>
        <v>610</v>
      </c>
      <c r="E16" s="77">
        <f t="shared" si="6"/>
        <v>384</v>
      </c>
      <c r="F16" s="77">
        <f t="shared" si="6"/>
        <v>0</v>
      </c>
      <c r="G16" s="77">
        <f t="shared" si="6"/>
        <v>420</v>
      </c>
      <c r="H16" s="77">
        <f t="shared" si="6"/>
        <v>0</v>
      </c>
      <c r="I16" s="77">
        <f t="shared" si="6"/>
        <v>0</v>
      </c>
      <c r="J16" s="77">
        <f t="shared" si="6"/>
        <v>0</v>
      </c>
      <c r="K16" s="77">
        <f t="shared" si="6"/>
        <v>1414</v>
      </c>
    </row>
    <row r="17" spans="3:16">
      <c r="J17" s="2"/>
    </row>
    <row r="18" spans="3:16">
      <c r="C18" s="8" t="s">
        <v>415</v>
      </c>
      <c r="D18" s="3">
        <v>60</v>
      </c>
      <c r="I18" s="5"/>
    </row>
    <row r="19" spans="3:16">
      <c r="J19" s="2"/>
    </row>
    <row r="20" spans="3:16">
      <c r="H20" s="157"/>
    </row>
    <row r="21" spans="3:16">
      <c r="J21" s="2"/>
    </row>
    <row r="22" spans="3:16">
      <c r="E22" s="115"/>
      <c r="J22" s="2"/>
    </row>
    <row r="23" spans="3:16">
      <c r="E23" s="6"/>
      <c r="J23" s="2"/>
    </row>
    <row r="26" spans="3:16">
      <c r="C26" s="58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</row>
    <row r="27" spans="3:16">
      <c r="C27" s="58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</row>
    <row r="28" spans="3:16">
      <c r="C28" s="58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</row>
    <row r="29" spans="3:16">
      <c r="C29" s="377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</row>
    <row r="30" spans="3:16">
      <c r="C30" s="378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</row>
    <row r="31" spans="3:16">
      <c r="C31" s="58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</row>
    <row r="32" spans="3:16">
      <c r="D32" s="5"/>
    </row>
    <row r="33" spans="2:5">
      <c r="D33" s="5"/>
    </row>
    <row r="34" spans="2:5">
      <c r="B34" s="303"/>
      <c r="D34" s="5"/>
      <c r="E34" s="8"/>
    </row>
    <row r="35" spans="2:5">
      <c r="D35" s="5"/>
      <c r="E35" s="8"/>
    </row>
    <row r="36" spans="2:5">
      <c r="D36" s="5"/>
      <c r="E36" s="8"/>
    </row>
    <row r="37" spans="2:5">
      <c r="D37" s="5"/>
      <c r="E37" s="8"/>
    </row>
    <row r="38" spans="2:5">
      <c r="D38" s="5"/>
      <c r="E38" s="8"/>
    </row>
    <row r="39" spans="2:5">
      <c r="D39" s="5"/>
      <c r="E39" s="8"/>
    </row>
    <row r="40" spans="2:5">
      <c r="B40" s="303"/>
      <c r="D40" s="5"/>
      <c r="E40" s="58"/>
    </row>
    <row r="41" spans="2:5">
      <c r="D41" s="5"/>
      <c r="E41" s="58"/>
    </row>
    <row r="42" spans="2:5">
      <c r="D42" s="5"/>
      <c r="E42" s="58"/>
    </row>
    <row r="43" spans="2:5">
      <c r="C43" s="58"/>
      <c r="D43" s="5"/>
      <c r="E43" s="58"/>
    </row>
    <row r="44" spans="2:5">
      <c r="D44" s="5"/>
      <c r="E44" s="8"/>
    </row>
    <row r="45" spans="2:5">
      <c r="D45" s="5"/>
      <c r="E45" s="2"/>
    </row>
  </sheetData>
  <mergeCells count="4">
    <mergeCell ref="Q1:S1"/>
    <mergeCell ref="W1:AA1"/>
    <mergeCell ref="A16:C16"/>
    <mergeCell ref="T1:V1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53"/>
  <sheetViews>
    <sheetView workbookViewId="0">
      <pane ySplit="2" topLeftCell="A3" activePane="bottomLeft" state="frozen"/>
      <selection pane="bottomLeft" activeCell="V37" sqref="V37"/>
    </sheetView>
  </sheetViews>
  <sheetFormatPr defaultRowHeight="11.25"/>
  <cols>
    <col min="1" max="1" width="7" style="8" customWidth="1"/>
    <col min="2" max="2" width="50.85546875" style="91" customWidth="1"/>
    <col min="3" max="3" width="12.42578125" style="2" customWidth="1"/>
    <col min="4" max="4" width="9" style="8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8" bestFit="1" customWidth="1"/>
    <col min="9" max="11" width="8.140625" style="8" bestFit="1" customWidth="1"/>
    <col min="12" max="12" width="8.140625" style="2" bestFit="1" customWidth="1"/>
    <col min="13" max="13" width="10" style="2" customWidth="1"/>
    <col min="14" max="15" width="8.140625" style="2" customWidth="1"/>
    <col min="16" max="16" width="7" style="82" customWidth="1"/>
    <col min="17" max="24" width="8" style="82" customWidth="1"/>
    <col min="25" max="25" width="18.7109375" style="82" customWidth="1"/>
    <col min="26" max="26" width="8" style="82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625" t="s">
        <v>1</v>
      </c>
      <c r="B1" s="627" t="s">
        <v>0</v>
      </c>
      <c r="C1" s="629" t="s">
        <v>7</v>
      </c>
      <c r="D1" s="623" t="s">
        <v>372</v>
      </c>
      <c r="E1" s="624"/>
      <c r="F1" s="624"/>
      <c r="G1" s="624"/>
      <c r="H1" s="624"/>
      <c r="I1" s="624"/>
      <c r="J1" s="624"/>
      <c r="K1" s="624"/>
      <c r="L1" s="624"/>
      <c r="M1" s="631" t="s">
        <v>93</v>
      </c>
      <c r="N1" s="632"/>
      <c r="O1" s="633" t="s">
        <v>257</v>
      </c>
      <c r="P1" s="615" t="s">
        <v>85</v>
      </c>
      <c r="Q1" s="616"/>
      <c r="R1" s="616"/>
      <c r="S1" s="616"/>
      <c r="T1" s="616"/>
      <c r="U1" s="616"/>
      <c r="V1" s="616"/>
      <c r="W1" s="616"/>
      <c r="X1" s="616"/>
      <c r="Y1" s="616"/>
      <c r="Z1" s="617"/>
    </row>
    <row r="2" spans="1:26" s="11" customFormat="1" ht="24" customHeight="1" thickBot="1">
      <c r="A2" s="626"/>
      <c r="B2" s="628"/>
      <c r="C2" s="630"/>
      <c r="D2" s="60" t="s">
        <v>79</v>
      </c>
      <c r="E2" s="60" t="s">
        <v>80</v>
      </c>
      <c r="F2" s="60" t="s">
        <v>373</v>
      </c>
      <c r="G2" s="60" t="s">
        <v>374</v>
      </c>
      <c r="H2" s="60" t="s">
        <v>23</v>
      </c>
      <c r="I2" s="215" t="s">
        <v>362</v>
      </c>
      <c r="J2" s="215" t="s">
        <v>363</v>
      </c>
      <c r="K2" s="215" t="s">
        <v>387</v>
      </c>
      <c r="L2" s="216" t="s">
        <v>365</v>
      </c>
      <c r="M2" s="220" t="s">
        <v>388</v>
      </c>
      <c r="N2" s="219" t="s">
        <v>389</v>
      </c>
      <c r="O2" s="634"/>
      <c r="P2" s="618"/>
      <c r="Q2" s="619"/>
      <c r="R2" s="619"/>
      <c r="S2" s="619"/>
      <c r="T2" s="619"/>
      <c r="U2" s="619"/>
      <c r="V2" s="619"/>
      <c r="W2" s="619"/>
      <c r="X2" s="619"/>
      <c r="Y2" s="619"/>
      <c r="Z2" s="620"/>
    </row>
    <row r="3" spans="1:26" s="5" customFormat="1">
      <c r="A3" s="351" t="str">
        <f>'1-συμβολαια'!A3</f>
        <v>1ο</v>
      </c>
      <c r="B3" s="304" t="str">
        <f>'1-συμβολαια'!C3</f>
        <v>γονικής ΠΡΟΣΥΜΦΩΝΟ</v>
      </c>
      <c r="C3" s="305">
        <f>'1-συμβολαια'!D3</f>
        <v>0</v>
      </c>
      <c r="D3" s="299">
        <v>3000</v>
      </c>
      <c r="E3" s="299"/>
      <c r="F3" s="299"/>
      <c r="G3" s="299"/>
      <c r="H3" s="299">
        <f t="shared" ref="H3" si="0">D3+E3+F3+G3</f>
        <v>3000</v>
      </c>
      <c r="I3" s="275">
        <f t="shared" ref="I3" si="1">(F3+G3)*9%</f>
        <v>0</v>
      </c>
      <c r="J3" s="275">
        <f t="shared" ref="J3" si="2">(D3+E3)*5%</f>
        <v>150</v>
      </c>
      <c r="K3" s="275">
        <f t="shared" ref="K3" si="3">H3*5%</f>
        <v>150</v>
      </c>
      <c r="L3" s="305">
        <f t="shared" ref="L3" si="4">H3*1%</f>
        <v>30</v>
      </c>
      <c r="M3" s="305">
        <f t="shared" ref="M3" si="5">H3-O3</f>
        <v>2670</v>
      </c>
      <c r="N3" s="305">
        <f t="shared" ref="N3" si="6">D3+E3</f>
        <v>3000</v>
      </c>
      <c r="O3" s="305">
        <f t="shared" ref="O3" si="7">I3+J3+K3+L3</f>
        <v>330</v>
      </c>
      <c r="P3" s="306" t="s">
        <v>572</v>
      </c>
      <c r="Q3" s="306"/>
      <c r="R3" s="306"/>
      <c r="S3" s="306"/>
      <c r="T3" s="306"/>
      <c r="U3" s="306"/>
      <c r="V3" s="306"/>
      <c r="W3" s="278"/>
      <c r="X3" s="278"/>
      <c r="Y3" s="278"/>
      <c r="Z3" s="278"/>
    </row>
    <row r="4" spans="1:26" s="5" customFormat="1">
      <c r="A4" s="351" t="str">
        <f>'1-συμβολαια'!A4</f>
        <v>2ο</v>
      </c>
      <c r="B4" s="304" t="str">
        <f>'1-συμβολαια'!C4</f>
        <v>δωρεάς ΠΡΟΣΥΜΦΩΝΟ</v>
      </c>
      <c r="C4" s="305">
        <f>'1-συμβολαια'!D4</f>
        <v>0</v>
      </c>
      <c r="D4" s="299">
        <v>3000</v>
      </c>
      <c r="E4" s="299"/>
      <c r="F4" s="299"/>
      <c r="G4" s="299"/>
      <c r="H4" s="299">
        <f t="shared" ref="H4:H6" si="8">D4+E4+F4+G4</f>
        <v>3000</v>
      </c>
      <c r="I4" s="275">
        <f t="shared" ref="I4:I6" si="9">(F4+G4)*9%</f>
        <v>0</v>
      </c>
      <c r="J4" s="275">
        <f t="shared" ref="J4:J6" si="10">(D4+E4)*5%</f>
        <v>150</v>
      </c>
      <c r="K4" s="275">
        <f t="shared" ref="K4:K6" si="11">H4*5%</f>
        <v>150</v>
      </c>
      <c r="L4" s="305">
        <f t="shared" ref="L4:L6" si="12">H4*1%</f>
        <v>30</v>
      </c>
      <c r="M4" s="305">
        <f t="shared" ref="M4:M6" si="13">H4-O4</f>
        <v>2670</v>
      </c>
      <c r="N4" s="305">
        <f t="shared" ref="N4:N6" si="14">D4+E4</f>
        <v>3000</v>
      </c>
      <c r="O4" s="305">
        <f t="shared" ref="O4:O6" si="15">I4+J4+K4+L4</f>
        <v>330</v>
      </c>
      <c r="P4" s="306" t="s">
        <v>572</v>
      </c>
      <c r="Q4" s="306"/>
      <c r="R4" s="306"/>
      <c r="S4" s="306"/>
      <c r="T4" s="306"/>
      <c r="U4" s="306"/>
      <c r="V4" s="306"/>
      <c r="W4" s="278"/>
      <c r="X4" s="278"/>
      <c r="Y4" s="278"/>
      <c r="Z4" s="278"/>
    </row>
    <row r="5" spans="1:26" s="5" customFormat="1">
      <c r="A5" s="351" t="str">
        <f>'1-συμβολαια'!A5</f>
        <v>3ο</v>
      </c>
      <c r="B5" s="304" t="str">
        <f>'1-συμβολαια'!C5</f>
        <v>δωρεάς ΠΡΟΣΥΜΦΩΝΟ [1ο όροφο 55,63μ2</v>
      </c>
      <c r="C5" s="305">
        <f>'1-συμβολαια'!D5</f>
        <v>0</v>
      </c>
      <c r="D5" s="299">
        <v>3000</v>
      </c>
      <c r="E5" s="299"/>
      <c r="F5" s="299"/>
      <c r="G5" s="299"/>
      <c r="H5" s="299">
        <f t="shared" si="8"/>
        <v>3000</v>
      </c>
      <c r="I5" s="275">
        <f t="shared" si="9"/>
        <v>0</v>
      </c>
      <c r="J5" s="275">
        <f t="shared" si="10"/>
        <v>150</v>
      </c>
      <c r="K5" s="275">
        <f t="shared" si="11"/>
        <v>150</v>
      </c>
      <c r="L5" s="305">
        <f t="shared" si="12"/>
        <v>30</v>
      </c>
      <c r="M5" s="305">
        <f t="shared" si="13"/>
        <v>2670</v>
      </c>
      <c r="N5" s="305">
        <f t="shared" si="14"/>
        <v>3000</v>
      </c>
      <c r="O5" s="305">
        <f t="shared" si="15"/>
        <v>330</v>
      </c>
      <c r="P5" s="306" t="s">
        <v>572</v>
      </c>
      <c r="Q5" s="306"/>
      <c r="R5" s="306"/>
      <c r="S5" s="306"/>
      <c r="T5" s="306"/>
      <c r="U5" s="306"/>
      <c r="V5" s="306"/>
      <c r="W5" s="278"/>
      <c r="X5" s="278"/>
      <c r="Y5" s="278"/>
      <c r="Z5" s="278"/>
    </row>
    <row r="6" spans="1:26" s="5" customFormat="1">
      <c r="A6" s="351" t="str">
        <f>'1-συμβολαια'!A6</f>
        <v>4ο</v>
      </c>
      <c r="B6" s="304" t="str">
        <f>'1-συμβολαια'!C6</f>
        <v>πληρεξούσιο</v>
      </c>
      <c r="C6" s="305">
        <f>'1-συμβολαια'!D6</f>
        <v>0</v>
      </c>
      <c r="D6" s="299">
        <v>3000</v>
      </c>
      <c r="E6" s="299"/>
      <c r="F6" s="299"/>
      <c r="G6" s="299"/>
      <c r="H6" s="299">
        <f t="shared" si="8"/>
        <v>3000</v>
      </c>
      <c r="I6" s="275">
        <f t="shared" si="9"/>
        <v>0</v>
      </c>
      <c r="J6" s="275">
        <f t="shared" si="10"/>
        <v>150</v>
      </c>
      <c r="K6" s="275">
        <f t="shared" si="11"/>
        <v>150</v>
      </c>
      <c r="L6" s="305">
        <f t="shared" si="12"/>
        <v>30</v>
      </c>
      <c r="M6" s="305">
        <f t="shared" si="13"/>
        <v>2670</v>
      </c>
      <c r="N6" s="305">
        <f t="shared" si="14"/>
        <v>3000</v>
      </c>
      <c r="O6" s="305">
        <f t="shared" si="15"/>
        <v>330</v>
      </c>
      <c r="P6" s="306" t="s">
        <v>572</v>
      </c>
      <c r="Q6" s="306"/>
      <c r="R6" s="306"/>
      <c r="S6" s="306"/>
      <c r="T6" s="306"/>
      <c r="U6" s="306"/>
      <c r="V6" s="306"/>
      <c r="W6" s="278"/>
      <c r="X6" s="278"/>
      <c r="Y6" s="278"/>
      <c r="Z6" s="278"/>
    </row>
    <row r="7" spans="1:26" s="5" customFormat="1">
      <c r="A7" s="351" t="str">
        <f>'1-συμβολαια'!A7</f>
        <v>5ο</v>
      </c>
      <c r="B7" s="304" t="str">
        <f>'1-συμβολαια'!C7</f>
        <v>πληρεξούσιο</v>
      </c>
      <c r="C7" s="305">
        <f>'1-συμβολαια'!D7</f>
        <v>0</v>
      </c>
      <c r="D7" s="299">
        <v>3000</v>
      </c>
      <c r="E7" s="299"/>
      <c r="F7" s="299"/>
      <c r="G7" s="299"/>
      <c r="H7" s="299">
        <f t="shared" ref="H7:H16" si="16">D7+E7+F7+G7</f>
        <v>3000</v>
      </c>
      <c r="I7" s="275">
        <f t="shared" ref="I7:I16" si="17">(F7+G7)*9%</f>
        <v>0</v>
      </c>
      <c r="J7" s="275">
        <f t="shared" ref="J7:J16" si="18">(D7+E7)*5%</f>
        <v>150</v>
      </c>
      <c r="K7" s="275">
        <f t="shared" ref="K7:K16" si="19">H7*5%</f>
        <v>150</v>
      </c>
      <c r="L7" s="305">
        <f t="shared" ref="L7:L16" si="20">H7*1%</f>
        <v>30</v>
      </c>
      <c r="M7" s="305">
        <f t="shared" ref="M7:M16" si="21">H7-O7</f>
        <v>2670</v>
      </c>
      <c r="N7" s="305">
        <f t="shared" ref="N7:N16" si="22">D7+E7</f>
        <v>3000</v>
      </c>
      <c r="O7" s="305">
        <f t="shared" ref="O7:O16" si="23">I7+J7+K7+L7</f>
        <v>330</v>
      </c>
      <c r="P7" s="306" t="s">
        <v>572</v>
      </c>
      <c r="Q7" s="306"/>
      <c r="R7" s="306"/>
      <c r="S7" s="306"/>
      <c r="T7" s="306"/>
      <c r="U7" s="306"/>
      <c r="V7" s="306"/>
      <c r="W7" s="278"/>
      <c r="X7" s="278"/>
      <c r="Y7" s="278"/>
      <c r="Z7" s="278"/>
    </row>
    <row r="8" spans="1:26" s="5" customFormat="1">
      <c r="A8" s="374" t="str">
        <f>'1-συμβολαια'!A8</f>
        <v>7ο</v>
      </c>
      <c r="B8" s="304" t="str">
        <f>'1-συμβολαια'!C8</f>
        <v>διανομή [34,60% {= 7.480.642δρχ}] &amp; {65,40% {= 14.139.710δρχ}]</v>
      </c>
      <c r="C8" s="305">
        <f>'1-συμβολαια'!D8</f>
        <v>21620352</v>
      </c>
      <c r="D8" s="299"/>
      <c r="E8" s="299">
        <v>1000</v>
      </c>
      <c r="F8" s="299">
        <v>3600</v>
      </c>
      <c r="G8" s="299">
        <f t="shared" ref="G8:G15" si="24">(C8-120000)*1.2%</f>
        <v>258004.22400000002</v>
      </c>
      <c r="H8" s="299">
        <f t="shared" si="16"/>
        <v>262604.22400000005</v>
      </c>
      <c r="I8" s="275">
        <f t="shared" si="17"/>
        <v>23544.380160000001</v>
      </c>
      <c r="J8" s="275">
        <f t="shared" si="18"/>
        <v>50</v>
      </c>
      <c r="K8" s="275">
        <f t="shared" si="19"/>
        <v>13130.211200000003</v>
      </c>
      <c r="L8" s="305">
        <f t="shared" si="20"/>
        <v>2626.0422400000007</v>
      </c>
      <c r="M8" s="305">
        <f t="shared" si="21"/>
        <v>223253.59040000004</v>
      </c>
      <c r="N8" s="305">
        <f t="shared" si="22"/>
        <v>1000</v>
      </c>
      <c r="O8" s="305">
        <f t="shared" si="23"/>
        <v>39350.633600000008</v>
      </c>
      <c r="P8" s="306"/>
      <c r="Q8" s="306" t="s">
        <v>413</v>
      </c>
      <c r="R8" s="306"/>
      <c r="S8" s="306"/>
      <c r="T8" s="306"/>
      <c r="U8" s="306"/>
      <c r="V8" s="306"/>
      <c r="W8" s="278"/>
      <c r="X8" s="278"/>
      <c r="Y8" s="278"/>
      <c r="Z8" s="278"/>
    </row>
    <row r="9" spans="1:26" s="5" customFormat="1">
      <c r="A9" s="374">
        <f>'1-συμβολαια'!A9</f>
        <v>0</v>
      </c>
      <c r="B9" s="304" t="str">
        <f>'1-συμβολαια'!C9</f>
        <v>εξισορόπηση διαφοράς διανεμομένων</v>
      </c>
      <c r="C9" s="305">
        <f>'1-συμβολαια'!D9</f>
        <v>3329534</v>
      </c>
      <c r="D9" s="299"/>
      <c r="E9" s="299">
        <v>1000</v>
      </c>
      <c r="F9" s="299">
        <v>3600</v>
      </c>
      <c r="G9" s="299">
        <f t="shared" si="24"/>
        <v>38514.408000000003</v>
      </c>
      <c r="H9" s="299">
        <f t="shared" si="16"/>
        <v>43114.408000000003</v>
      </c>
      <c r="I9" s="275">
        <f t="shared" si="17"/>
        <v>3790.2967200000003</v>
      </c>
      <c r="J9" s="275">
        <f t="shared" si="18"/>
        <v>50</v>
      </c>
      <c r="K9" s="275">
        <f t="shared" si="19"/>
        <v>2155.7204000000002</v>
      </c>
      <c r="L9" s="305">
        <f t="shared" si="20"/>
        <v>431.14408000000003</v>
      </c>
      <c r="M9" s="305">
        <f t="shared" si="21"/>
        <v>36687.246800000001</v>
      </c>
      <c r="N9" s="305">
        <f t="shared" si="22"/>
        <v>1000</v>
      </c>
      <c r="O9" s="305">
        <f t="shared" si="23"/>
        <v>6427.1612000000005</v>
      </c>
      <c r="P9" s="306"/>
      <c r="Q9" s="306" t="s">
        <v>413</v>
      </c>
      <c r="R9" s="306" t="s">
        <v>585</v>
      </c>
      <c r="S9" s="306" t="s">
        <v>586</v>
      </c>
      <c r="T9" s="306"/>
      <c r="U9" s="306"/>
      <c r="V9" s="306"/>
      <c r="W9" s="278"/>
      <c r="X9" s="278"/>
      <c r="Y9" s="278"/>
      <c r="Z9" s="278"/>
    </row>
    <row r="10" spans="1:26" s="5" customFormat="1">
      <c r="A10" s="374">
        <f>'1-συμβολαια'!A10</f>
        <v>0</v>
      </c>
      <c r="B10" s="304" t="str">
        <f>'1-συμβολαια'!C10</f>
        <v>χρήσης ΚΑΝΟΝΙΣΝΟΣ</v>
      </c>
      <c r="C10" s="305">
        <f>'1-συμβολαια'!D10</f>
        <v>0</v>
      </c>
      <c r="D10" s="299">
        <v>3000</v>
      </c>
      <c r="E10" s="299"/>
      <c r="F10" s="299"/>
      <c r="G10" s="299"/>
      <c r="H10" s="299">
        <f t="shared" si="16"/>
        <v>3000</v>
      </c>
      <c r="I10" s="275">
        <f t="shared" si="17"/>
        <v>0</v>
      </c>
      <c r="J10" s="275">
        <f t="shared" si="18"/>
        <v>150</v>
      </c>
      <c r="K10" s="275">
        <f t="shared" si="19"/>
        <v>150</v>
      </c>
      <c r="L10" s="305">
        <f t="shared" si="20"/>
        <v>30</v>
      </c>
      <c r="M10" s="305">
        <f t="shared" si="21"/>
        <v>2670</v>
      </c>
      <c r="N10" s="305">
        <f t="shared" si="22"/>
        <v>3000</v>
      </c>
      <c r="O10" s="305">
        <f t="shared" si="23"/>
        <v>330</v>
      </c>
      <c r="P10" s="306"/>
      <c r="Q10" s="306"/>
      <c r="R10" s="306"/>
      <c r="S10" s="306"/>
      <c r="T10" s="306"/>
      <c r="U10" s="306"/>
      <c r="V10" s="306"/>
      <c r="W10" s="278"/>
      <c r="X10" s="278"/>
      <c r="Y10" s="278"/>
      <c r="Z10" s="278"/>
    </row>
    <row r="11" spans="1:26" s="5" customFormat="1" ht="12" thickBot="1">
      <c r="A11" s="460">
        <f>'1-συμβολαια'!A11</f>
        <v>0</v>
      </c>
      <c r="B11" s="471" t="str">
        <f>'1-συμβολαια'!C11</f>
        <v xml:space="preserve">κάθετος ΣΥΣΤΑΣΗ </v>
      </c>
      <c r="C11" s="455">
        <f>'1-συμβολαια'!D11</f>
        <v>0</v>
      </c>
      <c r="D11" s="456">
        <v>20000</v>
      </c>
      <c r="E11" s="456"/>
      <c r="F11" s="456"/>
      <c r="G11" s="456"/>
      <c r="H11" s="456">
        <f t="shared" si="16"/>
        <v>20000</v>
      </c>
      <c r="I11" s="456">
        <f t="shared" si="17"/>
        <v>0</v>
      </c>
      <c r="J11" s="456">
        <f t="shared" si="18"/>
        <v>1000</v>
      </c>
      <c r="K11" s="456">
        <f t="shared" si="19"/>
        <v>1000</v>
      </c>
      <c r="L11" s="455">
        <f t="shared" si="20"/>
        <v>200</v>
      </c>
      <c r="M11" s="455">
        <f t="shared" si="21"/>
        <v>17800</v>
      </c>
      <c r="N11" s="455">
        <f t="shared" si="22"/>
        <v>20000</v>
      </c>
      <c r="O11" s="455">
        <f t="shared" si="23"/>
        <v>2200</v>
      </c>
      <c r="P11" s="472"/>
      <c r="Q11" s="472"/>
      <c r="R11" s="472"/>
      <c r="S11" s="472"/>
      <c r="T11" s="472"/>
      <c r="U11" s="472"/>
      <c r="V11" s="472"/>
      <c r="W11" s="473"/>
      <c r="X11" s="278"/>
      <c r="Y11" s="278"/>
      <c r="Z11" s="278"/>
    </row>
    <row r="12" spans="1:26" s="5" customFormat="1">
      <c r="A12" s="371" t="str">
        <f>'1-συμβολαια'!A12</f>
        <v>6ο</v>
      </c>
      <c r="B12" s="342" t="str">
        <f>'1-συμβολαια'!C12</f>
        <v>πληρεξούσιο</v>
      </c>
      <c r="C12" s="305">
        <f>'1-συμβολαια'!D12</f>
        <v>0</v>
      </c>
      <c r="D12" s="275">
        <v>3000</v>
      </c>
      <c r="E12" s="275"/>
      <c r="F12" s="275"/>
      <c r="G12" s="275"/>
      <c r="H12" s="275">
        <f t="shared" si="16"/>
        <v>3000</v>
      </c>
      <c r="I12" s="275">
        <f t="shared" si="17"/>
        <v>0</v>
      </c>
      <c r="J12" s="275">
        <f t="shared" si="18"/>
        <v>150</v>
      </c>
      <c r="K12" s="275">
        <f t="shared" si="19"/>
        <v>150</v>
      </c>
      <c r="L12" s="305">
        <f t="shared" si="20"/>
        <v>30</v>
      </c>
      <c r="M12" s="305">
        <f t="shared" si="21"/>
        <v>2670</v>
      </c>
      <c r="N12" s="305">
        <f t="shared" si="22"/>
        <v>3000</v>
      </c>
      <c r="O12" s="305">
        <f t="shared" si="23"/>
        <v>330</v>
      </c>
      <c r="P12" s="306" t="s">
        <v>572</v>
      </c>
      <c r="Q12" s="469"/>
      <c r="R12" s="469"/>
      <c r="S12" s="469"/>
      <c r="T12" s="469"/>
      <c r="U12" s="469"/>
      <c r="V12" s="469"/>
      <c r="W12" s="470"/>
      <c r="X12" s="278"/>
      <c r="Y12" s="278"/>
      <c r="Z12" s="278"/>
    </row>
    <row r="13" spans="1:26" s="5" customFormat="1">
      <c r="A13" s="351" t="str">
        <f>'1-συμβολαια'!A13</f>
        <v>8ο</v>
      </c>
      <c r="B13" s="304" t="str">
        <f>'1-συμβολαια'!C13</f>
        <v>δωρεα [οικόπεδο42μ2</v>
      </c>
      <c r="C13" s="305">
        <f>'1-συμβολαια'!D13</f>
        <v>725760</v>
      </c>
      <c r="D13" s="299"/>
      <c r="E13" s="299">
        <v>1000</v>
      </c>
      <c r="F13" s="299">
        <v>3600</v>
      </c>
      <c r="G13" s="299">
        <f t="shared" si="24"/>
        <v>7269.12</v>
      </c>
      <c r="H13" s="299">
        <f t="shared" si="16"/>
        <v>11869.119999999999</v>
      </c>
      <c r="I13" s="275">
        <f t="shared" si="17"/>
        <v>978.22079999999983</v>
      </c>
      <c r="J13" s="275">
        <f t="shared" si="18"/>
        <v>50</v>
      </c>
      <c r="K13" s="275">
        <f t="shared" si="19"/>
        <v>593.45600000000002</v>
      </c>
      <c r="L13" s="305">
        <f t="shared" si="20"/>
        <v>118.69119999999999</v>
      </c>
      <c r="M13" s="305">
        <f t="shared" si="21"/>
        <v>10128.751999999999</v>
      </c>
      <c r="N13" s="305">
        <f t="shared" si="22"/>
        <v>1000</v>
      </c>
      <c r="O13" s="305">
        <f t="shared" si="23"/>
        <v>1740.3679999999997</v>
      </c>
      <c r="P13" s="306"/>
      <c r="Q13" s="306" t="s">
        <v>413</v>
      </c>
      <c r="R13" s="306" t="s">
        <v>585</v>
      </c>
      <c r="S13" s="306" t="s">
        <v>586</v>
      </c>
      <c r="T13" s="306"/>
      <c r="U13" s="306"/>
      <c r="V13" s="306"/>
      <c r="W13" s="278"/>
      <c r="X13" s="278"/>
      <c r="Y13" s="278"/>
      <c r="Z13" s="278"/>
    </row>
    <row r="14" spans="1:26" s="5" customFormat="1">
      <c r="A14" s="351" t="str">
        <f>'1-συμβολαια'!A14</f>
        <v>9ο</v>
      </c>
      <c r="B14" s="304" t="str">
        <f>'1-συμβολαια'!C14</f>
        <v xml:space="preserve">γονική ΒΑΣΕΙ 1.113 προσυμφώνου </v>
      </c>
      <c r="C14" s="305">
        <f>'1-συμβολαια'!D14</f>
        <v>5112496</v>
      </c>
      <c r="D14" s="299"/>
      <c r="E14" s="299">
        <v>1000</v>
      </c>
      <c r="F14" s="299">
        <v>3600</v>
      </c>
      <c r="G14" s="299">
        <f t="shared" si="24"/>
        <v>59909.952000000005</v>
      </c>
      <c r="H14" s="299">
        <f t="shared" si="16"/>
        <v>64509.952000000005</v>
      </c>
      <c r="I14" s="275">
        <f t="shared" si="17"/>
        <v>5715.8956800000005</v>
      </c>
      <c r="J14" s="275">
        <f t="shared" si="18"/>
        <v>50</v>
      </c>
      <c r="K14" s="275">
        <f t="shared" si="19"/>
        <v>3225.4976000000006</v>
      </c>
      <c r="L14" s="305">
        <f t="shared" si="20"/>
        <v>645.0995200000001</v>
      </c>
      <c r="M14" s="305">
        <f t="shared" si="21"/>
        <v>54873.459200000005</v>
      </c>
      <c r="N14" s="305">
        <f t="shared" si="22"/>
        <v>1000</v>
      </c>
      <c r="O14" s="305">
        <f t="shared" si="23"/>
        <v>9636.4928</v>
      </c>
      <c r="P14" s="306"/>
      <c r="Q14" s="306" t="s">
        <v>413</v>
      </c>
      <c r="R14" s="306"/>
      <c r="S14" s="306"/>
      <c r="T14" s="306"/>
      <c r="U14" s="306"/>
      <c r="V14" s="306"/>
      <c r="W14" s="278"/>
      <c r="X14" s="278"/>
      <c r="Y14" s="278"/>
      <c r="Z14" s="278"/>
    </row>
    <row r="15" spans="1:26" s="5" customFormat="1">
      <c r="A15" s="374" t="str">
        <f>'1-συμβολαια'!A15</f>
        <v>10ο</v>
      </c>
      <c r="B15" s="304" t="str">
        <f>'1-συμβολαια'!C15</f>
        <v>δωρεά  ΒΑΣΕΙ 1.114 προσυμφώνου</v>
      </c>
      <c r="C15" s="305">
        <f>'1-συμβολαια'!D15</f>
        <v>6471276</v>
      </c>
      <c r="D15" s="299"/>
      <c r="E15" s="299">
        <v>1000</v>
      </c>
      <c r="F15" s="299">
        <v>3600</v>
      </c>
      <c r="G15" s="299">
        <f t="shared" si="24"/>
        <v>76215.312000000005</v>
      </c>
      <c r="H15" s="299">
        <f t="shared" si="16"/>
        <v>80815.312000000005</v>
      </c>
      <c r="I15" s="275">
        <f t="shared" si="17"/>
        <v>7183.3780800000004</v>
      </c>
      <c r="J15" s="275">
        <f t="shared" si="18"/>
        <v>50</v>
      </c>
      <c r="K15" s="275">
        <f t="shared" si="19"/>
        <v>4040.7656000000006</v>
      </c>
      <c r="L15" s="305">
        <f t="shared" si="20"/>
        <v>808.15312000000006</v>
      </c>
      <c r="M15" s="305">
        <f t="shared" si="21"/>
        <v>68733.015200000009</v>
      </c>
      <c r="N15" s="305">
        <f t="shared" si="22"/>
        <v>1000</v>
      </c>
      <c r="O15" s="305">
        <f t="shared" si="23"/>
        <v>12082.296800000002</v>
      </c>
      <c r="P15" s="306"/>
      <c r="Q15" s="306" t="s">
        <v>413</v>
      </c>
      <c r="R15" s="306"/>
      <c r="S15" s="306"/>
      <c r="T15" s="306"/>
      <c r="U15" s="306"/>
      <c r="V15" s="306"/>
      <c r="W15" s="278"/>
      <c r="X15" s="278"/>
      <c r="Y15" s="278"/>
      <c r="Z15" s="278"/>
    </row>
    <row r="16" spans="1:26" s="5" customFormat="1">
      <c r="A16" s="374">
        <f>'1-συμβολαια'!A16</f>
        <v>0</v>
      </c>
      <c r="B16" s="304" t="str">
        <f>'1-συμβολαια'!C16</f>
        <v xml:space="preserve">κάθετος ΣΥΣΤΑΣΗ </v>
      </c>
      <c r="C16" s="305">
        <f>'1-συμβολαια'!D16</f>
        <v>0</v>
      </c>
      <c r="D16" s="299">
        <v>20000</v>
      </c>
      <c r="E16" s="299"/>
      <c r="F16" s="299"/>
      <c r="G16" s="299"/>
      <c r="H16" s="299">
        <f t="shared" si="16"/>
        <v>20000</v>
      </c>
      <c r="I16" s="275">
        <f t="shared" si="17"/>
        <v>0</v>
      </c>
      <c r="J16" s="275">
        <f t="shared" si="18"/>
        <v>1000</v>
      </c>
      <c r="K16" s="275">
        <f t="shared" si="19"/>
        <v>1000</v>
      </c>
      <c r="L16" s="305">
        <f t="shared" si="20"/>
        <v>200</v>
      </c>
      <c r="M16" s="305">
        <f t="shared" si="21"/>
        <v>17800</v>
      </c>
      <c r="N16" s="305">
        <f t="shared" si="22"/>
        <v>20000</v>
      </c>
      <c r="O16" s="305">
        <f t="shared" si="23"/>
        <v>2200</v>
      </c>
      <c r="P16" s="306"/>
      <c r="Q16" s="306"/>
      <c r="R16" s="306"/>
      <c r="S16" s="306"/>
      <c r="T16" s="306"/>
      <c r="U16" s="306"/>
      <c r="V16" s="306"/>
      <c r="W16" s="278"/>
      <c r="X16" s="278"/>
      <c r="Y16" s="278"/>
      <c r="Z16" s="278"/>
    </row>
    <row r="17" spans="1:26">
      <c r="A17" s="595" t="s">
        <v>56</v>
      </c>
      <c r="B17" s="596"/>
      <c r="C17" s="596"/>
      <c r="D17" s="150">
        <f t="shared" ref="D17:O17" si="25">SUM(D3:D13)</f>
        <v>41000</v>
      </c>
      <c r="E17" s="150">
        <f t="shared" si="25"/>
        <v>3000</v>
      </c>
      <c r="F17" s="150">
        <f t="shared" si="25"/>
        <v>10800</v>
      </c>
      <c r="G17" s="150">
        <f t="shared" si="25"/>
        <v>303787.75200000004</v>
      </c>
      <c r="H17" s="150">
        <f t="shared" si="25"/>
        <v>358587.75200000004</v>
      </c>
      <c r="I17" s="150">
        <f t="shared" si="25"/>
        <v>28312.897679999998</v>
      </c>
      <c r="J17" s="150">
        <f t="shared" si="25"/>
        <v>2200</v>
      </c>
      <c r="K17" s="150">
        <f t="shared" si="25"/>
        <v>17929.387600000002</v>
      </c>
      <c r="L17" s="150">
        <f t="shared" si="25"/>
        <v>3585.8775200000009</v>
      </c>
      <c r="M17" s="150">
        <f t="shared" si="25"/>
        <v>306559.58920000005</v>
      </c>
      <c r="N17" s="150">
        <f t="shared" si="25"/>
        <v>44000</v>
      </c>
      <c r="O17" s="150">
        <f t="shared" si="25"/>
        <v>52028.162800000013</v>
      </c>
    </row>
    <row r="18" spans="1:26">
      <c r="J18" s="225"/>
      <c r="K18" s="225">
        <v>10</v>
      </c>
      <c r="L18" s="8" t="s">
        <v>79</v>
      </c>
      <c r="P18" s="155" t="s">
        <v>390</v>
      </c>
      <c r="Q18" s="127"/>
      <c r="R18" s="127"/>
      <c r="S18" s="127"/>
      <c r="T18" s="127"/>
      <c r="U18" s="127"/>
      <c r="V18" s="127"/>
      <c r="W18" s="127"/>
      <c r="X18" s="127"/>
      <c r="Y18" s="127"/>
    </row>
    <row r="19" spans="1:26">
      <c r="K19" s="225">
        <v>50</v>
      </c>
      <c r="L19" s="8" t="s">
        <v>403</v>
      </c>
      <c r="P19" s="137"/>
      <c r="Q19" s="155" t="s">
        <v>391</v>
      </c>
      <c r="R19" s="127"/>
      <c r="S19" s="127"/>
      <c r="T19" s="127"/>
      <c r="U19" s="127"/>
      <c r="V19" s="127"/>
      <c r="W19" s="127"/>
      <c r="X19" s="127"/>
      <c r="Y19" s="137"/>
    </row>
    <row r="20" spans="1:26">
      <c r="P20" s="137"/>
      <c r="Q20" s="137"/>
      <c r="R20" s="127" t="s">
        <v>392</v>
      </c>
      <c r="S20" s="137"/>
      <c r="T20" s="137"/>
      <c r="U20" s="137"/>
      <c r="V20" s="137"/>
      <c r="W20" s="137"/>
      <c r="X20" s="137"/>
      <c r="Y20" s="137"/>
    </row>
    <row r="21" spans="1:26">
      <c r="P21" s="137"/>
      <c r="Q21" s="137"/>
      <c r="R21" s="137"/>
      <c r="S21" s="155" t="s">
        <v>393</v>
      </c>
      <c r="T21" s="137"/>
      <c r="U21" s="137"/>
      <c r="V21" s="137"/>
      <c r="W21" s="137"/>
      <c r="X21" s="137"/>
      <c r="Y21" s="137"/>
    </row>
    <row r="22" spans="1:26">
      <c r="P22" s="137"/>
      <c r="Q22" s="137"/>
      <c r="R22" s="137"/>
      <c r="S22" s="137"/>
      <c r="T22" s="127" t="s">
        <v>394</v>
      </c>
      <c r="U22" s="137"/>
      <c r="V22" s="137"/>
      <c r="W22" s="137"/>
      <c r="X22" s="137"/>
      <c r="Y22" s="137"/>
    </row>
    <row r="23" spans="1:26">
      <c r="P23" s="137"/>
      <c r="Q23" s="137"/>
      <c r="R23" s="127"/>
      <c r="S23" s="127"/>
      <c r="T23" s="137"/>
      <c r="U23" s="155" t="s">
        <v>395</v>
      </c>
      <c r="V23" s="137"/>
      <c r="W23" s="127"/>
      <c r="X23" s="127"/>
      <c r="Y23" s="127"/>
      <c r="Z23" s="127"/>
    </row>
    <row r="24" spans="1:26">
      <c r="P24" s="137"/>
      <c r="Q24" s="137"/>
      <c r="R24" s="127"/>
      <c r="S24" s="127"/>
      <c r="T24" s="137"/>
      <c r="U24" s="137"/>
      <c r="V24" s="127" t="s">
        <v>396</v>
      </c>
      <c r="W24" s="127"/>
      <c r="X24" s="127"/>
      <c r="Y24" s="127"/>
      <c r="Z24" s="137"/>
    </row>
    <row r="25" spans="1:26">
      <c r="P25" s="137"/>
      <c r="Q25" s="137"/>
      <c r="R25" s="137"/>
      <c r="S25" s="127"/>
      <c r="T25" s="137"/>
      <c r="U25" s="137"/>
      <c r="V25" s="137"/>
      <c r="W25" s="137"/>
      <c r="X25" s="137"/>
      <c r="Y25" s="137"/>
      <c r="Z25" s="137"/>
    </row>
    <row r="26" spans="1:26" ht="15.75">
      <c r="B26" s="621" t="s">
        <v>397</v>
      </c>
      <c r="C26" s="621"/>
      <c r="D26" s="621"/>
      <c r="E26" s="621"/>
      <c r="F26" s="621"/>
      <c r="G26" s="621"/>
      <c r="H26" s="621"/>
      <c r="I26" s="621"/>
      <c r="J26" s="621"/>
      <c r="K26" s="621"/>
      <c r="L26" s="621"/>
      <c r="M26" s="621"/>
      <c r="N26" s="621"/>
      <c r="O26" s="621"/>
      <c r="P26" s="621"/>
    </row>
    <row r="27" spans="1:26" ht="15.75">
      <c r="C27" s="636" t="s">
        <v>398</v>
      </c>
      <c r="D27" s="636"/>
      <c r="E27" s="636"/>
      <c r="F27" s="636"/>
      <c r="G27" s="636"/>
      <c r="H27" s="636"/>
      <c r="I27" s="636"/>
      <c r="J27" s="636"/>
      <c r="K27" s="636"/>
      <c r="L27" s="636"/>
      <c r="M27" s="636"/>
      <c r="N27" s="61"/>
      <c r="O27" s="226">
        <v>50</v>
      </c>
      <c r="P27" s="227"/>
      <c r="Q27" s="5" t="s">
        <v>404</v>
      </c>
      <c r="R27" s="3"/>
      <c r="S27" s="226"/>
    </row>
    <row r="28" spans="1:26" ht="15.75">
      <c r="C28" s="221"/>
      <c r="D28" s="635" t="s">
        <v>399</v>
      </c>
      <c r="E28" s="635"/>
      <c r="F28" s="635"/>
      <c r="G28" s="635"/>
      <c r="H28" s="635"/>
      <c r="I28" s="635"/>
      <c r="J28" s="635"/>
      <c r="K28" s="635"/>
      <c r="L28" s="635"/>
      <c r="M28" s="61"/>
      <c r="N28" s="61"/>
      <c r="O28" s="158">
        <v>150</v>
      </c>
      <c r="P28" s="228">
        <v>191</v>
      </c>
      <c r="Q28" s="228" t="s">
        <v>405</v>
      </c>
      <c r="R28" s="3"/>
      <c r="S28" s="158"/>
    </row>
    <row r="29" spans="1:26" ht="15">
      <c r="L29" s="217"/>
      <c r="M29" s="217"/>
      <c r="N29" s="217"/>
      <c r="O29" s="8"/>
      <c r="P29" s="227">
        <v>250</v>
      </c>
      <c r="Q29" s="227" t="s">
        <v>133</v>
      </c>
      <c r="R29" s="3"/>
      <c r="S29" s="5"/>
    </row>
    <row r="30" spans="1:26" ht="15">
      <c r="C30" s="622" t="s">
        <v>61</v>
      </c>
      <c r="D30" s="622"/>
      <c r="E30" s="622"/>
      <c r="F30" s="622"/>
      <c r="G30" s="622"/>
      <c r="H30" s="622"/>
      <c r="L30" s="8"/>
      <c r="M30" s="218"/>
      <c r="N30" s="218"/>
      <c r="O30" s="8"/>
      <c r="P30" s="227">
        <v>500</v>
      </c>
      <c r="Q30" s="228" t="s">
        <v>406</v>
      </c>
      <c r="R30" s="3"/>
      <c r="S30" s="3"/>
    </row>
    <row r="31" spans="1:26" ht="15">
      <c r="H31" s="3"/>
      <c r="J31" s="3"/>
      <c r="K31" s="3"/>
      <c r="L31" s="217"/>
      <c r="M31" s="217"/>
      <c r="N31" s="217"/>
      <c r="O31" s="8"/>
      <c r="P31" s="229">
        <v>1260</v>
      </c>
      <c r="Q31" s="227" t="s">
        <v>407</v>
      </c>
      <c r="R31" s="5"/>
      <c r="S31" s="5"/>
      <c r="U31" s="3"/>
      <c r="V31" s="3"/>
      <c r="W31" s="3"/>
      <c r="X31" s="3"/>
    </row>
    <row r="32" spans="1:26">
      <c r="D32" s="3"/>
      <c r="H32" s="3"/>
      <c r="J32" s="3"/>
      <c r="K32" s="3"/>
      <c r="L32" s="218"/>
      <c r="M32" s="218"/>
      <c r="N32" s="218"/>
      <c r="O32" s="8"/>
      <c r="P32" s="5"/>
      <c r="Q32" s="5"/>
      <c r="R32" s="5"/>
      <c r="S32" s="5"/>
      <c r="U32" s="3"/>
      <c r="V32" s="3"/>
      <c r="W32" s="3"/>
      <c r="X32" s="3"/>
    </row>
    <row r="33" spans="2:24" ht="12.75">
      <c r="B33" s="222" t="s">
        <v>400</v>
      </c>
      <c r="H33" s="3"/>
      <c r="J33" s="3"/>
      <c r="K33" s="3"/>
      <c r="O33" s="8"/>
      <c r="P33" s="5" t="s">
        <v>408</v>
      </c>
      <c r="Q33" s="5"/>
      <c r="R33" s="5" t="s">
        <v>133</v>
      </c>
      <c r="S33" s="5"/>
      <c r="U33" s="3"/>
      <c r="V33" s="3"/>
      <c r="W33" s="3"/>
      <c r="X33" s="3"/>
    </row>
    <row r="34" spans="2:24" ht="12.75">
      <c r="B34" s="223" t="s">
        <v>401</v>
      </c>
      <c r="H34" s="58"/>
      <c r="J34" s="58"/>
      <c r="K34" s="58"/>
      <c r="O34" s="8"/>
      <c r="P34" s="5" t="s">
        <v>409</v>
      </c>
      <c r="Q34" s="5"/>
      <c r="R34" s="5" t="s">
        <v>134</v>
      </c>
      <c r="S34" s="5"/>
    </row>
    <row r="35" spans="2:24" ht="15.75">
      <c r="B35" s="224" t="s">
        <v>402</v>
      </c>
      <c r="H35" s="58"/>
      <c r="I35" s="58"/>
      <c r="J35" s="58"/>
      <c r="K35" s="58"/>
      <c r="O35" s="8"/>
      <c r="P35" s="5" t="s">
        <v>410</v>
      </c>
      <c r="Q35" s="5"/>
      <c r="R35" s="5" t="s">
        <v>135</v>
      </c>
      <c r="S35" s="5"/>
    </row>
    <row r="36" spans="2:24" ht="15">
      <c r="B36" s="92"/>
      <c r="C36" s="4"/>
      <c r="D36" s="58"/>
      <c r="E36" s="4"/>
      <c r="F36" s="4"/>
      <c r="G36" s="4"/>
      <c r="H36" s="58"/>
      <c r="I36" s="58"/>
      <c r="J36" s="58"/>
      <c r="K36" s="58"/>
      <c r="O36" s="8"/>
      <c r="P36" s="230">
        <v>750</v>
      </c>
      <c r="Q36" s="227"/>
      <c r="R36" s="5" t="s">
        <v>411</v>
      </c>
      <c r="S36" s="5"/>
    </row>
    <row r="37" spans="2:24" ht="15">
      <c r="B37" s="92"/>
      <c r="C37" s="4"/>
      <c r="D37" s="58"/>
      <c r="E37" s="4"/>
      <c r="F37" s="4"/>
      <c r="G37" s="4"/>
      <c r="H37" s="58"/>
      <c r="I37" s="58"/>
      <c r="J37" s="58"/>
      <c r="K37" s="58"/>
      <c r="O37" s="8"/>
      <c r="P37" s="231">
        <v>1000</v>
      </c>
      <c r="Q37" s="228"/>
      <c r="R37" s="3" t="s">
        <v>412</v>
      </c>
      <c r="S37" s="3"/>
    </row>
    <row r="38" spans="2:24" ht="15">
      <c r="B38" s="92"/>
      <c r="C38" s="4"/>
      <c r="D38" s="58"/>
      <c r="E38" s="4"/>
      <c r="F38" s="4"/>
      <c r="G38" s="4"/>
      <c r="H38" s="58"/>
      <c r="I38" s="58"/>
      <c r="J38" s="58"/>
      <c r="K38" s="58"/>
      <c r="O38" s="158"/>
      <c r="P38" s="228"/>
      <c r="Q38" s="228"/>
      <c r="R38" s="3"/>
      <c r="S38" s="158"/>
    </row>
    <row r="39" spans="2:24" ht="15">
      <c r="B39" s="92"/>
      <c r="C39" s="4"/>
      <c r="D39" s="58"/>
      <c r="E39" s="4"/>
      <c r="F39" s="4"/>
      <c r="G39" s="4"/>
      <c r="H39" s="58"/>
      <c r="I39" s="58"/>
      <c r="J39" s="58"/>
      <c r="K39" s="58"/>
      <c r="O39" s="8"/>
      <c r="P39" s="227"/>
      <c r="Q39" s="227"/>
      <c r="R39" s="3"/>
      <c r="S39" s="5"/>
    </row>
    <row r="40" spans="2:24">
      <c r="B40" s="92"/>
      <c r="C40" s="4"/>
      <c r="D40" s="58"/>
      <c r="E40" s="4"/>
      <c r="F40" s="4"/>
      <c r="G40" s="4"/>
      <c r="H40" s="58"/>
      <c r="I40" s="58"/>
      <c r="J40" s="58"/>
      <c r="K40" s="58"/>
      <c r="O40" s="8"/>
      <c r="P40" s="5"/>
      <c r="Q40" s="5"/>
      <c r="R40" s="5"/>
      <c r="S40" s="5"/>
    </row>
    <row r="41" spans="2:24">
      <c r="O41" s="8"/>
      <c r="P41" s="5"/>
      <c r="Q41" s="5"/>
      <c r="R41" s="5"/>
      <c r="S41" s="5"/>
    </row>
    <row r="42" spans="2:24">
      <c r="O42" s="8"/>
      <c r="P42" s="5"/>
      <c r="Q42" s="5"/>
      <c r="R42" s="5"/>
      <c r="S42" s="5"/>
    </row>
    <row r="43" spans="2:24">
      <c r="B43" s="303"/>
      <c r="E43" s="8"/>
      <c r="F43" s="8"/>
      <c r="G43" s="8"/>
    </row>
    <row r="44" spans="2:24">
      <c r="B44" s="3"/>
      <c r="E44" s="8"/>
      <c r="F44" s="8"/>
      <c r="G44" s="8"/>
    </row>
    <row r="45" spans="2:24">
      <c r="B45" s="3"/>
      <c r="E45" s="8"/>
      <c r="F45" s="8"/>
      <c r="G45" s="8"/>
    </row>
    <row r="46" spans="2:24">
      <c r="B46" s="3"/>
      <c r="E46" s="8"/>
      <c r="F46" s="8"/>
      <c r="G46" s="8"/>
    </row>
    <row r="47" spans="2:24">
      <c r="B47" s="3"/>
      <c r="E47" s="8"/>
      <c r="F47" s="8"/>
      <c r="G47" s="8"/>
    </row>
    <row r="48" spans="2:24">
      <c r="B48" s="3"/>
      <c r="E48" s="8"/>
      <c r="F48" s="8"/>
      <c r="G48" s="8"/>
    </row>
    <row r="49" spans="2:9">
      <c r="B49" s="303"/>
      <c r="D49" s="58"/>
      <c r="E49" s="58"/>
      <c r="F49" s="58"/>
      <c r="G49" s="58"/>
      <c r="H49" s="58"/>
    </row>
    <row r="50" spans="2:9">
      <c r="B50" s="3"/>
      <c r="D50" s="58"/>
      <c r="E50" s="58"/>
      <c r="F50" s="58"/>
      <c r="G50" s="58"/>
      <c r="H50" s="58"/>
    </row>
    <row r="51" spans="2:9">
      <c r="B51" s="3"/>
      <c r="C51" s="58"/>
      <c r="D51" s="58"/>
      <c r="E51" s="58"/>
      <c r="F51" s="58"/>
      <c r="G51" s="58"/>
      <c r="H51" s="58"/>
    </row>
    <row r="52" spans="2:9">
      <c r="B52" s="3"/>
      <c r="C52" s="58"/>
      <c r="D52" s="58"/>
      <c r="E52" s="58"/>
      <c r="F52" s="58"/>
      <c r="G52" s="58"/>
      <c r="I52" s="2"/>
    </row>
    <row r="53" spans="2:9">
      <c r="B53" s="3"/>
      <c r="C53" s="8"/>
      <c r="E53" s="8"/>
      <c r="F53" s="8"/>
      <c r="G53" s="8"/>
      <c r="I53" s="2"/>
    </row>
  </sheetData>
  <mergeCells count="12">
    <mergeCell ref="P1:Z2"/>
    <mergeCell ref="B26:P26"/>
    <mergeCell ref="C30:H30"/>
    <mergeCell ref="D1:L1"/>
    <mergeCell ref="A17:C17"/>
    <mergeCell ref="A1:A2"/>
    <mergeCell ref="B1:B2"/>
    <mergeCell ref="C1:C2"/>
    <mergeCell ref="M1:N1"/>
    <mergeCell ref="O1:O2"/>
    <mergeCell ref="D28:L28"/>
    <mergeCell ref="C27:M27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35"/>
  <sheetViews>
    <sheetView workbookViewId="0">
      <pane ySplit="2" topLeftCell="A3" activePane="bottomLeft" state="frozen"/>
      <selection pane="bottomLeft" activeCell="I13" sqref="I13"/>
    </sheetView>
  </sheetViews>
  <sheetFormatPr defaultRowHeight="11.25"/>
  <cols>
    <col min="1" max="1" width="11.5703125" style="3" bestFit="1" customWidth="1"/>
    <col min="2" max="2" width="71.7109375" style="89" customWidth="1"/>
    <col min="3" max="3" width="16.7109375" style="8" bestFit="1" customWidth="1"/>
    <col min="4" max="4" width="5.85546875" style="8" bestFit="1" customWidth="1"/>
    <col min="5" max="5" width="6.28515625" style="8" bestFit="1" customWidth="1"/>
    <col min="6" max="6" width="16.28515625" style="2" customWidth="1"/>
    <col min="7" max="7" width="13.5703125" style="8" bestFit="1" customWidth="1"/>
    <col min="8" max="8" width="6.28515625" style="82" customWidth="1"/>
    <col min="9" max="12" width="5.5703125" style="82" customWidth="1"/>
    <col min="13" max="13" width="19.7109375" style="82" customWidth="1"/>
    <col min="14" max="14" width="19.7109375" style="82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9" customFormat="1" ht="15.75" customHeight="1">
      <c r="A1" s="646" t="s">
        <v>1</v>
      </c>
      <c r="B1" s="652" t="s">
        <v>0</v>
      </c>
      <c r="C1" s="654" t="s">
        <v>86</v>
      </c>
      <c r="D1" s="648" t="s">
        <v>3</v>
      </c>
      <c r="E1" s="649"/>
      <c r="F1" s="650" t="s">
        <v>538</v>
      </c>
      <c r="G1" s="651"/>
      <c r="H1" s="637" t="s">
        <v>29</v>
      </c>
      <c r="I1" s="638"/>
      <c r="J1" s="638"/>
      <c r="K1" s="638"/>
      <c r="L1" s="638"/>
      <c r="M1" s="638"/>
      <c r="N1" s="639"/>
    </row>
    <row r="2" spans="1:14" s="9" customFormat="1" ht="23.25" customHeight="1" thickBot="1">
      <c r="A2" s="647"/>
      <c r="B2" s="653"/>
      <c r="C2" s="655"/>
      <c r="D2" s="48"/>
      <c r="E2" s="59" t="s">
        <v>9</v>
      </c>
      <c r="F2" s="99" t="s">
        <v>417</v>
      </c>
      <c r="G2" s="311" t="s">
        <v>9</v>
      </c>
      <c r="H2" s="640"/>
      <c r="I2" s="641"/>
      <c r="J2" s="641"/>
      <c r="K2" s="641"/>
      <c r="L2" s="641"/>
      <c r="M2" s="641"/>
      <c r="N2" s="642"/>
    </row>
    <row r="3" spans="1:14" s="136" customFormat="1" ht="15">
      <c r="A3" s="355" t="str">
        <f>'1-συμβολαια'!A3</f>
        <v>1ο</v>
      </c>
      <c r="B3" s="307" t="str">
        <f>'1-συμβολαια'!C3</f>
        <v>γονικής ΠΡΟΣΥΜΦΩΝΟ</v>
      </c>
      <c r="C3" s="310">
        <f>'1-συμβολαια'!D3</f>
        <v>0</v>
      </c>
      <c r="D3" s="356">
        <v>2</v>
      </c>
      <c r="E3" s="545">
        <v>4</v>
      </c>
      <c r="F3" s="308">
        <f t="shared" ref="F3:G6" si="0">(D3-1)*800</f>
        <v>800</v>
      </c>
      <c r="G3" s="546">
        <f t="shared" si="0"/>
        <v>2400</v>
      </c>
      <c r="H3" s="306"/>
      <c r="I3" s="306"/>
      <c r="J3" s="306"/>
      <c r="K3" s="309"/>
      <c r="L3" s="309"/>
      <c r="M3" s="544" t="s">
        <v>573</v>
      </c>
      <c r="N3" s="309"/>
    </row>
    <row r="4" spans="1:14" s="136" customFormat="1" ht="15">
      <c r="A4" s="355" t="str">
        <f>'1-συμβολαια'!A4</f>
        <v>2ο</v>
      </c>
      <c r="B4" s="307" t="str">
        <f>'1-συμβολαια'!C4</f>
        <v>δωρεάς ΠΡΟΣΥΜΦΩΝΟ</v>
      </c>
      <c r="C4" s="310">
        <f>'1-συμβολαια'!D4</f>
        <v>0</v>
      </c>
      <c r="D4" s="356">
        <v>2</v>
      </c>
      <c r="E4" s="545">
        <v>4</v>
      </c>
      <c r="F4" s="308">
        <f t="shared" si="0"/>
        <v>800</v>
      </c>
      <c r="G4" s="546">
        <f t="shared" si="0"/>
        <v>2400</v>
      </c>
      <c r="H4" s="306"/>
      <c r="I4" s="306"/>
      <c r="J4" s="306"/>
      <c r="K4" s="309"/>
      <c r="L4" s="309"/>
      <c r="M4" s="544" t="s">
        <v>573</v>
      </c>
      <c r="N4" s="309"/>
    </row>
    <row r="5" spans="1:14" s="136" customFormat="1" ht="15">
      <c r="A5" s="355" t="str">
        <f>'1-συμβολαια'!A5</f>
        <v>3ο</v>
      </c>
      <c r="B5" s="307" t="str">
        <f>'1-συμβολαια'!C5</f>
        <v>δωρεάς ΠΡΟΣΥΜΦΩΝΟ [1ο όροφο 55,63μ2</v>
      </c>
      <c r="C5" s="310">
        <f>'1-συμβολαια'!D5</f>
        <v>0</v>
      </c>
      <c r="D5" s="356">
        <v>2</v>
      </c>
      <c r="E5" s="545">
        <v>4</v>
      </c>
      <c r="F5" s="308">
        <f t="shared" si="0"/>
        <v>800</v>
      </c>
      <c r="G5" s="546">
        <f t="shared" si="0"/>
        <v>2400</v>
      </c>
      <c r="H5" s="306"/>
      <c r="I5" s="306"/>
      <c r="J5" s="306"/>
      <c r="K5" s="309"/>
      <c r="L5" s="309"/>
      <c r="M5" s="544" t="s">
        <v>573</v>
      </c>
      <c r="N5" s="309"/>
    </row>
    <row r="6" spans="1:14" s="136" customFormat="1" ht="15">
      <c r="A6" s="355" t="str">
        <f>'1-συμβολαια'!A6</f>
        <v>4ο</v>
      </c>
      <c r="B6" s="307" t="str">
        <f>'1-συμβολαια'!C6</f>
        <v>πληρεξούσιο</v>
      </c>
      <c r="C6" s="310">
        <f>'1-συμβολαια'!D6</f>
        <v>0</v>
      </c>
      <c r="D6" s="356">
        <v>2</v>
      </c>
      <c r="E6" s="356">
        <v>2</v>
      </c>
      <c r="F6" s="308">
        <f t="shared" si="0"/>
        <v>800</v>
      </c>
      <c r="G6" s="308">
        <f t="shared" si="0"/>
        <v>800</v>
      </c>
      <c r="H6" s="306"/>
      <c r="I6" s="306"/>
      <c r="J6" s="306"/>
      <c r="K6" s="309"/>
      <c r="L6" s="309"/>
      <c r="M6" s="309"/>
      <c r="N6" s="309"/>
    </row>
    <row r="7" spans="1:14" s="136" customFormat="1" ht="15">
      <c r="A7" s="355" t="str">
        <f>'1-συμβολαια'!A7</f>
        <v>5ο</v>
      </c>
      <c r="B7" s="307" t="str">
        <f>'1-συμβολαια'!C7</f>
        <v>πληρεξούσιο</v>
      </c>
      <c r="C7" s="310">
        <f>'1-συμβολαια'!D7</f>
        <v>0</v>
      </c>
      <c r="D7" s="356">
        <v>1</v>
      </c>
      <c r="E7" s="356">
        <v>1</v>
      </c>
      <c r="F7" s="308">
        <f t="shared" ref="F7" si="1">(D7-1)*1000</f>
        <v>0</v>
      </c>
      <c r="G7" s="308">
        <f t="shared" ref="G7" si="2">(E7-1)*1000</f>
        <v>0</v>
      </c>
      <c r="H7" s="306"/>
      <c r="I7" s="306"/>
      <c r="J7" s="306"/>
      <c r="K7" s="309"/>
      <c r="L7" s="309"/>
      <c r="M7" s="309"/>
      <c r="N7" s="309"/>
    </row>
    <row r="8" spans="1:14" s="136" customFormat="1" ht="15">
      <c r="A8" s="393" t="str">
        <f>'1-συμβολαια'!A8</f>
        <v>7ο</v>
      </c>
      <c r="B8" s="307" t="str">
        <f>'1-συμβολαια'!C8</f>
        <v>διανομή [34,60% {= 7.480.642δρχ}] &amp; {65,40% {= 14.139.710δρχ}]</v>
      </c>
      <c r="C8" s="310">
        <f>'1-συμβολαια'!D8</f>
        <v>21620352</v>
      </c>
      <c r="D8" s="356">
        <v>5</v>
      </c>
      <c r="E8" s="356">
        <v>5</v>
      </c>
      <c r="F8" s="308">
        <f t="shared" ref="F8:F13" si="3">(D8-1)*1000</f>
        <v>4000</v>
      </c>
      <c r="G8" s="308">
        <f t="shared" ref="G8:G13" si="4">(E8-1)*1000</f>
        <v>4000</v>
      </c>
      <c r="H8" s="306"/>
      <c r="I8" s="306"/>
      <c r="J8" s="306"/>
      <c r="K8" s="309"/>
      <c r="L8" s="309"/>
      <c r="M8" s="309"/>
      <c r="N8" s="309"/>
    </row>
    <row r="9" spans="1:14" s="136" customFormat="1" ht="15">
      <c r="A9" s="393">
        <f>'1-συμβολαια'!A9</f>
        <v>0</v>
      </c>
      <c r="B9" s="307" t="str">
        <f>'1-συμβολαια'!C9</f>
        <v>εξισορόπηση διαφοράς διανεμομένων</v>
      </c>
      <c r="C9" s="310">
        <f>'1-συμβολαια'!D9</f>
        <v>3329534</v>
      </c>
      <c r="D9" s="356">
        <v>5</v>
      </c>
      <c r="E9" s="356"/>
      <c r="F9" s="308">
        <f t="shared" ref="F9" si="5">(D9-1)*1000</f>
        <v>4000</v>
      </c>
      <c r="G9" s="308"/>
      <c r="H9" s="306" t="s">
        <v>232</v>
      </c>
      <c r="I9" s="306" t="s">
        <v>136</v>
      </c>
      <c r="J9" s="306"/>
      <c r="K9" s="309"/>
      <c r="L9" s="309"/>
      <c r="M9" s="309"/>
      <c r="N9" s="309"/>
    </row>
    <row r="10" spans="1:14" s="136" customFormat="1" ht="15">
      <c r="A10" s="393">
        <f>'1-συμβολαια'!A10</f>
        <v>0</v>
      </c>
      <c r="B10" s="307" t="str">
        <f>'1-συμβολαια'!C10</f>
        <v>χρήσης ΚΑΝΟΝΙΣΝΟΣ</v>
      </c>
      <c r="C10" s="310">
        <f>'1-συμβολαια'!D10</f>
        <v>0</v>
      </c>
      <c r="D10" s="356">
        <v>5</v>
      </c>
      <c r="E10" s="356"/>
      <c r="F10" s="308">
        <f t="shared" ref="F10:F11" si="6">(D10-1)*800</f>
        <v>3200</v>
      </c>
      <c r="G10" s="308"/>
      <c r="H10" s="306" t="s">
        <v>232</v>
      </c>
      <c r="I10" s="306" t="s">
        <v>136</v>
      </c>
      <c r="J10" s="306"/>
      <c r="K10" s="309"/>
      <c r="L10" s="309"/>
      <c r="M10" s="309"/>
      <c r="N10" s="309"/>
    </row>
    <row r="11" spans="1:14" s="136" customFormat="1" ht="15.75" thickBot="1">
      <c r="A11" s="479">
        <f>'1-συμβολαια'!A11</f>
        <v>0</v>
      </c>
      <c r="B11" s="480" t="str">
        <f>'1-συμβολαια'!C11</f>
        <v xml:space="preserve">κάθετος ΣΥΣΤΑΣΗ </v>
      </c>
      <c r="C11" s="481">
        <f>'1-συμβολαια'!D11</f>
        <v>0</v>
      </c>
      <c r="D11" s="482">
        <v>5</v>
      </c>
      <c r="E11" s="482"/>
      <c r="F11" s="483">
        <f t="shared" si="6"/>
        <v>3200</v>
      </c>
      <c r="G11" s="483"/>
      <c r="H11" s="472"/>
      <c r="I11" s="472" t="s">
        <v>136</v>
      </c>
      <c r="J11" s="472"/>
      <c r="K11" s="484"/>
      <c r="L11" s="484"/>
      <c r="M11" s="484"/>
      <c r="N11" s="484"/>
    </row>
    <row r="12" spans="1:14" s="136" customFormat="1" ht="15">
      <c r="A12" s="474" t="str">
        <f>'1-συμβολαια'!A12</f>
        <v>6ο</v>
      </c>
      <c r="B12" s="475" t="str">
        <f>'1-συμβολαια'!C12</f>
        <v>πληρεξούσιο</v>
      </c>
      <c r="C12" s="476">
        <f>'1-συμβολαια'!D12</f>
        <v>0</v>
      </c>
      <c r="D12" s="477">
        <v>1</v>
      </c>
      <c r="E12" s="477">
        <v>1</v>
      </c>
      <c r="F12" s="338">
        <f t="shared" si="3"/>
        <v>0</v>
      </c>
      <c r="G12" s="338">
        <f t="shared" si="4"/>
        <v>0</v>
      </c>
      <c r="H12" s="469"/>
      <c r="I12" s="469"/>
      <c r="J12" s="469"/>
      <c r="K12" s="478"/>
      <c r="L12" s="478"/>
      <c r="M12" s="478"/>
      <c r="N12" s="478"/>
    </row>
    <row r="13" spans="1:14" s="136" customFormat="1" ht="15">
      <c r="A13" s="355" t="str">
        <f>'1-συμβολαια'!A13</f>
        <v>8ο</v>
      </c>
      <c r="B13" s="307" t="str">
        <f>'1-συμβολαια'!C13</f>
        <v>δωρεα [οικόπεδο42μ2</v>
      </c>
      <c r="C13" s="310">
        <f>'1-συμβολαια'!D13</f>
        <v>725760</v>
      </c>
      <c r="D13" s="386">
        <v>4</v>
      </c>
      <c r="E13" s="386">
        <v>4</v>
      </c>
      <c r="F13" s="308">
        <f t="shared" si="3"/>
        <v>3000</v>
      </c>
      <c r="G13" s="308">
        <f t="shared" si="4"/>
        <v>3000</v>
      </c>
      <c r="H13" s="306"/>
      <c r="I13" s="306"/>
      <c r="J13" s="306"/>
      <c r="K13" s="309"/>
      <c r="L13" s="309"/>
      <c r="M13" s="309"/>
      <c r="N13" s="309"/>
    </row>
    <row r="14" spans="1:14" s="136" customFormat="1" ht="15">
      <c r="A14" s="355" t="str">
        <f>'1-συμβολαια'!A14</f>
        <v>9ο</v>
      </c>
      <c r="B14" s="307" t="str">
        <f>'1-συμβολαια'!C14</f>
        <v xml:space="preserve">γονική ΒΑΣΕΙ 1.113 προσυμφώνου </v>
      </c>
      <c r="C14" s="310">
        <f>'1-συμβολαια'!D14</f>
        <v>5112496</v>
      </c>
      <c r="D14" s="356">
        <v>4</v>
      </c>
      <c r="E14" s="356">
        <v>4</v>
      </c>
      <c r="F14" s="308">
        <f t="shared" ref="F14:F15" si="7">(D14-1)*1000</f>
        <v>3000</v>
      </c>
      <c r="G14" s="308">
        <f t="shared" ref="G14:G15" si="8">(E14-1)*1000</f>
        <v>3000</v>
      </c>
      <c r="H14" s="306"/>
      <c r="I14" s="306"/>
      <c r="J14" s="306"/>
      <c r="K14" s="309"/>
      <c r="L14" s="309"/>
      <c r="M14" s="309"/>
      <c r="N14" s="309"/>
    </row>
    <row r="15" spans="1:14" s="136" customFormat="1" ht="15">
      <c r="A15" s="393" t="str">
        <f>'1-συμβολαια'!A15</f>
        <v>10ο</v>
      </c>
      <c r="B15" s="307" t="str">
        <f>'1-συμβολαια'!C15</f>
        <v>δωρεά  ΒΑΣΕΙ 1.114 προσυμφώνου</v>
      </c>
      <c r="C15" s="310">
        <f>'1-συμβολαια'!D15</f>
        <v>6471276</v>
      </c>
      <c r="D15" s="356">
        <v>6</v>
      </c>
      <c r="E15" s="356">
        <v>6</v>
      </c>
      <c r="F15" s="308">
        <f t="shared" si="7"/>
        <v>5000</v>
      </c>
      <c r="G15" s="308">
        <f t="shared" si="8"/>
        <v>5000</v>
      </c>
      <c r="H15" s="306"/>
      <c r="I15" s="306"/>
      <c r="J15" s="306"/>
      <c r="K15" s="309"/>
      <c r="L15" s="309"/>
      <c r="M15" s="309"/>
      <c r="N15" s="309"/>
    </row>
    <row r="16" spans="1:14" s="136" customFormat="1" ht="15">
      <c r="A16" s="393">
        <f>'1-συμβολαια'!A16</f>
        <v>0</v>
      </c>
      <c r="B16" s="307" t="str">
        <f>'1-συμβολαια'!C16</f>
        <v xml:space="preserve">κάθετος ΣΥΣΤΑΣΗ </v>
      </c>
      <c r="C16" s="310">
        <f>'1-συμβολαια'!D16</f>
        <v>0</v>
      </c>
      <c r="D16" s="356">
        <v>6</v>
      </c>
      <c r="E16" s="356"/>
      <c r="F16" s="308">
        <f>(D16-1)*800</f>
        <v>4000</v>
      </c>
      <c r="G16" s="308"/>
      <c r="H16" s="306"/>
      <c r="I16" s="306" t="s">
        <v>136</v>
      </c>
      <c r="J16" s="306"/>
      <c r="K16" s="309"/>
      <c r="L16" s="309"/>
      <c r="M16" s="309"/>
      <c r="N16" s="309"/>
    </row>
    <row r="17" spans="1:13" ht="15.75">
      <c r="A17" s="643" t="s">
        <v>60</v>
      </c>
      <c r="B17" s="644"/>
      <c r="C17" s="644"/>
      <c r="D17" s="644"/>
      <c r="E17" s="645"/>
      <c r="F17" s="108">
        <f>SUM(F3:F13)</f>
        <v>20600</v>
      </c>
      <c r="G17" s="312">
        <f>SUM(G3:G13)</f>
        <v>15000</v>
      </c>
    </row>
    <row r="18" spans="1:13" ht="15.75">
      <c r="H18" s="138" t="s">
        <v>145</v>
      </c>
      <c r="I18" s="139"/>
      <c r="J18" s="139"/>
      <c r="K18" s="139"/>
      <c r="L18" s="139"/>
      <c r="M18" s="139"/>
    </row>
    <row r="19" spans="1:13" ht="15.75">
      <c r="I19" s="139" t="s">
        <v>146</v>
      </c>
      <c r="J19" s="139"/>
      <c r="K19" s="139"/>
      <c r="L19" s="139"/>
      <c r="M19" s="86"/>
    </row>
    <row r="20" spans="1:13" ht="15.75">
      <c r="J20" s="138" t="s">
        <v>147</v>
      </c>
    </row>
    <row r="24" spans="1:13" ht="15.75">
      <c r="B24" s="387" t="s">
        <v>539</v>
      </c>
    </row>
    <row r="25" spans="1:13" ht="15.75">
      <c r="B25" s="387" t="s">
        <v>540</v>
      </c>
      <c r="F25" s="8"/>
      <c r="H25" s="8"/>
      <c r="I25" s="8"/>
    </row>
    <row r="26" spans="1:13" ht="15.75">
      <c r="B26" s="3"/>
      <c r="C26" s="232" t="s">
        <v>61</v>
      </c>
      <c r="F26" s="8"/>
      <c r="H26" s="8"/>
      <c r="I26" s="8"/>
    </row>
    <row r="27" spans="1:13">
      <c r="B27" s="3"/>
      <c r="F27" s="8"/>
      <c r="H27" s="8"/>
      <c r="I27" s="8"/>
    </row>
    <row r="28" spans="1:13">
      <c r="B28" s="3"/>
      <c r="F28" s="8"/>
      <c r="H28" s="8"/>
      <c r="I28" s="8"/>
    </row>
    <row r="29" spans="1:13">
      <c r="B29" s="3"/>
      <c r="F29" s="8"/>
      <c r="H29" s="8"/>
      <c r="I29" s="8"/>
    </row>
    <row r="30" spans="1:13">
      <c r="B30" s="3"/>
      <c r="F30" s="8"/>
      <c r="H30" s="8"/>
      <c r="I30" s="8"/>
    </row>
    <row r="31" spans="1:13">
      <c r="B31" s="303"/>
      <c r="D31" s="58"/>
      <c r="E31" s="58"/>
      <c r="F31" s="58"/>
      <c r="G31" s="58"/>
      <c r="H31" s="8"/>
      <c r="I31" s="8"/>
    </row>
    <row r="32" spans="1:13">
      <c r="B32" s="3"/>
      <c r="D32" s="58"/>
      <c r="E32" s="58"/>
      <c r="F32" s="58"/>
      <c r="G32" s="58"/>
      <c r="H32" s="8"/>
      <c r="I32" s="8"/>
    </row>
    <row r="33" spans="2:9">
      <c r="B33" s="3"/>
      <c r="D33" s="58"/>
      <c r="E33" s="58"/>
      <c r="F33" s="58"/>
      <c r="G33" s="58"/>
      <c r="H33" s="8"/>
      <c r="I33" s="8"/>
    </row>
    <row r="34" spans="2:9">
      <c r="B34" s="3"/>
      <c r="D34" s="58"/>
      <c r="E34" s="58"/>
      <c r="F34" s="58"/>
      <c r="G34" s="58"/>
      <c r="H34" s="8"/>
      <c r="I34" s="2"/>
    </row>
    <row r="35" spans="2:9">
      <c r="B35" s="3"/>
      <c r="F35" s="8"/>
      <c r="H35" s="8"/>
      <c r="I35" s="2"/>
    </row>
  </sheetData>
  <mergeCells count="7">
    <mergeCell ref="H1:N2"/>
    <mergeCell ref="A17:E17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30"/>
  <sheetViews>
    <sheetView workbookViewId="0">
      <pane ySplit="2" topLeftCell="A3" activePane="bottomLeft" state="frozen"/>
      <selection pane="bottomLeft" activeCell="J30" sqref="J30"/>
    </sheetView>
  </sheetViews>
  <sheetFormatPr defaultRowHeight="11.25"/>
  <cols>
    <col min="1" max="1" width="11.5703125" style="8" bestFit="1" customWidth="1"/>
    <col min="2" max="2" width="68.85546875" style="91" bestFit="1" customWidth="1"/>
    <col min="3" max="3" width="7.28515625" style="8" bestFit="1" customWidth="1"/>
    <col min="4" max="4" width="12.7109375" style="8" customWidth="1"/>
    <col min="5" max="5" width="6.42578125" style="8" bestFit="1" customWidth="1"/>
    <col min="6" max="6" width="16.42578125" style="8" customWidth="1"/>
    <col min="7" max="7" width="12.85546875" style="8" customWidth="1"/>
    <col min="8" max="8" width="7.28515625" style="8" bestFit="1" customWidth="1"/>
    <col min="9" max="9" width="5.5703125" style="8" bestFit="1" customWidth="1"/>
    <col min="10" max="10" width="8.85546875" style="8" customWidth="1"/>
    <col min="11" max="11" width="5.5703125" style="8" bestFit="1" customWidth="1"/>
    <col min="12" max="14" width="4.140625" style="8" bestFit="1" customWidth="1"/>
    <col min="15" max="15" width="7.85546875" style="8" bestFit="1" customWidth="1"/>
    <col min="16" max="16" width="16.42578125" style="8" customWidth="1"/>
    <col min="17" max="17" width="7.140625" style="82" customWidth="1"/>
    <col min="18" max="20" width="6.7109375" style="82" customWidth="1"/>
    <col min="21" max="21" width="30.5703125" style="82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1" s="6" customFormat="1" ht="15.75">
      <c r="A1" s="625" t="s">
        <v>1</v>
      </c>
      <c r="B1" s="627" t="s">
        <v>0</v>
      </c>
      <c r="C1" s="656" t="s">
        <v>11</v>
      </c>
      <c r="D1" s="656"/>
      <c r="E1" s="656"/>
      <c r="F1" s="656"/>
      <c r="G1" s="656"/>
      <c r="H1" s="657" t="s">
        <v>12</v>
      </c>
      <c r="I1" s="657"/>
      <c r="J1" s="657"/>
      <c r="K1" s="657"/>
      <c r="L1" s="657"/>
      <c r="M1" s="657"/>
      <c r="N1" s="657"/>
      <c r="O1" s="660" t="s">
        <v>87</v>
      </c>
      <c r="P1" s="658" t="s">
        <v>233</v>
      </c>
      <c r="Q1" s="615" t="s">
        <v>29</v>
      </c>
      <c r="R1" s="616"/>
      <c r="S1" s="616"/>
      <c r="T1" s="616"/>
      <c r="U1" s="617"/>
    </row>
    <row r="2" spans="1:21" ht="24" customHeight="1" thickBot="1">
      <c r="A2" s="626"/>
      <c r="B2" s="628"/>
      <c r="C2" s="7" t="s">
        <v>47</v>
      </c>
      <c r="D2" s="349" t="s">
        <v>48</v>
      </c>
      <c r="E2" s="349" t="s">
        <v>49</v>
      </c>
      <c r="F2" s="349" t="s">
        <v>50</v>
      </c>
      <c r="G2" s="39" t="s">
        <v>51</v>
      </c>
      <c r="H2" s="7" t="s">
        <v>47</v>
      </c>
      <c r="I2" s="349" t="s">
        <v>48</v>
      </c>
      <c r="J2" s="349" t="s">
        <v>49</v>
      </c>
      <c r="K2" s="349" t="s">
        <v>50</v>
      </c>
      <c r="L2" s="349" t="s">
        <v>51</v>
      </c>
      <c r="M2" s="349" t="s">
        <v>52</v>
      </c>
      <c r="N2" s="40" t="s">
        <v>53</v>
      </c>
      <c r="O2" s="661"/>
      <c r="P2" s="659"/>
      <c r="Q2" s="618"/>
      <c r="R2" s="619"/>
      <c r="S2" s="619"/>
      <c r="T2" s="619"/>
      <c r="U2" s="620"/>
    </row>
    <row r="3" spans="1:21" s="279" customFormat="1" ht="15">
      <c r="A3" s="355" t="str">
        <f>'1-συμβολαια'!A3</f>
        <v>1ο</v>
      </c>
      <c r="B3" s="313" t="str">
        <f>'1-συμβολαια'!C3</f>
        <v>γονικής ΠΡΟΣΥΜΦΩΝΟ</v>
      </c>
      <c r="C3" s="314">
        <v>1</v>
      </c>
      <c r="D3" s="274" t="s">
        <v>590</v>
      </c>
      <c r="E3" s="274"/>
      <c r="F3" s="274"/>
      <c r="G3" s="274"/>
      <c r="H3" s="314">
        <v>1</v>
      </c>
      <c r="I3" s="274" t="s">
        <v>591</v>
      </c>
      <c r="J3" s="274"/>
      <c r="K3" s="274"/>
      <c r="L3" s="274"/>
      <c r="M3" s="274"/>
      <c r="N3" s="274"/>
      <c r="O3" s="314"/>
      <c r="P3" s="308">
        <f>O3*('2-δικαιώμ'!N3+'3-φύλλα2α'!F3)</f>
        <v>0</v>
      </c>
      <c r="Q3" s="315"/>
      <c r="R3" s="315"/>
      <c r="S3" s="315"/>
      <c r="T3" s="315"/>
      <c r="U3" s="316"/>
    </row>
    <row r="4" spans="1:21" s="279" customFormat="1" ht="15">
      <c r="A4" s="355" t="str">
        <f>'1-συμβολαια'!A4</f>
        <v>2ο</v>
      </c>
      <c r="B4" s="313" t="str">
        <f>'1-συμβολαια'!C4</f>
        <v>δωρεάς ΠΡΟΣΥΜΦΩΝΟ</v>
      </c>
      <c r="C4" s="314">
        <v>1</v>
      </c>
      <c r="D4" s="274" t="s">
        <v>590</v>
      </c>
      <c r="E4" s="274"/>
      <c r="F4" s="274"/>
      <c r="G4" s="274"/>
      <c r="H4" s="314">
        <v>2</v>
      </c>
      <c r="I4" s="274" t="s">
        <v>591</v>
      </c>
      <c r="J4" s="274" t="s">
        <v>591</v>
      </c>
      <c r="K4" s="274"/>
      <c r="L4" s="274"/>
      <c r="M4" s="274"/>
      <c r="N4" s="274"/>
      <c r="O4" s="314">
        <v>1</v>
      </c>
      <c r="P4" s="308">
        <f>O4*('2-δικαιώμ'!N4+'3-φύλλα2α'!F4)</f>
        <v>3800</v>
      </c>
      <c r="Q4" s="315" t="s">
        <v>152</v>
      </c>
      <c r="R4" s="315" t="s">
        <v>151</v>
      </c>
      <c r="S4" s="315"/>
      <c r="T4" s="315"/>
      <c r="U4" s="316"/>
    </row>
    <row r="5" spans="1:21" s="279" customFormat="1" ht="15">
      <c r="A5" s="355" t="str">
        <f>'1-συμβολαια'!A5</f>
        <v>3ο</v>
      </c>
      <c r="B5" s="313" t="str">
        <f>'1-συμβολαια'!C5</f>
        <v>δωρεάς ΠΡΟΣΥΜΦΩΝΟ [1ο όροφο 55,63μ2</v>
      </c>
      <c r="C5" s="314">
        <v>1</v>
      </c>
      <c r="D5" s="274" t="s">
        <v>590</v>
      </c>
      <c r="E5" s="274"/>
      <c r="F5" s="274"/>
      <c r="G5" s="274"/>
      <c r="H5" s="314">
        <v>1</v>
      </c>
      <c r="I5" s="274" t="s">
        <v>591</v>
      </c>
      <c r="J5" s="274"/>
      <c r="K5" s="274"/>
      <c r="L5" s="274"/>
      <c r="M5" s="274"/>
      <c r="N5" s="274"/>
      <c r="O5" s="314"/>
      <c r="P5" s="308">
        <f>O5*('2-δικαιώμ'!N5+'3-φύλλα2α'!F5)</f>
        <v>0</v>
      </c>
      <c r="Q5" s="315"/>
      <c r="R5" s="315"/>
      <c r="S5" s="315"/>
      <c r="T5" s="315"/>
      <c r="U5" s="316"/>
    </row>
    <row r="6" spans="1:21" s="279" customFormat="1" ht="15">
      <c r="A6" s="355" t="str">
        <f>'1-συμβολαια'!A6</f>
        <v>4ο</v>
      </c>
      <c r="B6" s="313" t="str">
        <f>'1-συμβολαια'!C6</f>
        <v>πληρεξούσιο</v>
      </c>
      <c r="C6" s="314">
        <v>1</v>
      </c>
      <c r="D6" s="274" t="s">
        <v>591</v>
      </c>
      <c r="E6" s="274"/>
      <c r="F6" s="274"/>
      <c r="G6" s="274"/>
      <c r="H6" s="314">
        <v>1</v>
      </c>
      <c r="I6" s="274" t="s">
        <v>591</v>
      </c>
      <c r="J6" s="274"/>
      <c r="K6" s="274"/>
      <c r="L6" s="274"/>
      <c r="M6" s="274"/>
      <c r="N6" s="274"/>
      <c r="O6" s="314"/>
      <c r="P6" s="308">
        <f>O6*('2-δικαιώμ'!N6+'3-φύλλα2α'!F6)</f>
        <v>0</v>
      </c>
      <c r="Q6" s="315"/>
      <c r="R6" s="315"/>
      <c r="S6" s="315"/>
      <c r="T6" s="315"/>
      <c r="U6" s="316"/>
    </row>
    <row r="7" spans="1:21" s="279" customFormat="1" ht="15">
      <c r="A7" s="355" t="str">
        <f>'1-συμβολαια'!A7</f>
        <v>5ο</v>
      </c>
      <c r="B7" s="313" t="str">
        <f>'1-συμβολαια'!C7</f>
        <v>πληρεξούσιο</v>
      </c>
      <c r="C7" s="314">
        <v>1</v>
      </c>
      <c r="D7" s="274" t="s">
        <v>591</v>
      </c>
      <c r="E7" s="274"/>
      <c r="F7" s="274"/>
      <c r="G7" s="274"/>
      <c r="H7" s="314">
        <v>1</v>
      </c>
      <c r="I7" s="274" t="s">
        <v>591</v>
      </c>
      <c r="J7" s="274"/>
      <c r="K7" s="274"/>
      <c r="L7" s="274"/>
      <c r="M7" s="274"/>
      <c r="N7" s="274"/>
      <c r="O7" s="314"/>
      <c r="P7" s="308">
        <f>O7*('2-δικαιώμ'!N7+'3-φύλλα2α'!F7)</f>
        <v>0</v>
      </c>
      <c r="Q7" s="315"/>
      <c r="R7" s="315"/>
      <c r="S7" s="315"/>
      <c r="T7" s="315"/>
      <c r="U7" s="316"/>
    </row>
    <row r="8" spans="1:21" s="279" customFormat="1" ht="15">
      <c r="A8" s="393" t="str">
        <f>'1-συμβολαια'!A8</f>
        <v>7ο</v>
      </c>
      <c r="B8" s="313" t="str">
        <f>'1-συμβολαια'!C8</f>
        <v>διανομή [34,60% {= 7.480.642δρχ}] &amp; {65,40% {= 14.139.710δρχ}]</v>
      </c>
      <c r="C8" s="314">
        <v>2</v>
      </c>
      <c r="D8" s="274" t="s">
        <v>590</v>
      </c>
      <c r="E8" s="274" t="s">
        <v>591</v>
      </c>
      <c r="F8" s="274"/>
      <c r="G8" s="274"/>
      <c r="H8" s="314"/>
      <c r="I8" s="274"/>
      <c r="J8" s="274"/>
      <c r="K8" s="274"/>
      <c r="L8" s="274"/>
      <c r="M8" s="274"/>
      <c r="N8" s="274"/>
      <c r="O8" s="314"/>
      <c r="P8" s="308">
        <f>O8*('2-δικαιώμ'!N8+'3-φύλλα2α'!F8)</f>
        <v>0</v>
      </c>
      <c r="Q8" s="315"/>
      <c r="R8" s="315"/>
      <c r="S8" s="315"/>
      <c r="T8" s="315"/>
      <c r="U8" s="316"/>
    </row>
    <row r="9" spans="1:21" s="279" customFormat="1" ht="15">
      <c r="A9" s="393">
        <f>'1-συμβολαια'!A9</f>
        <v>0</v>
      </c>
      <c r="B9" s="313" t="str">
        <f>'1-συμβολαια'!C9</f>
        <v>εξισορόπηση διαφοράς διανεμομένων</v>
      </c>
      <c r="C9" s="314">
        <v>1</v>
      </c>
      <c r="D9" s="274" t="s">
        <v>590</v>
      </c>
      <c r="E9" s="274"/>
      <c r="F9" s="274"/>
      <c r="G9" s="274"/>
      <c r="H9" s="314">
        <v>1</v>
      </c>
      <c r="I9" s="274" t="s">
        <v>591</v>
      </c>
      <c r="J9" s="274"/>
      <c r="K9" s="274"/>
      <c r="L9" s="274"/>
      <c r="M9" s="274"/>
      <c r="N9" s="274"/>
      <c r="O9" s="314"/>
      <c r="P9" s="308">
        <f>O9*('2-δικαιώμ'!N9+'3-φύλλα2α'!F9)</f>
        <v>0</v>
      </c>
      <c r="Q9" s="315"/>
      <c r="R9" s="315"/>
      <c r="S9" s="315"/>
      <c r="T9" s="315"/>
      <c r="U9" s="316"/>
    </row>
    <row r="10" spans="1:21" s="279" customFormat="1" ht="15">
      <c r="A10" s="393">
        <f>'1-συμβολαια'!A10</f>
        <v>0</v>
      </c>
      <c r="B10" s="313" t="str">
        <f>'1-συμβολαια'!C10</f>
        <v>χρήσης ΚΑΝΟΝΙΣΝΟΣ</v>
      </c>
      <c r="C10" s="314">
        <v>2</v>
      </c>
      <c r="D10" s="274" t="s">
        <v>590</v>
      </c>
      <c r="E10" s="274" t="s">
        <v>591</v>
      </c>
      <c r="F10" s="274"/>
      <c r="G10" s="274"/>
      <c r="H10" s="314"/>
      <c r="I10" s="274"/>
      <c r="J10" s="274"/>
      <c r="K10" s="274"/>
      <c r="L10" s="274"/>
      <c r="M10" s="274"/>
      <c r="N10" s="274"/>
      <c r="O10" s="314"/>
      <c r="P10" s="308">
        <f>O10*('2-δικαιώμ'!N10+'3-φύλλα2α'!F10)</f>
        <v>0</v>
      </c>
      <c r="Q10" s="315"/>
      <c r="R10" s="315"/>
      <c r="S10" s="315"/>
      <c r="T10" s="315"/>
      <c r="U10" s="316"/>
    </row>
    <row r="11" spans="1:21" s="279" customFormat="1" ht="15.75" thickBot="1">
      <c r="A11" s="479">
        <f>'1-συμβολαια'!A11</f>
        <v>0</v>
      </c>
      <c r="B11" s="489" t="str">
        <f>'1-συμβολαια'!C11</f>
        <v xml:space="preserve">κάθετος ΣΥΣΤΑΣΗ </v>
      </c>
      <c r="C11" s="490">
        <v>2</v>
      </c>
      <c r="D11" s="274" t="s">
        <v>590</v>
      </c>
      <c r="E11" s="274" t="s">
        <v>591</v>
      </c>
      <c r="F11" s="455"/>
      <c r="G11" s="455"/>
      <c r="H11" s="490"/>
      <c r="I11" s="455"/>
      <c r="J11" s="455"/>
      <c r="K11" s="455"/>
      <c r="L11" s="455"/>
      <c r="M11" s="455"/>
      <c r="N11" s="455"/>
      <c r="O11" s="490"/>
      <c r="P11" s="483">
        <f>O11*('2-δικαιώμ'!N11+'3-φύλλα2α'!F11)</f>
        <v>0</v>
      </c>
      <c r="Q11" s="491"/>
      <c r="R11" s="491"/>
      <c r="S11" s="491"/>
      <c r="T11" s="315"/>
      <c r="U11" s="316"/>
    </row>
    <row r="12" spans="1:21" s="279" customFormat="1" ht="15">
      <c r="A12" s="474" t="str">
        <f>'1-συμβολαια'!A12</f>
        <v>6ο</v>
      </c>
      <c r="B12" s="485" t="str">
        <f>'1-συμβολαια'!C12</f>
        <v>πληρεξούσιο</v>
      </c>
      <c r="C12" s="486">
        <v>1</v>
      </c>
      <c r="D12" s="274" t="s">
        <v>591</v>
      </c>
      <c r="E12" s="276"/>
      <c r="F12" s="276"/>
      <c r="G12" s="276"/>
      <c r="H12" s="487">
        <v>1</v>
      </c>
      <c r="I12" s="274" t="s">
        <v>591</v>
      </c>
      <c r="J12" s="305"/>
      <c r="K12" s="305"/>
      <c r="L12" s="276"/>
      <c r="M12" s="276"/>
      <c r="N12" s="276"/>
      <c r="O12" s="487"/>
      <c r="P12" s="338">
        <f>O12*('2-δικαιώμ'!N12+'3-φύλλα2α'!F12)</f>
        <v>0</v>
      </c>
      <c r="Q12" s="488"/>
      <c r="R12" s="488"/>
      <c r="S12" s="488"/>
      <c r="T12" s="315"/>
      <c r="U12" s="316"/>
    </row>
    <row r="13" spans="1:21" s="279" customFormat="1" ht="15">
      <c r="A13" s="355" t="str">
        <f>'1-συμβολαια'!A13</f>
        <v>8ο</v>
      </c>
      <c r="B13" s="313" t="str">
        <f>'1-συμβολαια'!C13</f>
        <v>δωρεα [οικόπεδο42μ2</v>
      </c>
      <c r="C13" s="314">
        <v>1</v>
      </c>
      <c r="D13" s="274" t="s">
        <v>591</v>
      </c>
      <c r="E13" s="274"/>
      <c r="F13" s="274"/>
      <c r="G13" s="274"/>
      <c r="H13" s="314">
        <v>3</v>
      </c>
      <c r="I13" s="274" t="s">
        <v>591</v>
      </c>
      <c r="J13" s="274" t="s">
        <v>591</v>
      </c>
      <c r="K13" s="274" t="s">
        <v>591</v>
      </c>
      <c r="L13" s="280"/>
      <c r="M13" s="280"/>
      <c r="N13" s="280"/>
      <c r="O13" s="314">
        <v>2</v>
      </c>
      <c r="P13" s="308">
        <f>O13*('2-δικαιώμ'!N13+'3-φύλλα2α'!F13)</f>
        <v>8000</v>
      </c>
      <c r="Q13" s="315" t="s">
        <v>152</v>
      </c>
      <c r="R13" s="315" t="s">
        <v>151</v>
      </c>
      <c r="S13" s="315"/>
      <c r="T13" s="315"/>
      <c r="U13" s="316"/>
    </row>
    <row r="14" spans="1:21" s="279" customFormat="1" ht="15">
      <c r="A14" s="355" t="str">
        <f>'1-συμβολαια'!A14</f>
        <v>9ο</v>
      </c>
      <c r="B14" s="313" t="str">
        <f>'1-συμβολαια'!C14</f>
        <v xml:space="preserve">γονική ΒΑΣΕΙ 1.113 προσυμφώνου </v>
      </c>
      <c r="C14" s="314">
        <v>1</v>
      </c>
      <c r="D14" s="274" t="s">
        <v>590</v>
      </c>
      <c r="E14" s="274"/>
      <c r="F14" s="274"/>
      <c r="G14" s="274"/>
      <c r="H14" s="314">
        <v>1</v>
      </c>
      <c r="I14" s="274" t="s">
        <v>591</v>
      </c>
      <c r="J14" s="274"/>
      <c r="K14" s="274"/>
      <c r="L14" s="274"/>
      <c r="M14" s="274"/>
      <c r="N14" s="274"/>
      <c r="O14" s="314"/>
      <c r="P14" s="308">
        <f>O14*('2-δικαιώμ'!N14+'3-φύλλα2α'!F14)</f>
        <v>0</v>
      </c>
      <c r="Q14" s="315"/>
      <c r="R14" s="315"/>
      <c r="S14" s="315"/>
      <c r="T14" s="315"/>
      <c r="U14" s="316"/>
    </row>
    <row r="15" spans="1:21" s="279" customFormat="1" ht="15">
      <c r="A15" s="393" t="str">
        <f>'1-συμβολαια'!A15</f>
        <v>10ο</v>
      </c>
      <c r="B15" s="313" t="str">
        <f>'1-συμβολαια'!C15</f>
        <v>δωρεά  ΒΑΣΕΙ 1.114 προσυμφώνου</v>
      </c>
      <c r="C15" s="556">
        <v>1</v>
      </c>
      <c r="D15" s="274" t="s">
        <v>590</v>
      </c>
      <c r="E15" s="280"/>
      <c r="F15" s="280"/>
      <c r="G15" s="280"/>
      <c r="H15" s="314">
        <v>3</v>
      </c>
      <c r="I15" s="274" t="s">
        <v>591</v>
      </c>
      <c r="J15" s="274" t="s">
        <v>591</v>
      </c>
      <c r="K15" s="274" t="s">
        <v>591</v>
      </c>
      <c r="L15" s="274"/>
      <c r="M15" s="274"/>
      <c r="N15" s="274"/>
      <c r="O15" s="314">
        <v>2</v>
      </c>
      <c r="P15" s="308">
        <f>O15*('2-δικαιώμ'!N15+'3-φύλλα2α'!F15)</f>
        <v>12000</v>
      </c>
      <c r="Q15" s="315" t="s">
        <v>152</v>
      </c>
      <c r="R15" s="315" t="s">
        <v>151</v>
      </c>
      <c r="S15" s="315"/>
      <c r="T15" s="315"/>
      <c r="U15" s="316"/>
    </row>
    <row r="16" spans="1:21" s="279" customFormat="1" ht="15">
      <c r="A16" s="393">
        <f>'1-συμβολαια'!A16</f>
        <v>0</v>
      </c>
      <c r="B16" s="313" t="str">
        <f>'1-συμβολαια'!C16</f>
        <v xml:space="preserve">κάθετος ΣΥΣΤΑΣΗ </v>
      </c>
      <c r="C16" s="556">
        <v>1</v>
      </c>
      <c r="D16" s="274" t="s">
        <v>590</v>
      </c>
      <c r="E16" s="280"/>
      <c r="F16" s="274"/>
      <c r="G16" s="274"/>
      <c r="H16" s="314"/>
      <c r="I16" s="274"/>
      <c r="J16" s="274"/>
      <c r="K16" s="274"/>
      <c r="L16" s="274"/>
      <c r="M16" s="274"/>
      <c r="N16" s="274"/>
      <c r="O16" s="314"/>
      <c r="P16" s="308">
        <f>O16*('2-δικαιώμ'!N16+'3-φύλλα2α'!F16)</f>
        <v>0</v>
      </c>
      <c r="Q16" s="315"/>
      <c r="R16" s="315"/>
      <c r="S16" s="315"/>
      <c r="T16" s="315"/>
      <c r="U16" s="316"/>
    </row>
    <row r="17" spans="1:25" ht="15.75">
      <c r="A17" s="643" t="s">
        <v>47</v>
      </c>
      <c r="B17" s="644"/>
      <c r="C17" s="644"/>
      <c r="D17" s="644"/>
      <c r="E17" s="644"/>
      <c r="F17" s="644"/>
      <c r="G17" s="644"/>
      <c r="H17" s="644"/>
      <c r="I17" s="644"/>
      <c r="J17" s="644"/>
      <c r="K17" s="644"/>
      <c r="L17" s="644"/>
      <c r="M17" s="644"/>
      <c r="N17" s="644"/>
      <c r="O17" s="644"/>
      <c r="P17" s="107">
        <f>SUM(P3:P13)</f>
        <v>11800</v>
      </c>
    </row>
    <row r="19" spans="1:25" ht="15.75">
      <c r="D19" s="8">
        <v>1113</v>
      </c>
      <c r="E19" s="8" t="s">
        <v>553</v>
      </c>
      <c r="Q19" s="153" t="s">
        <v>148</v>
      </c>
      <c r="R19" s="124"/>
      <c r="S19" s="124"/>
      <c r="T19" s="124"/>
      <c r="U19" s="124"/>
      <c r="V19" s="124"/>
      <c r="W19" s="124"/>
      <c r="X19" s="124"/>
      <c r="Y19" s="114"/>
    </row>
    <row r="20" spans="1:25" ht="15.75">
      <c r="D20" s="8">
        <v>1114</v>
      </c>
      <c r="E20" s="8" t="s">
        <v>579</v>
      </c>
      <c r="R20" s="139" t="s">
        <v>149</v>
      </c>
      <c r="S20" s="139"/>
      <c r="T20" s="139"/>
      <c r="U20" s="139"/>
      <c r="V20" s="139"/>
      <c r="W20" s="139"/>
      <c r="X20" s="139"/>
    </row>
    <row r="21" spans="1:25" ht="15.75">
      <c r="D21" s="8">
        <v>1115</v>
      </c>
      <c r="E21" s="8" t="s">
        <v>553</v>
      </c>
      <c r="S21" s="153" t="s">
        <v>150</v>
      </c>
    </row>
    <row r="22" spans="1:25">
      <c r="D22" s="8">
        <v>1469</v>
      </c>
      <c r="E22" s="8" t="s">
        <v>552</v>
      </c>
    </row>
    <row r="23" spans="1:25">
      <c r="E23" s="8" t="s">
        <v>553</v>
      </c>
    </row>
    <row r="24" spans="1:25">
      <c r="B24" s="130"/>
      <c r="E24" s="8" t="s">
        <v>552</v>
      </c>
    </row>
    <row r="25" spans="1:25">
      <c r="B25" s="131"/>
      <c r="E25" s="8" t="s">
        <v>552</v>
      </c>
    </row>
    <row r="26" spans="1:25">
      <c r="D26" s="8">
        <v>1463</v>
      </c>
      <c r="E26" s="8" t="s">
        <v>553</v>
      </c>
    </row>
    <row r="27" spans="1:25">
      <c r="D27" s="8">
        <v>1470</v>
      </c>
      <c r="E27" s="8" t="s">
        <v>554</v>
      </c>
    </row>
    <row r="28" spans="1:25">
      <c r="D28" s="8">
        <v>1471</v>
      </c>
      <c r="E28" s="8" t="s">
        <v>553</v>
      </c>
    </row>
    <row r="29" spans="1:25">
      <c r="D29" s="8">
        <v>1472</v>
      </c>
      <c r="E29" s="8" t="s">
        <v>554</v>
      </c>
    </row>
    <row r="30" spans="1:25">
      <c r="E30" s="8" t="s">
        <v>555</v>
      </c>
    </row>
  </sheetData>
  <mergeCells count="8">
    <mergeCell ref="Q1:U2"/>
    <mergeCell ref="A17:O17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42"/>
  <sheetViews>
    <sheetView workbookViewId="0">
      <pane ySplit="2" topLeftCell="A3" activePane="bottomLeft" state="frozen"/>
      <selection pane="bottomLeft" activeCell="R49" sqref="R48:R49"/>
    </sheetView>
  </sheetViews>
  <sheetFormatPr defaultRowHeight="11.25"/>
  <cols>
    <col min="1" max="1" width="7.28515625" style="8" bestFit="1" customWidth="1"/>
    <col min="2" max="2" width="47.5703125" style="91" customWidth="1"/>
    <col min="3" max="3" width="11.5703125" style="8" customWidth="1"/>
    <col min="4" max="5" width="7.85546875" style="3" customWidth="1"/>
    <col min="6" max="6" width="6.85546875" style="8" customWidth="1"/>
    <col min="7" max="7" width="7.140625" style="8" customWidth="1"/>
    <col min="8" max="8" width="8.5703125" style="8" bestFit="1" customWidth="1"/>
    <col min="9" max="9" width="8.140625" style="8" bestFit="1" customWidth="1"/>
    <col min="10" max="11" width="7.28515625" style="8" customWidth="1"/>
    <col min="12" max="12" width="6.85546875" style="8" customWidth="1"/>
    <col min="13" max="13" width="8.140625" style="8" customWidth="1"/>
    <col min="14" max="14" width="10.5703125" style="8" customWidth="1"/>
    <col min="15" max="15" width="8.42578125" style="8" customWidth="1"/>
    <col min="16" max="16" width="10.28515625" style="8" customWidth="1"/>
    <col min="17" max="17" width="13.28515625" style="8" customWidth="1"/>
    <col min="18" max="18" width="9.140625" style="82" customWidth="1"/>
    <col min="19" max="22" width="7.28515625" style="82" customWidth="1"/>
    <col min="23" max="23" width="7.140625" style="82" customWidth="1"/>
    <col min="24" max="24" width="4.85546875" style="82" customWidth="1"/>
    <col min="25" max="25" width="5.85546875" style="82" customWidth="1"/>
    <col min="26" max="26" width="5" style="82" customWidth="1"/>
    <col min="27" max="27" width="8.85546875" style="82" customWidth="1"/>
    <col min="28" max="28" width="7.85546875" style="82" customWidth="1"/>
    <col min="29" max="29" width="7.5703125" style="82" customWidth="1"/>
    <col min="30" max="31" width="7.140625" style="82" customWidth="1"/>
    <col min="32" max="32" width="7.5703125" style="82" customWidth="1"/>
    <col min="33" max="33" width="6.28515625" style="82" customWidth="1"/>
    <col min="34" max="34" width="8.7109375" style="82" customWidth="1"/>
    <col min="35" max="35" width="7.5703125" style="82" customWidth="1"/>
    <col min="36" max="38" width="6.28515625" style="82" customWidth="1"/>
    <col min="39" max="39" width="8.42578125" style="82" customWidth="1"/>
    <col min="40" max="40" width="11.7109375" style="83" customWidth="1"/>
    <col min="41" max="41" width="22.7109375" style="82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597" t="s">
        <v>1</v>
      </c>
      <c r="B1" s="671" t="s">
        <v>0</v>
      </c>
      <c r="C1" s="675" t="s">
        <v>7</v>
      </c>
      <c r="D1" s="673" t="s">
        <v>3</v>
      </c>
      <c r="E1" s="674"/>
      <c r="F1" s="662" t="s">
        <v>418</v>
      </c>
      <c r="G1" s="663"/>
      <c r="H1" s="663"/>
      <c r="I1" s="663"/>
      <c r="J1" s="663"/>
      <c r="K1" s="663"/>
      <c r="L1" s="664"/>
      <c r="M1" s="665" t="s">
        <v>421</v>
      </c>
      <c r="N1" s="666"/>
      <c r="O1" s="667" t="s">
        <v>257</v>
      </c>
      <c r="P1" s="668"/>
      <c r="Q1" s="669"/>
      <c r="R1" s="670" t="s">
        <v>178</v>
      </c>
      <c r="S1" s="670"/>
      <c r="T1" s="670"/>
      <c r="U1" s="670"/>
      <c r="V1" s="670"/>
      <c r="W1" s="670"/>
      <c r="X1" s="670"/>
      <c r="Y1" s="670"/>
      <c r="Z1" s="670"/>
      <c r="AA1" s="670"/>
      <c r="AB1" s="670"/>
      <c r="AC1" s="670"/>
      <c r="AD1" s="670"/>
      <c r="AE1" s="670"/>
      <c r="AF1" s="670"/>
      <c r="AG1" s="670"/>
      <c r="AH1" s="670"/>
      <c r="AI1" s="670"/>
      <c r="AJ1" s="670"/>
      <c r="AK1" s="670"/>
      <c r="AL1" s="670"/>
      <c r="AM1" s="670"/>
      <c r="AN1" s="670"/>
      <c r="AO1" s="670"/>
    </row>
    <row r="2" spans="1:41" ht="23.25" thickBot="1">
      <c r="A2" s="598"/>
      <c r="B2" s="672"/>
      <c r="C2" s="676"/>
      <c r="D2" s="159" t="s">
        <v>4</v>
      </c>
      <c r="E2" s="146" t="s">
        <v>9</v>
      </c>
      <c r="F2" s="233" t="s">
        <v>4</v>
      </c>
      <c r="G2" s="160" t="s">
        <v>9</v>
      </c>
      <c r="H2" s="320" t="s">
        <v>47</v>
      </c>
      <c r="I2" s="233" t="s">
        <v>9</v>
      </c>
      <c r="J2" s="321" t="s">
        <v>363</v>
      </c>
      <c r="K2" s="321" t="s">
        <v>387</v>
      </c>
      <c r="L2" s="322" t="s">
        <v>365</v>
      </c>
      <c r="M2" s="233" t="s">
        <v>23</v>
      </c>
      <c r="N2" s="323" t="s">
        <v>88</v>
      </c>
      <c r="O2" s="233" t="s">
        <v>23</v>
      </c>
      <c r="P2" s="297" t="s">
        <v>9</v>
      </c>
      <c r="Q2" s="395" t="s">
        <v>419</v>
      </c>
      <c r="R2" s="162" t="s">
        <v>129</v>
      </c>
      <c r="S2" s="162" t="s">
        <v>176</v>
      </c>
      <c r="T2" s="162" t="s">
        <v>130</v>
      </c>
      <c r="U2" s="162" t="s">
        <v>259</v>
      </c>
      <c r="V2" s="162" t="s">
        <v>131</v>
      </c>
      <c r="W2" s="162" t="s">
        <v>260</v>
      </c>
      <c r="X2" s="162" t="s">
        <v>153</v>
      </c>
      <c r="Y2" s="162" t="s">
        <v>177</v>
      </c>
      <c r="Z2" s="162" t="s">
        <v>154</v>
      </c>
      <c r="AA2" s="162" t="s">
        <v>261</v>
      </c>
      <c r="AB2" s="162" t="s">
        <v>155</v>
      </c>
      <c r="AC2" s="162" t="s">
        <v>262</v>
      </c>
      <c r="AD2" s="162" t="s">
        <v>156</v>
      </c>
      <c r="AE2" s="162" t="s">
        <v>274</v>
      </c>
      <c r="AF2" s="162" t="s">
        <v>275</v>
      </c>
      <c r="AG2" s="272" t="s">
        <v>276</v>
      </c>
      <c r="AH2" s="162" t="s">
        <v>277</v>
      </c>
      <c r="AI2" s="162" t="s">
        <v>278</v>
      </c>
      <c r="AJ2" s="162" t="s">
        <v>487</v>
      </c>
      <c r="AK2" s="162" t="s">
        <v>488</v>
      </c>
      <c r="AL2" s="162"/>
      <c r="AM2" s="257" t="s">
        <v>516</v>
      </c>
      <c r="AN2" s="357" t="s">
        <v>47</v>
      </c>
      <c r="AO2" s="256" t="s">
        <v>29</v>
      </c>
    </row>
    <row r="3" spans="1:41" s="5" customFormat="1">
      <c r="A3" s="351" t="str">
        <f>'1-συμβολαια'!A3</f>
        <v>1ο</v>
      </c>
      <c r="B3" s="304" t="str">
        <f>'1-συμβολαια'!C3</f>
        <v>γονικής ΠΡΟΣΥΜΦΩΝΟ</v>
      </c>
      <c r="C3" s="305">
        <f>'1-συμβολαια'!D3</f>
        <v>0</v>
      </c>
      <c r="D3" s="319">
        <f>'3-φύλλα2α'!D3</f>
        <v>2</v>
      </c>
      <c r="E3" s="319">
        <f>'3-φύλλα2α'!E3</f>
        <v>4</v>
      </c>
      <c r="F3" s="360">
        <v>2</v>
      </c>
      <c r="G3" s="360">
        <v>2</v>
      </c>
      <c r="H3" s="299">
        <f t="shared" ref="H3:H13" si="0">F3*D3*1100</f>
        <v>4400</v>
      </c>
      <c r="I3" s="547">
        <f t="shared" ref="I3:I13" si="1">E3*G3*1100</f>
        <v>8800</v>
      </c>
      <c r="J3" s="324">
        <f t="shared" ref="J3:J13" si="2">H3*5%</f>
        <v>220</v>
      </c>
      <c r="K3" s="324">
        <f t="shared" ref="K3:K13" si="3">H3*5%</f>
        <v>220</v>
      </c>
      <c r="L3" s="324">
        <f t="shared" ref="L3:L13" si="4">H3*1%</f>
        <v>44</v>
      </c>
      <c r="M3" s="324">
        <f t="shared" ref="M3:M13" si="5">H3-O3</f>
        <v>3916</v>
      </c>
      <c r="N3" s="324">
        <f t="shared" ref="N3:N13" si="6">I3-P3</f>
        <v>8120</v>
      </c>
      <c r="O3" s="324">
        <f t="shared" ref="O3:O13" si="7">J3+K3+L3</f>
        <v>484</v>
      </c>
      <c r="P3" s="324">
        <v>680</v>
      </c>
      <c r="Q3" s="324">
        <f t="shared" ref="Q3:Q13" si="8">O3-P3</f>
        <v>-196</v>
      </c>
      <c r="R3" s="367"/>
      <c r="S3" s="367"/>
      <c r="T3" s="367"/>
      <c r="U3" s="367"/>
      <c r="V3" s="367"/>
      <c r="W3" s="367"/>
      <c r="X3" s="367"/>
      <c r="Y3" s="367"/>
      <c r="Z3" s="367"/>
      <c r="AA3" s="367"/>
      <c r="AB3" s="367"/>
      <c r="AC3" s="367"/>
      <c r="AD3" s="367"/>
      <c r="AE3" s="367"/>
      <c r="AF3" s="325"/>
      <c r="AG3" s="325"/>
      <c r="AH3" s="325"/>
      <c r="AI3" s="325"/>
      <c r="AJ3" s="325"/>
      <c r="AK3" s="325"/>
      <c r="AL3" s="325"/>
      <c r="AM3" s="325">
        <f t="shared" ref="AM3:AM13" si="9">U3+Y3+AA3+AI3+AK3</f>
        <v>0</v>
      </c>
      <c r="AN3" s="325">
        <f t="shared" ref="AN3:AN13" si="10">SUM(R3:AL3)-AM3</f>
        <v>0</v>
      </c>
      <c r="AO3" s="278"/>
    </row>
    <row r="4" spans="1:41" s="5" customFormat="1">
      <c r="A4" s="351" t="str">
        <f>'1-συμβολαια'!A4</f>
        <v>2ο</v>
      </c>
      <c r="B4" s="304" t="str">
        <f>'1-συμβολαια'!C4</f>
        <v>δωρεάς ΠΡΟΣΥΜΦΩΝΟ</v>
      </c>
      <c r="C4" s="305">
        <f>'1-συμβολαια'!D4</f>
        <v>0</v>
      </c>
      <c r="D4" s="319">
        <f>'3-φύλλα2α'!D4</f>
        <v>2</v>
      </c>
      <c r="E4" s="319">
        <f>'3-φύλλα2α'!E4</f>
        <v>4</v>
      </c>
      <c r="F4" s="360">
        <v>2</v>
      </c>
      <c r="G4" s="360">
        <v>2</v>
      </c>
      <c r="H4" s="299">
        <f t="shared" si="0"/>
        <v>4400</v>
      </c>
      <c r="I4" s="547">
        <f t="shared" si="1"/>
        <v>8800</v>
      </c>
      <c r="J4" s="324">
        <f t="shared" si="2"/>
        <v>220</v>
      </c>
      <c r="K4" s="324">
        <f t="shared" si="3"/>
        <v>220</v>
      </c>
      <c r="L4" s="324">
        <f t="shared" si="4"/>
        <v>44</v>
      </c>
      <c r="M4" s="324">
        <f t="shared" si="5"/>
        <v>3916</v>
      </c>
      <c r="N4" s="324">
        <f t="shared" si="6"/>
        <v>8120</v>
      </c>
      <c r="O4" s="324">
        <f t="shared" si="7"/>
        <v>484</v>
      </c>
      <c r="P4" s="324">
        <v>680</v>
      </c>
      <c r="Q4" s="324">
        <f t="shared" si="8"/>
        <v>-196</v>
      </c>
      <c r="R4" s="367"/>
      <c r="S4" s="367"/>
      <c r="T4" s="367"/>
      <c r="U4" s="367"/>
      <c r="V4" s="367"/>
      <c r="W4" s="367"/>
      <c r="X4" s="367"/>
      <c r="Y4" s="367"/>
      <c r="Z4" s="367"/>
      <c r="AA4" s="367"/>
      <c r="AB4" s="367"/>
      <c r="AC4" s="367"/>
      <c r="AD4" s="367"/>
      <c r="AE4" s="367"/>
      <c r="AF4" s="325"/>
      <c r="AG4" s="325"/>
      <c r="AH4" s="325"/>
      <c r="AI4" s="325"/>
      <c r="AJ4" s="325"/>
      <c r="AK4" s="325"/>
      <c r="AL4" s="325"/>
      <c r="AM4" s="325">
        <f t="shared" si="9"/>
        <v>0</v>
      </c>
      <c r="AN4" s="325">
        <f t="shared" si="10"/>
        <v>0</v>
      </c>
      <c r="AO4" s="278"/>
    </row>
    <row r="5" spans="1:41" s="5" customFormat="1">
      <c r="A5" s="351" t="str">
        <f>'1-συμβολαια'!A5</f>
        <v>3ο</v>
      </c>
      <c r="B5" s="304" t="str">
        <f>'1-συμβολαια'!C5</f>
        <v>δωρεάς ΠΡΟΣΥΜΦΩΝΟ [1ο όροφο 55,63μ2</v>
      </c>
      <c r="C5" s="305">
        <f>'1-συμβολαια'!D5</f>
        <v>0</v>
      </c>
      <c r="D5" s="319">
        <f>'3-φύλλα2α'!D5</f>
        <v>2</v>
      </c>
      <c r="E5" s="319">
        <f>'3-φύλλα2α'!E5</f>
        <v>4</v>
      </c>
      <c r="F5" s="360">
        <v>2</v>
      </c>
      <c r="G5" s="360">
        <v>2</v>
      </c>
      <c r="H5" s="299">
        <f t="shared" si="0"/>
        <v>4400</v>
      </c>
      <c r="I5" s="547">
        <f t="shared" si="1"/>
        <v>8800</v>
      </c>
      <c r="J5" s="324">
        <f t="shared" si="2"/>
        <v>220</v>
      </c>
      <c r="K5" s="324">
        <f t="shared" si="3"/>
        <v>220</v>
      </c>
      <c r="L5" s="324">
        <f t="shared" si="4"/>
        <v>44</v>
      </c>
      <c r="M5" s="324">
        <f t="shared" si="5"/>
        <v>3916</v>
      </c>
      <c r="N5" s="324">
        <f t="shared" si="6"/>
        <v>8120</v>
      </c>
      <c r="O5" s="324">
        <f t="shared" si="7"/>
        <v>484</v>
      </c>
      <c r="P5" s="324">
        <v>680</v>
      </c>
      <c r="Q5" s="324">
        <f t="shared" si="8"/>
        <v>-196</v>
      </c>
      <c r="R5" s="367"/>
      <c r="S5" s="367"/>
      <c r="T5" s="367"/>
      <c r="U5" s="367"/>
      <c r="V5" s="367"/>
      <c r="W5" s="367"/>
      <c r="X5" s="367"/>
      <c r="Y5" s="367"/>
      <c r="Z5" s="367"/>
      <c r="AA5" s="367"/>
      <c r="AB5" s="367"/>
      <c r="AC5" s="367"/>
      <c r="AD5" s="367"/>
      <c r="AE5" s="367"/>
      <c r="AF5" s="325"/>
      <c r="AG5" s="325"/>
      <c r="AH5" s="325"/>
      <c r="AI5" s="325"/>
      <c r="AJ5" s="325"/>
      <c r="AK5" s="325"/>
      <c r="AL5" s="325"/>
      <c r="AM5" s="325">
        <f t="shared" si="9"/>
        <v>0</v>
      </c>
      <c r="AN5" s="325">
        <f t="shared" si="10"/>
        <v>0</v>
      </c>
      <c r="AO5" s="278"/>
    </row>
    <row r="6" spans="1:41" s="5" customFormat="1">
      <c r="A6" s="351" t="str">
        <f>'1-συμβολαια'!A6</f>
        <v>4ο</v>
      </c>
      <c r="B6" s="304" t="str">
        <f>'1-συμβολαια'!C6</f>
        <v>πληρεξούσιο</v>
      </c>
      <c r="C6" s="305">
        <f>'1-συμβολαια'!D6</f>
        <v>0</v>
      </c>
      <c r="D6" s="319">
        <f>'3-φύλλα2α'!D6</f>
        <v>2</v>
      </c>
      <c r="E6" s="319">
        <f>'3-φύλλα2α'!E6</f>
        <v>2</v>
      </c>
      <c r="F6" s="360">
        <v>1</v>
      </c>
      <c r="G6" s="360">
        <v>1</v>
      </c>
      <c r="H6" s="299">
        <f t="shared" si="0"/>
        <v>2200</v>
      </c>
      <c r="I6" s="324">
        <f t="shared" si="1"/>
        <v>2200</v>
      </c>
      <c r="J6" s="324">
        <f t="shared" si="2"/>
        <v>110</v>
      </c>
      <c r="K6" s="324">
        <f t="shared" si="3"/>
        <v>110</v>
      </c>
      <c r="L6" s="324">
        <f t="shared" si="4"/>
        <v>22</v>
      </c>
      <c r="M6" s="324">
        <f t="shared" si="5"/>
        <v>1958</v>
      </c>
      <c r="N6" s="324">
        <f t="shared" si="6"/>
        <v>2200</v>
      </c>
      <c r="O6" s="324">
        <f t="shared" si="7"/>
        <v>242</v>
      </c>
      <c r="P6" s="324"/>
      <c r="Q6" s="324">
        <f t="shared" si="8"/>
        <v>242</v>
      </c>
      <c r="R6" s="367"/>
      <c r="S6" s="367"/>
      <c r="T6" s="367"/>
      <c r="U6" s="367"/>
      <c r="V6" s="367"/>
      <c r="W6" s="367"/>
      <c r="X6" s="367"/>
      <c r="Y6" s="367"/>
      <c r="Z6" s="367"/>
      <c r="AA6" s="367"/>
      <c r="AB6" s="367"/>
      <c r="AC6" s="367"/>
      <c r="AD6" s="367"/>
      <c r="AE6" s="367"/>
      <c r="AF6" s="325"/>
      <c r="AG6" s="325"/>
      <c r="AH6" s="325"/>
      <c r="AI6" s="325"/>
      <c r="AJ6" s="325"/>
      <c r="AK6" s="325"/>
      <c r="AL6" s="325"/>
      <c r="AM6" s="325">
        <f t="shared" si="9"/>
        <v>0</v>
      </c>
      <c r="AN6" s="325">
        <f t="shared" si="10"/>
        <v>0</v>
      </c>
      <c r="AO6" s="278"/>
    </row>
    <row r="7" spans="1:41" s="5" customFormat="1">
      <c r="A7" s="351" t="str">
        <f>'1-συμβολαια'!A7</f>
        <v>5ο</v>
      </c>
      <c r="B7" s="304" t="str">
        <f>'1-συμβολαια'!C7</f>
        <v>πληρεξούσιο</v>
      </c>
      <c r="C7" s="305">
        <f>'1-συμβολαια'!D7</f>
        <v>0</v>
      </c>
      <c r="D7" s="319">
        <f>'3-φύλλα2α'!D7</f>
        <v>1</v>
      </c>
      <c r="E7" s="319">
        <f>'3-φύλλα2α'!E7</f>
        <v>1</v>
      </c>
      <c r="F7" s="360">
        <v>1</v>
      </c>
      <c r="G7" s="360">
        <v>1</v>
      </c>
      <c r="H7" s="299">
        <f t="shared" ref="H7" si="11">F7*D7*1100</f>
        <v>1100</v>
      </c>
      <c r="I7" s="324">
        <f t="shared" ref="I7" si="12">E7*G7*1100</f>
        <v>1100</v>
      </c>
      <c r="J7" s="324">
        <f t="shared" ref="J7" si="13">H7*5%</f>
        <v>55</v>
      </c>
      <c r="K7" s="324">
        <f t="shared" ref="K7" si="14">H7*5%</f>
        <v>55</v>
      </c>
      <c r="L7" s="324">
        <f t="shared" ref="L7" si="15">H7*1%</f>
        <v>11</v>
      </c>
      <c r="M7" s="324">
        <f t="shared" ref="M7" si="16">H7-O7</f>
        <v>979</v>
      </c>
      <c r="N7" s="324">
        <f t="shared" ref="N7" si="17">I7-P7</f>
        <v>300</v>
      </c>
      <c r="O7" s="324">
        <f t="shared" ref="O7" si="18">J7+K7+L7</f>
        <v>121</v>
      </c>
      <c r="P7" s="324">
        <v>800</v>
      </c>
      <c r="Q7" s="324">
        <f t="shared" ref="Q7" si="19">O7-P7</f>
        <v>-679</v>
      </c>
      <c r="R7" s="367"/>
      <c r="S7" s="367"/>
      <c r="T7" s="367"/>
      <c r="U7" s="367"/>
      <c r="V7" s="367"/>
      <c r="W7" s="367"/>
      <c r="X7" s="367"/>
      <c r="Y7" s="367"/>
      <c r="Z7" s="367"/>
      <c r="AA7" s="367"/>
      <c r="AB7" s="367"/>
      <c r="AC7" s="367"/>
      <c r="AD7" s="367"/>
      <c r="AE7" s="367"/>
      <c r="AF7" s="325"/>
      <c r="AG7" s="325"/>
      <c r="AH7" s="325"/>
      <c r="AI7" s="325"/>
      <c r="AJ7" s="325"/>
      <c r="AK7" s="325"/>
      <c r="AL7" s="325"/>
      <c r="AM7" s="325">
        <f t="shared" ref="AM7" si="20">U7+Y7+AA7+AI7+AK7</f>
        <v>0</v>
      </c>
      <c r="AN7" s="325">
        <f t="shared" si="10"/>
        <v>0</v>
      </c>
      <c r="AO7" s="278"/>
    </row>
    <row r="8" spans="1:41" s="5" customFormat="1">
      <c r="A8" s="374" t="str">
        <f>'1-συμβολαια'!A8</f>
        <v>7ο</v>
      </c>
      <c r="B8" s="304" t="str">
        <f>'1-συμβολαια'!C8</f>
        <v>διανομή [34,60% {= 7.480.642δρχ}] &amp; {65,40% {= 14.139.710δρχ}]</v>
      </c>
      <c r="C8" s="305">
        <f>'1-συμβολαια'!D8</f>
        <v>21620352</v>
      </c>
      <c r="D8" s="319">
        <f>'3-φύλλα2α'!D8</f>
        <v>5</v>
      </c>
      <c r="E8" s="319">
        <f>'3-φύλλα2α'!E8</f>
        <v>5</v>
      </c>
      <c r="F8" s="360">
        <v>2</v>
      </c>
      <c r="G8" s="360">
        <v>2</v>
      </c>
      <c r="H8" s="299">
        <f t="shared" si="0"/>
        <v>11000</v>
      </c>
      <c r="I8" s="324">
        <f t="shared" si="1"/>
        <v>11000</v>
      </c>
      <c r="J8" s="324">
        <f t="shared" si="2"/>
        <v>550</v>
      </c>
      <c r="K8" s="324">
        <f t="shared" si="3"/>
        <v>550</v>
      </c>
      <c r="L8" s="324">
        <f t="shared" si="4"/>
        <v>110</v>
      </c>
      <c r="M8" s="324">
        <f t="shared" si="5"/>
        <v>9790</v>
      </c>
      <c r="N8" s="324">
        <f t="shared" si="6"/>
        <v>10320</v>
      </c>
      <c r="O8" s="324">
        <f t="shared" si="7"/>
        <v>1210</v>
      </c>
      <c r="P8" s="324">
        <v>680</v>
      </c>
      <c r="Q8" s="324">
        <f t="shared" si="8"/>
        <v>530</v>
      </c>
      <c r="R8" s="367">
        <f>4*500+4*500+2*500</f>
        <v>5000</v>
      </c>
      <c r="S8" s="367">
        <f>3*500</f>
        <v>1500</v>
      </c>
      <c r="T8" s="367">
        <f>H24</f>
        <v>2200</v>
      </c>
      <c r="U8" s="367">
        <v>800</v>
      </c>
      <c r="V8" s="367">
        <v>2200</v>
      </c>
      <c r="W8" s="367">
        <v>800</v>
      </c>
      <c r="X8" s="367"/>
      <c r="Y8" s="367"/>
      <c r="Z8" s="367"/>
      <c r="AA8" s="367"/>
      <c r="AB8" s="367"/>
      <c r="AC8" s="367"/>
      <c r="AD8" s="367">
        <v>1100</v>
      </c>
      <c r="AE8" s="367"/>
      <c r="AF8" s="325"/>
      <c r="AG8" s="325"/>
      <c r="AH8" s="325">
        <v>2200</v>
      </c>
      <c r="AI8" s="325">
        <v>800</v>
      </c>
      <c r="AJ8" s="325"/>
      <c r="AK8" s="325"/>
      <c r="AL8" s="325"/>
      <c r="AM8" s="325">
        <f t="shared" si="9"/>
        <v>1600</v>
      </c>
      <c r="AN8" s="325">
        <f t="shared" si="10"/>
        <v>15000</v>
      </c>
      <c r="AO8" s="278"/>
    </row>
    <row r="9" spans="1:41" s="5" customFormat="1">
      <c r="A9" s="374">
        <f>'1-συμβολαια'!A9</f>
        <v>0</v>
      </c>
      <c r="B9" s="304" t="str">
        <f>'1-συμβολαια'!C9</f>
        <v>εξισορόπηση διαφοράς διανεμομένων</v>
      </c>
      <c r="C9" s="305">
        <f>'1-συμβολαια'!D9</f>
        <v>3329534</v>
      </c>
      <c r="D9" s="319">
        <f>'3-φύλλα2α'!D9</f>
        <v>5</v>
      </c>
      <c r="E9" s="319">
        <f>'3-φύλλα2α'!E9</f>
        <v>0</v>
      </c>
      <c r="F9" s="360">
        <v>2</v>
      </c>
      <c r="G9" s="360"/>
      <c r="H9" s="299">
        <f t="shared" ref="H9" si="21">F9*D9*1100</f>
        <v>11000</v>
      </c>
      <c r="I9" s="324">
        <f t="shared" ref="I9" si="22">E9*G9*1100</f>
        <v>0</v>
      </c>
      <c r="J9" s="324">
        <f t="shared" ref="J9" si="23">H9*5%</f>
        <v>550</v>
      </c>
      <c r="K9" s="324">
        <f t="shared" ref="K9" si="24">H9*5%</f>
        <v>550</v>
      </c>
      <c r="L9" s="324">
        <f t="shared" ref="L9" si="25">H9*1%</f>
        <v>110</v>
      </c>
      <c r="M9" s="324">
        <f t="shared" ref="M9" si="26">H9-O9</f>
        <v>9790</v>
      </c>
      <c r="N9" s="324">
        <f t="shared" ref="N9" si="27">I9-P9</f>
        <v>-800</v>
      </c>
      <c r="O9" s="324">
        <f t="shared" ref="O9" si="28">J9+K9+L9</f>
        <v>1210</v>
      </c>
      <c r="P9" s="324">
        <v>800</v>
      </c>
      <c r="Q9" s="324">
        <f t="shared" ref="Q9" si="29">O9-P9</f>
        <v>410</v>
      </c>
      <c r="R9" s="367"/>
      <c r="S9" s="367"/>
      <c r="T9" s="367"/>
      <c r="U9" s="367"/>
      <c r="V9" s="367"/>
      <c r="W9" s="367"/>
      <c r="X9" s="367"/>
      <c r="Y9" s="367"/>
      <c r="Z9" s="367"/>
      <c r="AA9" s="367"/>
      <c r="AB9" s="367"/>
      <c r="AC9" s="367"/>
      <c r="AD9" s="367"/>
      <c r="AE9" s="367"/>
      <c r="AF9" s="325"/>
      <c r="AG9" s="325"/>
      <c r="AH9" s="325"/>
      <c r="AI9" s="325"/>
      <c r="AJ9" s="325"/>
      <c r="AK9" s="325"/>
      <c r="AL9" s="325"/>
      <c r="AM9" s="325">
        <f t="shared" ref="AM9" si="30">U9+Y9+AA9+AI9+AK9</f>
        <v>0</v>
      </c>
      <c r="AN9" s="325">
        <f t="shared" si="10"/>
        <v>0</v>
      </c>
      <c r="AO9" s="278"/>
    </row>
    <row r="10" spans="1:41" s="5" customFormat="1">
      <c r="A10" s="374">
        <f>'1-συμβολαια'!A10</f>
        <v>0</v>
      </c>
      <c r="B10" s="304" t="str">
        <f>'1-συμβολαια'!C10</f>
        <v>χρήσης ΚΑΝΟΝΙΣΝΟΣ</v>
      </c>
      <c r="C10" s="305">
        <f>'1-συμβολαια'!D10</f>
        <v>0</v>
      </c>
      <c r="D10" s="319">
        <f>'3-φύλλα2α'!D10</f>
        <v>5</v>
      </c>
      <c r="E10" s="319">
        <f>'3-φύλλα2α'!E10</f>
        <v>0</v>
      </c>
      <c r="F10" s="360">
        <v>2</v>
      </c>
      <c r="G10" s="360"/>
      <c r="H10" s="299">
        <f t="shared" si="0"/>
        <v>11000</v>
      </c>
      <c r="I10" s="324">
        <f t="shared" si="1"/>
        <v>0</v>
      </c>
      <c r="J10" s="324">
        <f t="shared" si="2"/>
        <v>550</v>
      </c>
      <c r="K10" s="324">
        <f t="shared" si="3"/>
        <v>550</v>
      </c>
      <c r="L10" s="324">
        <f t="shared" si="4"/>
        <v>110</v>
      </c>
      <c r="M10" s="324">
        <f t="shared" si="5"/>
        <v>9790</v>
      </c>
      <c r="N10" s="324">
        <f t="shared" si="6"/>
        <v>-640</v>
      </c>
      <c r="O10" s="324">
        <f t="shared" si="7"/>
        <v>1210</v>
      </c>
      <c r="P10" s="324">
        <v>640</v>
      </c>
      <c r="Q10" s="324">
        <f t="shared" si="8"/>
        <v>570</v>
      </c>
      <c r="R10" s="367"/>
      <c r="S10" s="367"/>
      <c r="T10" s="367"/>
      <c r="U10" s="367"/>
      <c r="V10" s="367"/>
      <c r="W10" s="367"/>
      <c r="X10" s="367"/>
      <c r="Y10" s="367"/>
      <c r="Z10" s="367"/>
      <c r="AA10" s="367"/>
      <c r="AB10" s="367"/>
      <c r="AC10" s="367"/>
      <c r="AD10" s="367"/>
      <c r="AE10" s="367"/>
      <c r="AF10" s="325"/>
      <c r="AG10" s="325"/>
      <c r="AH10" s="325"/>
      <c r="AI10" s="325"/>
      <c r="AJ10" s="325"/>
      <c r="AK10" s="325"/>
      <c r="AL10" s="325"/>
      <c r="AM10" s="325">
        <f t="shared" si="9"/>
        <v>0</v>
      </c>
      <c r="AN10" s="325">
        <f t="shared" si="10"/>
        <v>0</v>
      </c>
      <c r="AO10" s="278"/>
    </row>
    <row r="11" spans="1:41" s="5" customFormat="1" ht="12" thickBot="1">
      <c r="A11" s="460">
        <f>'1-συμβολαια'!A11</f>
        <v>0</v>
      </c>
      <c r="B11" s="471" t="str">
        <f>'1-συμβολαια'!C11</f>
        <v xml:space="preserve">κάθετος ΣΥΣΤΑΣΗ </v>
      </c>
      <c r="C11" s="455">
        <f>'1-συμβολαια'!D11</f>
        <v>0</v>
      </c>
      <c r="D11" s="493">
        <f>'3-φύλλα2α'!D11</f>
        <v>5</v>
      </c>
      <c r="E11" s="493">
        <f>'3-φύλλα2α'!E11</f>
        <v>0</v>
      </c>
      <c r="F11" s="494">
        <v>2</v>
      </c>
      <c r="G11" s="494"/>
      <c r="H11" s="456">
        <f t="shared" ref="H11:H12" si="31">F11*D11*1100</f>
        <v>11000</v>
      </c>
      <c r="I11" s="495">
        <f t="shared" ref="I11:I12" si="32">E11*G11*1100</f>
        <v>0</v>
      </c>
      <c r="J11" s="495">
        <f t="shared" ref="J11" si="33">H11*5%</f>
        <v>550</v>
      </c>
      <c r="K11" s="495">
        <f t="shared" ref="K11" si="34">H11*5%</f>
        <v>550</v>
      </c>
      <c r="L11" s="495">
        <f t="shared" ref="L11" si="35">H11*1%</f>
        <v>110</v>
      </c>
      <c r="M11" s="495">
        <f t="shared" ref="M11" si="36">H11-O11</f>
        <v>9790</v>
      </c>
      <c r="N11" s="495">
        <f t="shared" ref="N11" si="37">I11-P11</f>
        <v>-800</v>
      </c>
      <c r="O11" s="495">
        <f t="shared" ref="O11" si="38">J11+K11+L11</f>
        <v>1210</v>
      </c>
      <c r="P11" s="495">
        <v>800</v>
      </c>
      <c r="Q11" s="495">
        <f t="shared" ref="Q11" si="39">O11-P11</f>
        <v>410</v>
      </c>
      <c r="R11" s="496"/>
      <c r="S11" s="496"/>
      <c r="T11" s="496"/>
      <c r="U11" s="496"/>
      <c r="V11" s="496"/>
      <c r="W11" s="496"/>
      <c r="X11" s="496"/>
      <c r="Y11" s="496"/>
      <c r="Z11" s="496"/>
      <c r="AA11" s="496"/>
      <c r="AB11" s="496"/>
      <c r="AC11" s="496"/>
      <c r="AD11" s="496"/>
      <c r="AE11" s="496"/>
      <c r="AF11" s="496"/>
      <c r="AG11" s="496"/>
      <c r="AH11" s="496">
        <v>2200</v>
      </c>
      <c r="AI11" s="496">
        <v>800</v>
      </c>
      <c r="AJ11" s="496"/>
      <c r="AK11" s="496"/>
      <c r="AL11" s="496"/>
      <c r="AM11" s="496">
        <f t="shared" ref="AM11" si="40">U11+Y11+AA11+AI11+AK11</f>
        <v>800</v>
      </c>
      <c r="AN11" s="496">
        <f t="shared" ref="AN11" si="41">SUM(R11:AL11)-AM11</f>
        <v>2200</v>
      </c>
      <c r="AO11" s="473"/>
    </row>
    <row r="12" spans="1:41" s="5" customFormat="1">
      <c r="A12" s="371" t="str">
        <f>'1-συμβολαια'!A12</f>
        <v>6ο</v>
      </c>
      <c r="B12" s="342" t="str">
        <f>'1-συμβολαια'!C12</f>
        <v>πληρεξούσιο</v>
      </c>
      <c r="C12" s="305">
        <f>'1-συμβολαια'!D12</f>
        <v>0</v>
      </c>
      <c r="D12" s="340">
        <f>'3-φύλλα2α'!D12</f>
        <v>1</v>
      </c>
      <c r="E12" s="340">
        <f>'3-φύλλα2α'!E12</f>
        <v>1</v>
      </c>
      <c r="F12" s="360">
        <v>1</v>
      </c>
      <c r="G12" s="360">
        <v>1</v>
      </c>
      <c r="H12" s="299">
        <f t="shared" si="31"/>
        <v>1100</v>
      </c>
      <c r="I12" s="324">
        <f t="shared" si="32"/>
        <v>1100</v>
      </c>
      <c r="J12" s="492">
        <f t="shared" si="2"/>
        <v>55</v>
      </c>
      <c r="K12" s="492">
        <f t="shared" si="3"/>
        <v>55</v>
      </c>
      <c r="L12" s="492">
        <f t="shared" si="4"/>
        <v>11</v>
      </c>
      <c r="M12" s="492">
        <f t="shared" si="5"/>
        <v>979</v>
      </c>
      <c r="N12" s="492">
        <f t="shared" si="6"/>
        <v>300</v>
      </c>
      <c r="O12" s="492">
        <f t="shared" si="7"/>
        <v>121</v>
      </c>
      <c r="P12" s="492">
        <v>800</v>
      </c>
      <c r="Q12" s="492">
        <f t="shared" si="8"/>
        <v>-679</v>
      </c>
      <c r="R12" s="325"/>
      <c r="S12" s="325"/>
      <c r="T12" s="325"/>
      <c r="U12" s="325"/>
      <c r="V12" s="325"/>
      <c r="W12" s="325"/>
      <c r="X12" s="325"/>
      <c r="Y12" s="325"/>
      <c r="Z12" s="325"/>
      <c r="AA12" s="325"/>
      <c r="AB12" s="325"/>
      <c r="AC12" s="325"/>
      <c r="AD12" s="325"/>
      <c r="AE12" s="325"/>
      <c r="AF12" s="325"/>
      <c r="AG12" s="325"/>
      <c r="AH12" s="325"/>
      <c r="AI12" s="325"/>
      <c r="AJ12" s="325"/>
      <c r="AK12" s="325"/>
      <c r="AL12" s="325"/>
      <c r="AM12" s="325">
        <f t="shared" si="9"/>
        <v>0</v>
      </c>
      <c r="AN12" s="325">
        <f t="shared" si="10"/>
        <v>0</v>
      </c>
      <c r="AO12" s="470"/>
    </row>
    <row r="13" spans="1:41" s="5" customFormat="1">
      <c r="A13" s="351" t="str">
        <f>'1-συμβολαια'!A13</f>
        <v>8ο</v>
      </c>
      <c r="B13" s="304" t="str">
        <f>'1-συμβολαια'!C13</f>
        <v>δωρεα [οικόπεδο42μ2</v>
      </c>
      <c r="C13" s="305">
        <f>'1-συμβολαια'!D13</f>
        <v>725760</v>
      </c>
      <c r="D13" s="319">
        <f>'3-φύλλα2α'!D13</f>
        <v>4</v>
      </c>
      <c r="E13" s="319">
        <f>'3-φύλλα2α'!E13</f>
        <v>4</v>
      </c>
      <c r="F13" s="280">
        <v>4</v>
      </c>
      <c r="G13" s="557">
        <v>2</v>
      </c>
      <c r="H13" s="299">
        <f t="shared" si="0"/>
        <v>17600</v>
      </c>
      <c r="I13" s="392">
        <f t="shared" si="1"/>
        <v>8800</v>
      </c>
      <c r="J13" s="324">
        <f t="shared" si="2"/>
        <v>880</v>
      </c>
      <c r="K13" s="324">
        <f t="shared" si="3"/>
        <v>880</v>
      </c>
      <c r="L13" s="324">
        <f t="shared" si="4"/>
        <v>176</v>
      </c>
      <c r="M13" s="324">
        <f t="shared" si="5"/>
        <v>15664</v>
      </c>
      <c r="N13" s="324">
        <f t="shared" si="6"/>
        <v>8800</v>
      </c>
      <c r="O13" s="324">
        <f t="shared" si="7"/>
        <v>1936</v>
      </c>
      <c r="P13" s="324"/>
      <c r="Q13" s="324">
        <f t="shared" si="8"/>
        <v>1936</v>
      </c>
      <c r="R13" s="367">
        <f>2*500+2*500+2*500+4*500</f>
        <v>5000</v>
      </c>
      <c r="S13" s="367">
        <f>4*500</f>
        <v>2000</v>
      </c>
      <c r="T13" s="367">
        <v>4400</v>
      </c>
      <c r="U13" s="367">
        <v>800</v>
      </c>
      <c r="V13" s="367">
        <v>4400</v>
      </c>
      <c r="W13" s="367">
        <v>800</v>
      </c>
      <c r="X13" s="367"/>
      <c r="Y13" s="367"/>
      <c r="Z13" s="367"/>
      <c r="AA13" s="367"/>
      <c r="AB13" s="367"/>
      <c r="AC13" s="367"/>
      <c r="AD13" s="367">
        <v>2200</v>
      </c>
      <c r="AE13" s="367">
        <v>2200</v>
      </c>
      <c r="AF13" s="325">
        <v>500</v>
      </c>
      <c r="AG13" s="325"/>
      <c r="AH13" s="325">
        <v>2200</v>
      </c>
      <c r="AI13" s="325">
        <v>800</v>
      </c>
      <c r="AJ13" s="325"/>
      <c r="AK13" s="325"/>
      <c r="AL13" s="325"/>
      <c r="AM13" s="325">
        <f t="shared" si="9"/>
        <v>1600</v>
      </c>
      <c r="AN13" s="325">
        <f t="shared" si="10"/>
        <v>23700</v>
      </c>
      <c r="AO13" s="278"/>
    </row>
    <row r="14" spans="1:41" s="5" customFormat="1">
      <c r="A14" s="351" t="str">
        <f>'1-συμβολαια'!A14</f>
        <v>9ο</v>
      </c>
      <c r="B14" s="304" t="str">
        <f>'1-συμβολαια'!C14</f>
        <v xml:space="preserve">γονική ΒΑΣΕΙ 1.113 προσυμφώνου </v>
      </c>
      <c r="C14" s="305">
        <f>'1-συμβολαια'!D14</f>
        <v>5112496</v>
      </c>
      <c r="D14" s="319">
        <f>'3-φύλλα2α'!D14</f>
        <v>4</v>
      </c>
      <c r="E14" s="319">
        <f>'3-φύλλα2α'!E14</f>
        <v>4</v>
      </c>
      <c r="F14" s="360">
        <v>2</v>
      </c>
      <c r="G14" s="360">
        <v>2</v>
      </c>
      <c r="H14" s="299">
        <f t="shared" ref="H14:H16" si="42">F14*D14*1100</f>
        <v>8800</v>
      </c>
      <c r="I14" s="324">
        <f t="shared" ref="I14:I16" si="43">E14*G14*1100</f>
        <v>8800</v>
      </c>
      <c r="J14" s="324">
        <f t="shared" ref="J14:J16" si="44">H14*5%</f>
        <v>440</v>
      </c>
      <c r="K14" s="324">
        <f t="shared" ref="K14:K16" si="45">H14*5%</f>
        <v>440</v>
      </c>
      <c r="L14" s="324">
        <f t="shared" ref="L14:L16" si="46">H14*1%</f>
        <v>88</v>
      </c>
      <c r="M14" s="324">
        <f t="shared" ref="M14:M16" si="47">H14-O14</f>
        <v>7832</v>
      </c>
      <c r="N14" s="324">
        <f t="shared" ref="N14:N16" si="48">I14-P14</f>
        <v>8000</v>
      </c>
      <c r="O14" s="324">
        <f t="shared" ref="O14:O16" si="49">J14+K14+L14</f>
        <v>968</v>
      </c>
      <c r="P14" s="324">
        <v>800</v>
      </c>
      <c r="Q14" s="324">
        <f t="shared" ref="Q14:Q16" si="50">O14-P14</f>
        <v>168</v>
      </c>
      <c r="R14" s="367">
        <f>8*500+2*500+5*500</f>
        <v>7500</v>
      </c>
      <c r="S14" s="367">
        <f>3*500</f>
        <v>1500</v>
      </c>
      <c r="T14" s="367">
        <v>4400</v>
      </c>
      <c r="U14" s="367">
        <v>800</v>
      </c>
      <c r="V14" s="367">
        <v>4400</v>
      </c>
      <c r="W14" s="367">
        <v>800</v>
      </c>
      <c r="X14" s="367"/>
      <c r="Y14" s="367"/>
      <c r="Z14" s="367"/>
      <c r="AA14" s="367"/>
      <c r="AB14" s="367"/>
      <c r="AC14" s="367"/>
      <c r="AD14" s="367">
        <v>2200</v>
      </c>
      <c r="AE14" s="367">
        <v>2200</v>
      </c>
      <c r="AF14" s="325">
        <v>500</v>
      </c>
      <c r="AG14" s="325"/>
      <c r="AH14" s="325">
        <v>2200</v>
      </c>
      <c r="AI14" s="325">
        <v>800</v>
      </c>
      <c r="AJ14" s="325"/>
      <c r="AK14" s="325"/>
      <c r="AL14" s="325"/>
      <c r="AM14" s="325">
        <f t="shared" ref="AM14:AM16" si="51">U14+Y14+AA14+AI14+AK14</f>
        <v>1600</v>
      </c>
      <c r="AN14" s="325">
        <f t="shared" ref="AN14:AN16" si="52">SUM(R14:AL14)-AM14</f>
        <v>25700</v>
      </c>
      <c r="AO14" s="278"/>
    </row>
    <row r="15" spans="1:41" s="5" customFormat="1">
      <c r="A15" s="374" t="str">
        <f>'1-συμβολαια'!A15</f>
        <v>10ο</v>
      </c>
      <c r="B15" s="304" t="str">
        <f>'1-συμβολαια'!C15</f>
        <v>δωρεά  ΒΑΣΕΙ 1.114 προσυμφώνου</v>
      </c>
      <c r="C15" s="305">
        <f>'1-συμβολαια'!D15</f>
        <v>6471276</v>
      </c>
      <c r="D15" s="319">
        <f>'3-φύλλα2α'!D15</f>
        <v>6</v>
      </c>
      <c r="E15" s="319">
        <f>'3-φύλλα2α'!E15</f>
        <v>6</v>
      </c>
      <c r="F15" s="360">
        <v>4</v>
      </c>
      <c r="G15" s="391">
        <v>2</v>
      </c>
      <c r="H15" s="299">
        <f t="shared" si="42"/>
        <v>26400</v>
      </c>
      <c r="I15" s="392">
        <f t="shared" si="43"/>
        <v>13200</v>
      </c>
      <c r="J15" s="324">
        <f t="shared" si="44"/>
        <v>1320</v>
      </c>
      <c r="K15" s="324">
        <f t="shared" si="45"/>
        <v>1320</v>
      </c>
      <c r="L15" s="324">
        <f t="shared" si="46"/>
        <v>264</v>
      </c>
      <c r="M15" s="324">
        <f t="shared" si="47"/>
        <v>23496</v>
      </c>
      <c r="N15" s="324">
        <f t="shared" si="48"/>
        <v>12400</v>
      </c>
      <c r="O15" s="324">
        <f t="shared" si="49"/>
        <v>2904</v>
      </c>
      <c r="P15" s="324">
        <v>800</v>
      </c>
      <c r="Q15" s="324">
        <f t="shared" si="50"/>
        <v>2104</v>
      </c>
      <c r="R15" s="367">
        <f>5*500+8*500+2*500+2*500+2*500+2*500+5*500</f>
        <v>13000</v>
      </c>
      <c r="S15" s="367">
        <f>7*500</f>
        <v>3500</v>
      </c>
      <c r="T15" s="367">
        <v>6600</v>
      </c>
      <c r="U15" s="367">
        <v>800</v>
      </c>
      <c r="V15" s="367">
        <v>6600</v>
      </c>
      <c r="W15" s="367">
        <v>800</v>
      </c>
      <c r="X15" s="367"/>
      <c r="Y15" s="367"/>
      <c r="Z15" s="367"/>
      <c r="AA15" s="367"/>
      <c r="AB15" s="367"/>
      <c r="AC15" s="367"/>
      <c r="AD15" s="367">
        <v>2200</v>
      </c>
      <c r="AE15" s="367">
        <v>2200</v>
      </c>
      <c r="AF15" s="325">
        <v>500</v>
      </c>
      <c r="AG15" s="325"/>
      <c r="AH15" s="325">
        <v>2200</v>
      </c>
      <c r="AI15" s="325">
        <v>800</v>
      </c>
      <c r="AJ15" s="325"/>
      <c r="AK15" s="325"/>
      <c r="AL15" s="325"/>
      <c r="AM15" s="325">
        <f t="shared" si="51"/>
        <v>1600</v>
      </c>
      <c r="AN15" s="325">
        <f t="shared" si="52"/>
        <v>37600</v>
      </c>
      <c r="AO15" s="278"/>
    </row>
    <row r="16" spans="1:41" s="5" customFormat="1">
      <c r="A16" s="374">
        <f>'1-συμβολαια'!A16</f>
        <v>0</v>
      </c>
      <c r="B16" s="304" t="str">
        <f>'1-συμβολαια'!C16</f>
        <v xml:space="preserve">κάθετος ΣΥΣΤΑΣΗ </v>
      </c>
      <c r="C16" s="305">
        <f>'1-συμβολαια'!D16</f>
        <v>0</v>
      </c>
      <c r="D16" s="319">
        <f>'3-φύλλα2α'!D16</f>
        <v>6</v>
      </c>
      <c r="E16" s="319">
        <f>'3-φύλλα2α'!E16</f>
        <v>0</v>
      </c>
      <c r="F16" s="360"/>
      <c r="G16" s="360"/>
      <c r="H16" s="299">
        <f t="shared" si="42"/>
        <v>0</v>
      </c>
      <c r="I16" s="324">
        <f t="shared" si="43"/>
        <v>0</v>
      </c>
      <c r="J16" s="324">
        <f t="shared" si="44"/>
        <v>0</v>
      </c>
      <c r="K16" s="324">
        <f t="shared" si="45"/>
        <v>0</v>
      </c>
      <c r="L16" s="324">
        <f t="shared" si="46"/>
        <v>0</v>
      </c>
      <c r="M16" s="324">
        <f t="shared" si="47"/>
        <v>0</v>
      </c>
      <c r="N16" s="324">
        <f t="shared" si="48"/>
        <v>-800</v>
      </c>
      <c r="O16" s="324">
        <f t="shared" si="49"/>
        <v>0</v>
      </c>
      <c r="P16" s="324">
        <v>800</v>
      </c>
      <c r="Q16" s="324">
        <f t="shared" si="50"/>
        <v>-800</v>
      </c>
      <c r="R16" s="367"/>
      <c r="S16" s="367"/>
      <c r="T16" s="367"/>
      <c r="U16" s="367"/>
      <c r="V16" s="367"/>
      <c r="W16" s="367"/>
      <c r="X16" s="367"/>
      <c r="Y16" s="367"/>
      <c r="Z16" s="367"/>
      <c r="AA16" s="367"/>
      <c r="AB16" s="367"/>
      <c r="AC16" s="367"/>
      <c r="AD16" s="367"/>
      <c r="AE16" s="367"/>
      <c r="AF16" s="325"/>
      <c r="AG16" s="325"/>
      <c r="AH16" s="325">
        <v>2200</v>
      </c>
      <c r="AI16" s="325">
        <v>800</v>
      </c>
      <c r="AJ16" s="325"/>
      <c r="AK16" s="325"/>
      <c r="AL16" s="325"/>
      <c r="AM16" s="325">
        <f t="shared" si="51"/>
        <v>800</v>
      </c>
      <c r="AN16" s="325">
        <f t="shared" si="52"/>
        <v>2200</v>
      </c>
      <c r="AO16" s="278"/>
    </row>
    <row r="17" spans="1:41">
      <c r="A17" s="595" t="s">
        <v>47</v>
      </c>
      <c r="B17" s="596"/>
      <c r="C17" s="596"/>
      <c r="D17" s="596"/>
      <c r="E17" s="596"/>
      <c r="F17" s="38"/>
      <c r="G17" s="38"/>
      <c r="H17" s="150">
        <f t="shared" ref="H17:AF17" si="53">SUM(H3:H13)</f>
        <v>79200</v>
      </c>
      <c r="I17" s="150">
        <f t="shared" si="53"/>
        <v>50600</v>
      </c>
      <c r="J17" s="150">
        <f t="shared" si="53"/>
        <v>3960</v>
      </c>
      <c r="K17" s="150">
        <f t="shared" si="53"/>
        <v>3960</v>
      </c>
      <c r="L17" s="150">
        <f t="shared" si="53"/>
        <v>792</v>
      </c>
      <c r="M17" s="150">
        <f t="shared" si="53"/>
        <v>70488</v>
      </c>
      <c r="N17" s="150">
        <f t="shared" si="53"/>
        <v>44040</v>
      </c>
      <c r="O17" s="150">
        <f t="shared" si="53"/>
        <v>8712</v>
      </c>
      <c r="P17" s="150">
        <f t="shared" si="53"/>
        <v>6560</v>
      </c>
      <c r="Q17" s="150">
        <f t="shared" si="53"/>
        <v>2152</v>
      </c>
      <c r="R17" s="150">
        <f t="shared" si="53"/>
        <v>10000</v>
      </c>
      <c r="S17" s="150">
        <f t="shared" si="53"/>
        <v>3500</v>
      </c>
      <c r="T17" s="150">
        <f t="shared" si="53"/>
        <v>6600</v>
      </c>
      <c r="U17" s="150">
        <f t="shared" si="53"/>
        <v>1600</v>
      </c>
      <c r="V17" s="150">
        <f t="shared" si="53"/>
        <v>6600</v>
      </c>
      <c r="W17" s="150">
        <f t="shared" si="53"/>
        <v>1600</v>
      </c>
      <c r="X17" s="150"/>
      <c r="Y17" s="150"/>
      <c r="Z17" s="150"/>
      <c r="AA17" s="150">
        <f t="shared" si="53"/>
        <v>0</v>
      </c>
      <c r="AB17" s="150">
        <f t="shared" si="53"/>
        <v>0</v>
      </c>
      <c r="AC17" s="150">
        <f t="shared" si="53"/>
        <v>0</v>
      </c>
      <c r="AD17" s="150">
        <f t="shared" si="53"/>
        <v>3300</v>
      </c>
      <c r="AE17" s="150">
        <f t="shared" si="53"/>
        <v>2200</v>
      </c>
      <c r="AF17" s="150">
        <f t="shared" si="53"/>
        <v>500</v>
      </c>
      <c r="AG17" s="359"/>
      <c r="AH17" s="150">
        <f t="shared" ref="AH17:AN17" si="54">SUM(AH3:AH13)</f>
        <v>6600</v>
      </c>
      <c r="AI17" s="150">
        <f t="shared" si="54"/>
        <v>2400</v>
      </c>
      <c r="AJ17" s="150">
        <f t="shared" si="54"/>
        <v>0</v>
      </c>
      <c r="AK17" s="150">
        <f t="shared" si="54"/>
        <v>0</v>
      </c>
      <c r="AL17" s="150">
        <f t="shared" si="54"/>
        <v>0</v>
      </c>
      <c r="AM17" s="150">
        <f t="shared" si="54"/>
        <v>4000</v>
      </c>
      <c r="AN17" s="150">
        <f t="shared" si="54"/>
        <v>40900</v>
      </c>
    </row>
    <row r="19" spans="1:41">
      <c r="R19" s="155" t="s">
        <v>503</v>
      </c>
      <c r="S19" s="165"/>
      <c r="T19" s="165"/>
      <c r="U19" s="165"/>
      <c r="V19" s="165"/>
      <c r="W19" s="165"/>
      <c r="X19" s="166"/>
      <c r="Y19" s="166"/>
      <c r="Z19" s="166"/>
      <c r="AA19" s="166"/>
      <c r="AB19" s="166"/>
      <c r="AC19" s="166"/>
      <c r="AD19" s="166"/>
      <c r="AE19" s="86"/>
      <c r="AF19" s="86"/>
      <c r="AG19" s="86"/>
      <c r="AH19" s="86"/>
      <c r="AI19" s="86"/>
      <c r="AJ19" s="86"/>
      <c r="AK19" s="86"/>
      <c r="AL19" s="86"/>
      <c r="AM19" s="86"/>
      <c r="AN19" s="112"/>
    </row>
    <row r="20" spans="1:41" ht="15.75">
      <c r="B20" s="548" t="s">
        <v>420</v>
      </c>
      <c r="C20" s="549"/>
      <c r="D20" s="549"/>
      <c r="E20" s="549"/>
      <c r="R20" s="166"/>
      <c r="S20" s="167" t="s">
        <v>514</v>
      </c>
      <c r="T20" s="166"/>
      <c r="U20" s="166"/>
      <c r="V20" s="166"/>
      <c r="W20" s="166"/>
      <c r="X20" s="166"/>
      <c r="Y20" s="166"/>
      <c r="Z20" s="166"/>
      <c r="AA20" s="166"/>
      <c r="AB20" s="166"/>
      <c r="AC20" s="166"/>
      <c r="AD20" s="166"/>
      <c r="AE20" s="86"/>
      <c r="AF20" s="86"/>
      <c r="AG20" s="86"/>
      <c r="AH20" s="86"/>
      <c r="AI20" s="86"/>
      <c r="AJ20" s="86"/>
      <c r="AK20" s="86"/>
      <c r="AL20" s="86"/>
      <c r="AM20" s="86"/>
      <c r="AN20" s="112"/>
    </row>
    <row r="21" spans="1:41">
      <c r="G21" s="8">
        <v>1113</v>
      </c>
      <c r="H21" s="8">
        <f>H3/F3</f>
        <v>2200</v>
      </c>
      <c r="I21" s="8" t="s">
        <v>575</v>
      </c>
      <c r="R21" s="166"/>
      <c r="S21" s="166"/>
      <c r="T21" s="164" t="s">
        <v>234</v>
      </c>
      <c r="U21" s="166"/>
      <c r="V21" s="166"/>
      <c r="W21" s="166"/>
      <c r="X21" s="166"/>
      <c r="Y21" s="166"/>
      <c r="Z21" s="166"/>
      <c r="AA21" s="166"/>
      <c r="AB21" s="166"/>
      <c r="AC21" s="166"/>
      <c r="AD21" s="166"/>
      <c r="AE21" s="86"/>
      <c r="AF21" s="86"/>
      <c r="AG21" s="86"/>
      <c r="AH21" s="86"/>
      <c r="AI21" s="86"/>
      <c r="AJ21" s="86"/>
      <c r="AK21" s="86"/>
      <c r="AL21" s="86"/>
      <c r="AM21" s="86"/>
      <c r="AN21" s="112"/>
    </row>
    <row r="22" spans="1:41">
      <c r="G22" s="8">
        <v>1114</v>
      </c>
      <c r="H22" s="8">
        <f>H4/F4</f>
        <v>2200</v>
      </c>
      <c r="I22" s="8" t="s">
        <v>579</v>
      </c>
      <c r="R22" s="166"/>
      <c r="S22" s="166"/>
      <c r="T22" s="166"/>
      <c r="U22" s="167" t="s">
        <v>235</v>
      </c>
      <c r="V22" s="166"/>
      <c r="W22" s="166"/>
      <c r="X22" s="166"/>
      <c r="Y22" s="166"/>
      <c r="Z22" s="166"/>
      <c r="AA22" s="166"/>
      <c r="AB22" s="166"/>
      <c r="AC22" s="166"/>
      <c r="AD22" s="166"/>
      <c r="AE22" s="86"/>
      <c r="AF22" s="86"/>
      <c r="AG22" s="86"/>
      <c r="AH22" s="86"/>
      <c r="AI22" s="86"/>
      <c r="AJ22" s="86"/>
      <c r="AK22" s="86"/>
      <c r="AL22" s="86"/>
      <c r="AM22" s="86"/>
      <c r="AN22" s="112"/>
    </row>
    <row r="23" spans="1:41">
      <c r="G23" s="8">
        <v>1115</v>
      </c>
      <c r="H23" s="8">
        <f>H5/F5</f>
        <v>2200</v>
      </c>
      <c r="I23" s="8" t="s">
        <v>575</v>
      </c>
      <c r="R23" s="166"/>
      <c r="S23" s="166"/>
      <c r="T23" s="166"/>
      <c r="U23" s="166"/>
      <c r="V23" s="164" t="s">
        <v>515</v>
      </c>
      <c r="W23" s="166"/>
      <c r="X23" s="166"/>
      <c r="Y23" s="166"/>
      <c r="Z23" s="166"/>
      <c r="AA23" s="166"/>
      <c r="AB23" s="166"/>
      <c r="AC23" s="166"/>
      <c r="AD23" s="166"/>
      <c r="AE23" s="166"/>
      <c r="AF23" s="166"/>
      <c r="AG23" s="166"/>
      <c r="AH23" s="166"/>
      <c r="AI23" s="166"/>
      <c r="AJ23" s="166"/>
      <c r="AK23" s="166"/>
      <c r="AL23" s="166"/>
      <c r="AM23" s="86"/>
      <c r="AN23" s="112"/>
    </row>
    <row r="24" spans="1:41">
      <c r="G24" s="8">
        <v>1121</v>
      </c>
      <c r="H24" s="8">
        <f>H6/F6</f>
        <v>2200</v>
      </c>
      <c r="I24" s="8" t="s">
        <v>575</v>
      </c>
      <c r="S24" s="166"/>
      <c r="T24" s="166"/>
      <c r="U24" s="166"/>
      <c r="V24" s="166"/>
      <c r="W24" s="167" t="s">
        <v>236</v>
      </c>
      <c r="X24" s="166"/>
      <c r="Y24" s="166"/>
      <c r="Z24" s="166"/>
      <c r="AA24" s="166"/>
      <c r="AB24" s="166"/>
      <c r="AC24" s="166"/>
      <c r="AD24" s="166"/>
      <c r="AE24" s="166"/>
      <c r="AF24" s="166"/>
      <c r="AG24" s="166"/>
      <c r="AH24" s="166"/>
      <c r="AI24" s="166"/>
      <c r="AJ24" s="166"/>
      <c r="AK24" s="166"/>
      <c r="AL24" s="166"/>
      <c r="AM24" s="86"/>
      <c r="AN24" s="112"/>
    </row>
    <row r="25" spans="1:41">
      <c r="G25" s="8">
        <v>1321</v>
      </c>
      <c r="H25" s="8">
        <f>I7/F7</f>
        <v>1100</v>
      </c>
      <c r="I25" s="8" t="s">
        <v>575</v>
      </c>
      <c r="R25" s="166"/>
      <c r="S25" s="166"/>
      <c r="T25" s="166"/>
      <c r="U25" s="166"/>
      <c r="V25" s="166"/>
      <c r="W25" s="166"/>
      <c r="X25" s="164" t="s">
        <v>237</v>
      </c>
      <c r="Y25" s="164"/>
      <c r="Z25" s="166"/>
      <c r="AA25" s="166"/>
      <c r="AB25" s="166"/>
      <c r="AC25" s="166"/>
      <c r="AD25" s="166"/>
      <c r="AE25" s="166"/>
      <c r="AF25" s="166"/>
      <c r="AG25" s="166"/>
      <c r="AH25" s="166"/>
      <c r="AI25" s="166"/>
      <c r="AJ25" s="166"/>
      <c r="AK25" s="166"/>
      <c r="AL25" s="166"/>
      <c r="AM25" s="86"/>
      <c r="AN25" s="112"/>
    </row>
    <row r="26" spans="1:41">
      <c r="G26" s="8">
        <v>1469</v>
      </c>
      <c r="H26" s="8">
        <f>H8/F8</f>
        <v>5500</v>
      </c>
      <c r="I26" s="8" t="s">
        <v>552</v>
      </c>
      <c r="Q26" s="8" t="s">
        <v>548</v>
      </c>
      <c r="R26" s="166" t="s">
        <v>462</v>
      </c>
      <c r="S26" s="166"/>
      <c r="T26" s="166"/>
      <c r="U26" s="166"/>
      <c r="V26" s="166"/>
      <c r="W26" s="166"/>
      <c r="X26" s="166"/>
      <c r="Y26" s="167" t="s">
        <v>263</v>
      </c>
      <c r="Z26" s="166"/>
      <c r="AA26" s="166"/>
      <c r="AB26" s="166"/>
      <c r="AC26" s="166"/>
      <c r="AD26" s="166"/>
      <c r="AE26" s="166"/>
      <c r="AF26" s="166"/>
      <c r="AG26" s="166"/>
      <c r="AH26" s="166"/>
      <c r="AI26" s="166"/>
      <c r="AJ26" s="166"/>
      <c r="AK26" s="166"/>
      <c r="AL26" s="166"/>
      <c r="AM26" s="86"/>
      <c r="AN26" s="112"/>
    </row>
    <row r="27" spans="1:41">
      <c r="B27" s="130"/>
      <c r="I27" s="8" t="s">
        <v>553</v>
      </c>
      <c r="Q27" s="8" t="s">
        <v>548</v>
      </c>
      <c r="R27" s="166" t="s">
        <v>462</v>
      </c>
      <c r="S27" s="166"/>
      <c r="T27" s="166"/>
      <c r="U27" s="166"/>
      <c r="V27" s="166"/>
      <c r="W27" s="166"/>
      <c r="X27" s="166"/>
      <c r="Y27" s="166"/>
      <c r="Z27" s="164" t="s">
        <v>238</v>
      </c>
      <c r="AA27" s="167"/>
      <c r="AB27" s="166"/>
      <c r="AC27" s="166"/>
      <c r="AD27" s="166"/>
      <c r="AE27" s="166"/>
      <c r="AF27" s="166"/>
      <c r="AG27" s="166"/>
      <c r="AH27" s="166"/>
      <c r="AI27" s="166"/>
      <c r="AJ27" s="166"/>
      <c r="AK27" s="166"/>
      <c r="AL27" s="166"/>
      <c r="AM27" s="86"/>
      <c r="AN27" s="112"/>
      <c r="AO27" s="163"/>
    </row>
    <row r="28" spans="1:41">
      <c r="B28" s="131"/>
      <c r="I28" s="8" t="s">
        <v>552</v>
      </c>
      <c r="Q28" s="8" t="s">
        <v>550</v>
      </c>
      <c r="R28" s="82" t="s">
        <v>462</v>
      </c>
      <c r="S28" s="166"/>
      <c r="T28" s="166"/>
      <c r="U28" s="166"/>
      <c r="V28" s="166"/>
      <c r="W28" s="166"/>
      <c r="X28" s="166"/>
      <c r="Y28" s="166"/>
      <c r="Z28" s="167"/>
      <c r="AA28" s="167" t="s">
        <v>264</v>
      </c>
      <c r="AB28" s="166"/>
      <c r="AC28" s="166"/>
      <c r="AD28" s="166"/>
      <c r="AE28" s="166"/>
      <c r="AF28" s="166"/>
      <c r="AG28" s="166"/>
      <c r="AH28" s="166"/>
      <c r="AI28" s="166"/>
      <c r="AJ28" s="166"/>
      <c r="AK28" s="166"/>
      <c r="AL28" s="166"/>
      <c r="AM28" s="86"/>
      <c r="AN28" s="112"/>
      <c r="AO28" s="163"/>
    </row>
    <row r="29" spans="1:41">
      <c r="I29" s="8" t="s">
        <v>552</v>
      </c>
      <c r="R29" s="166"/>
      <c r="S29" s="166"/>
      <c r="T29" s="166"/>
      <c r="U29" s="166"/>
      <c r="V29" s="166"/>
      <c r="W29" s="166"/>
      <c r="X29" s="166"/>
      <c r="Y29" s="166"/>
      <c r="Z29" s="166"/>
      <c r="AA29" s="166"/>
      <c r="AB29" s="164" t="s">
        <v>239</v>
      </c>
      <c r="AC29" s="166"/>
      <c r="AD29" s="166"/>
      <c r="AE29" s="166"/>
      <c r="AF29" s="166"/>
      <c r="AG29" s="166"/>
      <c r="AH29" s="166"/>
      <c r="AI29" s="166"/>
      <c r="AJ29" s="166"/>
      <c r="AK29" s="166"/>
      <c r="AL29" s="166"/>
      <c r="AM29" s="86"/>
      <c r="AN29" s="358"/>
    </row>
    <row r="30" spans="1:41">
      <c r="G30" s="8" t="s">
        <v>571</v>
      </c>
      <c r="H30" s="8">
        <v>1100</v>
      </c>
      <c r="I30" s="8" t="s">
        <v>553</v>
      </c>
      <c r="Q30" s="394"/>
      <c r="R30" s="166"/>
      <c r="S30" s="166"/>
      <c r="T30" s="166"/>
      <c r="U30" s="8"/>
      <c r="V30" s="8"/>
      <c r="W30" s="166"/>
      <c r="X30" s="166"/>
      <c r="Y30" s="166"/>
      <c r="Z30" s="166"/>
      <c r="AA30" s="166"/>
      <c r="AB30" s="166"/>
      <c r="AC30" s="167" t="s">
        <v>240</v>
      </c>
      <c r="AD30" s="166"/>
      <c r="AE30" s="166"/>
      <c r="AF30" s="166"/>
      <c r="AG30" s="166"/>
      <c r="AH30" s="166"/>
      <c r="AI30" s="166"/>
      <c r="AJ30" s="166"/>
      <c r="AK30" s="166"/>
      <c r="AL30" s="166"/>
      <c r="AM30" s="86"/>
      <c r="AN30" s="112"/>
    </row>
    <row r="31" spans="1:41">
      <c r="G31" s="8">
        <v>1470</v>
      </c>
      <c r="H31" s="8">
        <f>H13/F13</f>
        <v>4400</v>
      </c>
      <c r="I31" s="8" t="s">
        <v>554</v>
      </c>
      <c r="Q31" s="8" t="s">
        <v>549</v>
      </c>
      <c r="R31" s="166" t="s">
        <v>462</v>
      </c>
      <c r="S31" s="166"/>
      <c r="T31" s="166"/>
      <c r="U31" s="8"/>
      <c r="V31" s="8"/>
      <c r="W31" s="166"/>
      <c r="X31" s="166"/>
      <c r="Y31" s="166"/>
      <c r="Z31" s="166"/>
      <c r="AA31" s="166"/>
      <c r="AB31" s="166"/>
      <c r="AC31" s="166"/>
      <c r="AD31" s="164" t="s">
        <v>279</v>
      </c>
      <c r="AE31" s="168"/>
      <c r="AF31" s="168"/>
      <c r="AG31" s="168"/>
      <c r="AH31" s="168"/>
      <c r="AI31" s="168"/>
      <c r="AJ31" s="168"/>
      <c r="AK31" s="168"/>
      <c r="AL31" s="168"/>
      <c r="AM31" s="167"/>
    </row>
    <row r="32" spans="1:41">
      <c r="Q32" s="8" t="s">
        <v>549</v>
      </c>
      <c r="R32" s="166" t="s">
        <v>462</v>
      </c>
      <c r="S32" s="86"/>
      <c r="T32" s="86"/>
      <c r="U32" s="8"/>
      <c r="V32" s="8"/>
      <c r="W32" s="166"/>
      <c r="X32" s="166"/>
      <c r="Y32" s="166"/>
      <c r="Z32" s="166"/>
      <c r="AA32" s="166"/>
      <c r="AB32" s="166"/>
      <c r="AC32" s="166"/>
      <c r="AD32" s="166"/>
      <c r="AE32" s="164" t="s">
        <v>280</v>
      </c>
      <c r="AF32" s="167"/>
      <c r="AG32" s="167"/>
      <c r="AH32" s="167"/>
      <c r="AI32" s="167"/>
      <c r="AJ32" s="167"/>
      <c r="AK32" s="167"/>
      <c r="AL32" s="167"/>
      <c r="AM32" s="86"/>
    </row>
    <row r="33" spans="2:38">
      <c r="Q33" s="8" t="s">
        <v>549</v>
      </c>
      <c r="R33" s="166" t="s">
        <v>462</v>
      </c>
      <c r="S33" s="2"/>
      <c r="T33" s="2"/>
      <c r="U33" s="8"/>
      <c r="V33" s="8"/>
      <c r="AF33" s="167" t="s">
        <v>281</v>
      </c>
      <c r="AG33" s="168"/>
      <c r="AH33" s="168"/>
      <c r="AI33" s="168"/>
      <c r="AJ33" s="168"/>
      <c r="AK33" s="168"/>
    </row>
    <row r="34" spans="2:38">
      <c r="B34" s="303"/>
      <c r="D34" s="8"/>
      <c r="E34" s="8"/>
      <c r="Q34" s="394" t="s">
        <v>551</v>
      </c>
      <c r="R34" s="166" t="s">
        <v>462</v>
      </c>
      <c r="U34" s="8"/>
      <c r="V34" s="8"/>
      <c r="AF34" s="166"/>
      <c r="AG34" s="273" t="s">
        <v>282</v>
      </c>
      <c r="AH34" s="273"/>
      <c r="AI34" s="273"/>
      <c r="AJ34" s="273"/>
      <c r="AK34" s="273"/>
      <c r="AL34" s="273"/>
    </row>
    <row r="35" spans="2:38">
      <c r="B35" s="3"/>
      <c r="D35" s="58"/>
      <c r="E35" s="58"/>
      <c r="F35" s="58"/>
      <c r="G35" s="8">
        <v>1471</v>
      </c>
      <c r="H35" s="8">
        <f>H14/F14</f>
        <v>4400</v>
      </c>
      <c r="I35" s="8" t="s">
        <v>553</v>
      </c>
      <c r="Q35" s="8" t="s">
        <v>548</v>
      </c>
      <c r="R35" s="166" t="s">
        <v>462</v>
      </c>
      <c r="U35" s="8"/>
      <c r="V35" s="8"/>
      <c r="AH35" s="164" t="s">
        <v>492</v>
      </c>
      <c r="AI35" s="166"/>
      <c r="AJ35" s="166"/>
      <c r="AK35" s="166"/>
      <c r="AL35" s="167"/>
    </row>
    <row r="36" spans="2:38">
      <c r="G36" s="8">
        <v>1472</v>
      </c>
      <c r="H36" s="8">
        <f>H15/F15</f>
        <v>6600</v>
      </c>
      <c r="I36" s="8" t="s">
        <v>554</v>
      </c>
      <c r="Q36" s="8" t="s">
        <v>548</v>
      </c>
      <c r="R36" s="166" t="s">
        <v>462</v>
      </c>
      <c r="AI36" s="167" t="s">
        <v>489</v>
      </c>
      <c r="AJ36" s="167"/>
      <c r="AK36" s="167"/>
    </row>
    <row r="37" spans="2:38">
      <c r="I37" s="8" t="s">
        <v>555</v>
      </c>
      <c r="Q37" s="8" t="s">
        <v>548</v>
      </c>
      <c r="R37" s="166" t="s">
        <v>462</v>
      </c>
      <c r="AJ37" s="164" t="s">
        <v>490</v>
      </c>
      <c r="AK37" s="166"/>
    </row>
    <row r="38" spans="2:38">
      <c r="Q38" s="8" t="s">
        <v>549</v>
      </c>
      <c r="R38" s="166" t="s">
        <v>462</v>
      </c>
      <c r="AK38" s="167" t="s">
        <v>491</v>
      </c>
    </row>
    <row r="39" spans="2:38">
      <c r="Q39" s="8" t="s">
        <v>549</v>
      </c>
      <c r="R39" s="166" t="s">
        <v>462</v>
      </c>
    </row>
    <row r="40" spans="2:38">
      <c r="Q40" s="8" t="s">
        <v>549</v>
      </c>
      <c r="R40" s="166" t="s">
        <v>462</v>
      </c>
    </row>
    <row r="41" spans="2:38">
      <c r="Q41" s="8" t="s">
        <v>550</v>
      </c>
      <c r="R41" s="166" t="s">
        <v>462</v>
      </c>
    </row>
    <row r="42" spans="2:38">
      <c r="R42" s="166" t="s">
        <v>462</v>
      </c>
    </row>
  </sheetData>
  <mergeCells count="9">
    <mergeCell ref="F1:L1"/>
    <mergeCell ref="M1:N1"/>
    <mergeCell ref="O1:Q1"/>
    <mergeCell ref="R1:AO1"/>
    <mergeCell ref="A17:E17"/>
    <mergeCell ref="A1:A2"/>
    <mergeCell ref="B1:B2"/>
    <mergeCell ref="D1:E1"/>
    <mergeCell ref="C1:C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41"/>
  <sheetViews>
    <sheetView workbookViewId="0">
      <pane ySplit="2" topLeftCell="A3" activePane="bottomLeft" state="frozen"/>
      <selection pane="bottomLeft" activeCell="J36" sqref="J36"/>
    </sheetView>
  </sheetViews>
  <sheetFormatPr defaultRowHeight="11.25"/>
  <cols>
    <col min="1" max="1" width="7.28515625" style="8" bestFit="1" customWidth="1"/>
    <col min="2" max="2" width="49.140625" style="89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7.28515625" style="2" bestFit="1" customWidth="1"/>
    <col min="14" max="14" width="6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8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8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4.42578125" style="3" bestFit="1" customWidth="1"/>
    <col min="35" max="36" width="10.5703125" style="8" customWidth="1"/>
    <col min="37" max="37" width="6.85546875" style="8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8" bestFit="1" customWidth="1"/>
    <col min="60" max="61" width="8.85546875" style="3" bestFit="1" customWidth="1"/>
    <col min="62" max="16384" width="9.140625" style="3"/>
  </cols>
  <sheetData>
    <row r="1" spans="1:61" s="65" customFormat="1" ht="15.75" customHeight="1">
      <c r="A1" s="677" t="s">
        <v>31</v>
      </c>
      <c r="B1" s="678"/>
      <c r="C1" s="678"/>
      <c r="D1" s="679"/>
      <c r="E1" s="690" t="s">
        <v>422</v>
      </c>
      <c r="F1" s="691"/>
      <c r="G1" s="691"/>
      <c r="H1" s="691"/>
      <c r="I1" s="691"/>
      <c r="J1" s="691"/>
      <c r="K1" s="691"/>
      <c r="L1" s="691"/>
      <c r="M1" s="691"/>
      <c r="N1" s="691"/>
      <c r="O1" s="691"/>
      <c r="P1" s="691"/>
      <c r="Q1" s="691"/>
      <c r="R1" s="692" t="s">
        <v>70</v>
      </c>
      <c r="S1" s="698" t="s">
        <v>166</v>
      </c>
      <c r="T1" s="677" t="s">
        <v>13</v>
      </c>
      <c r="U1" s="678"/>
      <c r="V1" s="678"/>
      <c r="W1" s="678"/>
      <c r="X1" s="678"/>
      <c r="Y1" s="678"/>
      <c r="Z1" s="678"/>
      <c r="AA1" s="678"/>
      <c r="AB1" s="678"/>
      <c r="AC1" s="679"/>
      <c r="AD1" s="689" t="s">
        <v>14</v>
      </c>
      <c r="AE1" s="689"/>
      <c r="AF1" s="689"/>
      <c r="AG1" s="689"/>
      <c r="AH1" s="689"/>
      <c r="AI1" s="689"/>
      <c r="AJ1" s="689"/>
      <c r="AK1" s="689"/>
      <c r="AL1" s="689"/>
      <c r="AM1" s="677" t="s">
        <v>15</v>
      </c>
      <c r="AN1" s="678"/>
      <c r="AO1" s="678"/>
      <c r="AP1" s="678"/>
      <c r="AQ1" s="678"/>
      <c r="AR1" s="678"/>
      <c r="AS1" s="678"/>
      <c r="AT1" s="678"/>
      <c r="AU1" s="678"/>
      <c r="AV1" s="679"/>
      <c r="AW1" s="680" t="s">
        <v>16</v>
      </c>
      <c r="AX1" s="680"/>
      <c r="AY1" s="680"/>
      <c r="AZ1" s="680"/>
      <c r="BA1" s="680"/>
      <c r="BB1" s="680"/>
      <c r="BC1" s="680"/>
      <c r="BD1" s="680"/>
      <c r="BE1" s="681" t="s">
        <v>17</v>
      </c>
      <c r="BF1" s="682"/>
      <c r="BG1" s="682"/>
      <c r="BH1" s="682"/>
      <c r="BI1" s="683"/>
    </row>
    <row r="2" spans="1:61" s="4" customFormat="1" ht="45.75" customHeight="1" thickBot="1">
      <c r="A2" s="79" t="s">
        <v>19</v>
      </c>
      <c r="B2" s="88" t="s">
        <v>0</v>
      </c>
      <c r="C2" s="66" t="s">
        <v>11</v>
      </c>
      <c r="D2" s="67" t="s">
        <v>12</v>
      </c>
      <c r="E2" s="55" t="s">
        <v>71</v>
      </c>
      <c r="F2" s="41" t="s">
        <v>72</v>
      </c>
      <c r="G2" s="41" t="s">
        <v>258</v>
      </c>
      <c r="H2" s="41" t="s">
        <v>73</v>
      </c>
      <c r="I2" s="696" t="s">
        <v>29</v>
      </c>
      <c r="J2" s="697"/>
      <c r="K2" s="41" t="s">
        <v>157</v>
      </c>
      <c r="L2" s="41" t="s">
        <v>158</v>
      </c>
      <c r="M2" s="41" t="s">
        <v>92</v>
      </c>
      <c r="N2" s="41" t="s">
        <v>556</v>
      </c>
      <c r="O2" s="41" t="s">
        <v>165</v>
      </c>
      <c r="P2" s="93" t="s">
        <v>98</v>
      </c>
      <c r="Q2" s="113" t="s">
        <v>97</v>
      </c>
      <c r="R2" s="693"/>
      <c r="S2" s="699"/>
      <c r="T2" s="55" t="s">
        <v>32</v>
      </c>
      <c r="U2" s="55" t="s">
        <v>19</v>
      </c>
      <c r="V2" s="41" t="s">
        <v>20</v>
      </c>
      <c r="W2" s="10" t="s">
        <v>21</v>
      </c>
      <c r="X2" s="10" t="s">
        <v>22</v>
      </c>
      <c r="Y2" s="41" t="s">
        <v>23</v>
      </c>
      <c r="Z2" s="41" t="s">
        <v>24</v>
      </c>
      <c r="AA2" s="41" t="s">
        <v>25</v>
      </c>
      <c r="AB2" s="684" t="s">
        <v>29</v>
      </c>
      <c r="AC2" s="685"/>
      <c r="AD2" s="55" t="s">
        <v>28</v>
      </c>
      <c r="AE2" s="55" t="s">
        <v>19</v>
      </c>
      <c r="AF2" s="41" t="s">
        <v>20</v>
      </c>
      <c r="AG2" s="10" t="s">
        <v>27</v>
      </c>
      <c r="AH2" s="10" t="s">
        <v>19</v>
      </c>
      <c r="AI2" s="71" t="s">
        <v>74</v>
      </c>
      <c r="AJ2" s="71" t="s">
        <v>75</v>
      </c>
      <c r="AK2" s="694" t="s">
        <v>29</v>
      </c>
      <c r="AL2" s="695"/>
      <c r="AM2" s="55" t="s">
        <v>18</v>
      </c>
      <c r="AN2" s="55" t="s">
        <v>19</v>
      </c>
      <c r="AO2" s="41" t="s">
        <v>20</v>
      </c>
      <c r="AP2" s="10" t="s">
        <v>21</v>
      </c>
      <c r="AQ2" s="10" t="s">
        <v>22</v>
      </c>
      <c r="AR2" s="41" t="s">
        <v>23</v>
      </c>
      <c r="AS2" s="41" t="s">
        <v>24</v>
      </c>
      <c r="AT2" s="41" t="s">
        <v>25</v>
      </c>
      <c r="AU2" s="684" t="s">
        <v>29</v>
      </c>
      <c r="AV2" s="685"/>
      <c r="AW2" s="55" t="s">
        <v>18</v>
      </c>
      <c r="AX2" s="41" t="s">
        <v>19</v>
      </c>
      <c r="AY2" s="41" t="s">
        <v>20</v>
      </c>
      <c r="AZ2" s="41" t="s">
        <v>26</v>
      </c>
      <c r="BA2" s="10" t="s">
        <v>27</v>
      </c>
      <c r="BB2" s="10" t="s">
        <v>19</v>
      </c>
      <c r="BC2" s="41" t="s">
        <v>28</v>
      </c>
      <c r="BD2" s="42" t="s">
        <v>29</v>
      </c>
      <c r="BE2" s="56" t="s">
        <v>30</v>
      </c>
      <c r="BF2" s="56" t="s">
        <v>19</v>
      </c>
      <c r="BG2" s="57" t="s">
        <v>18</v>
      </c>
      <c r="BH2" s="684" t="s">
        <v>29</v>
      </c>
      <c r="BI2" s="685"/>
    </row>
    <row r="3" spans="1:61" s="192" customFormat="1">
      <c r="A3" s="362" t="str">
        <f>'1-συμβολαια'!A3</f>
        <v>1ο</v>
      </c>
      <c r="B3" s="326" t="str">
        <f>'1-συμβολαια'!C3</f>
        <v>γονικής ΠΡΟΣΥΜΦΩΝΟ</v>
      </c>
      <c r="C3" s="274" t="str">
        <f>'4-πολλυπρ'!D3</f>
        <v>219-120</v>
      </c>
      <c r="D3" s="274" t="str">
        <f>'4-πολλυπρ'!I3</f>
        <v>????</v>
      </c>
      <c r="E3" s="274"/>
      <c r="F3" s="318"/>
      <c r="G3" s="305"/>
      <c r="H3" s="305"/>
      <c r="I3" s="330"/>
      <c r="J3" s="330"/>
      <c r="K3" s="305"/>
      <c r="L3" s="305"/>
      <c r="M3" s="305"/>
      <c r="N3" s="274"/>
      <c r="O3" s="305">
        <f>K3+L3</f>
        <v>0</v>
      </c>
      <c r="P3" s="274"/>
      <c r="Q3" s="274"/>
      <c r="R3" s="274"/>
      <c r="S3" s="274"/>
      <c r="T3" s="363"/>
      <c r="U3" s="362"/>
      <c r="V3" s="328" t="s">
        <v>423</v>
      </c>
      <c r="W3" s="328"/>
      <c r="X3" s="328" t="s">
        <v>9</v>
      </c>
      <c r="Y3" s="364"/>
      <c r="Z3" s="328"/>
      <c r="AA3" s="328"/>
      <c r="AB3" s="328"/>
      <c r="AC3" s="362"/>
      <c r="AD3" s="363"/>
      <c r="AE3" s="362"/>
      <c r="AF3" s="362"/>
      <c r="AG3" s="362"/>
      <c r="AH3" s="362"/>
      <c r="AI3" s="362"/>
      <c r="AJ3" s="362"/>
      <c r="AK3" s="362"/>
      <c r="AL3" s="362"/>
      <c r="AM3" s="362"/>
      <c r="AN3" s="362"/>
      <c r="AO3" s="328" t="s">
        <v>423</v>
      </c>
      <c r="AP3" s="362"/>
      <c r="AQ3" s="328" t="s">
        <v>9</v>
      </c>
      <c r="AR3" s="362"/>
      <c r="AS3" s="362"/>
      <c r="AT3" s="362"/>
      <c r="AU3" s="362"/>
      <c r="AV3" s="363"/>
      <c r="AW3" s="362"/>
      <c r="AX3" s="362"/>
      <c r="AY3" s="362"/>
      <c r="AZ3" s="364"/>
      <c r="BA3" s="364"/>
      <c r="BB3" s="364"/>
      <c r="BC3" s="364"/>
      <c r="BD3" s="364"/>
      <c r="BE3" s="362"/>
      <c r="BF3" s="362"/>
      <c r="BG3" s="363"/>
      <c r="BH3" s="364"/>
      <c r="BI3" s="364"/>
    </row>
    <row r="4" spans="1:61" s="192" customFormat="1">
      <c r="A4" s="362" t="str">
        <f>'1-συμβολαια'!A4</f>
        <v>2ο</v>
      </c>
      <c r="B4" s="326" t="str">
        <f>'1-συμβολαια'!C4</f>
        <v>δωρεάς ΠΡΟΣΥΜΦΩΝΟ</v>
      </c>
      <c r="C4" s="274" t="str">
        <f>'4-πολλυπρ'!D4</f>
        <v>219-120</v>
      </c>
      <c r="D4" s="274" t="str">
        <f>'4-πολλυπρ'!I4</f>
        <v>????</v>
      </c>
      <c r="E4" s="274"/>
      <c r="F4" s="318"/>
      <c r="G4" s="305"/>
      <c r="H4" s="305"/>
      <c r="I4" s="330"/>
      <c r="J4" s="330"/>
      <c r="K4" s="305"/>
      <c r="L4" s="305"/>
      <c r="M4" s="305"/>
      <c r="N4" s="274"/>
      <c r="O4" s="305">
        <f t="shared" ref="O4:O6" si="0">K4+L4</f>
        <v>0</v>
      </c>
      <c r="P4" s="274"/>
      <c r="Q4" s="274"/>
      <c r="R4" s="274"/>
      <c r="S4" s="274"/>
      <c r="T4" s="363"/>
      <c r="U4" s="362"/>
      <c r="V4" s="328" t="s">
        <v>423</v>
      </c>
      <c r="W4" s="328"/>
      <c r="X4" s="328" t="s">
        <v>9</v>
      </c>
      <c r="Y4" s="364"/>
      <c r="Z4" s="328"/>
      <c r="AA4" s="328"/>
      <c r="AB4" s="328"/>
      <c r="AC4" s="362"/>
      <c r="AD4" s="363"/>
      <c r="AE4" s="362"/>
      <c r="AF4" s="362"/>
      <c r="AG4" s="362"/>
      <c r="AH4" s="362"/>
      <c r="AI4" s="362"/>
      <c r="AJ4" s="362"/>
      <c r="AK4" s="362"/>
      <c r="AL4" s="362"/>
      <c r="AM4" s="362"/>
      <c r="AN4" s="362"/>
      <c r="AO4" s="328" t="s">
        <v>423</v>
      </c>
      <c r="AP4" s="362"/>
      <c r="AQ4" s="328" t="s">
        <v>9</v>
      </c>
      <c r="AR4" s="362"/>
      <c r="AS4" s="362"/>
      <c r="AT4" s="362"/>
      <c r="AU4" s="362"/>
      <c r="AV4" s="363"/>
      <c r="AW4" s="362"/>
      <c r="AX4" s="362"/>
      <c r="AY4" s="362"/>
      <c r="AZ4" s="364"/>
      <c r="BA4" s="364"/>
      <c r="BB4" s="364"/>
      <c r="BC4" s="364"/>
      <c r="BD4" s="364"/>
      <c r="BE4" s="362"/>
      <c r="BF4" s="362"/>
      <c r="BG4" s="363"/>
      <c r="BH4" s="364"/>
      <c r="BI4" s="364"/>
    </row>
    <row r="5" spans="1:61" s="192" customFormat="1">
      <c r="A5" s="362" t="str">
        <f>'1-συμβολαια'!A5</f>
        <v>3ο</v>
      </c>
      <c r="B5" s="326" t="str">
        <f>'1-συμβολαια'!C5</f>
        <v>δωρεάς ΠΡΟΣΥΜΦΩΝΟ [1ο όροφο 55,63μ2</v>
      </c>
      <c r="C5" s="274" t="str">
        <f>'4-πολλυπρ'!D5</f>
        <v>219-120</v>
      </c>
      <c r="D5" s="274" t="str">
        <f>'4-πολλυπρ'!I5</f>
        <v>????</v>
      </c>
      <c r="E5" s="274"/>
      <c r="F5" s="318"/>
      <c r="G5" s="305"/>
      <c r="H5" s="305"/>
      <c r="I5" s="330"/>
      <c r="J5" s="330"/>
      <c r="K5" s="305"/>
      <c r="L5" s="305"/>
      <c r="M5" s="305"/>
      <c r="N5" s="274"/>
      <c r="O5" s="305">
        <f t="shared" si="0"/>
        <v>0</v>
      </c>
      <c r="P5" s="274"/>
      <c r="Q5" s="274"/>
      <c r="R5" s="274"/>
      <c r="S5" s="274"/>
      <c r="T5" s="363"/>
      <c r="U5" s="362"/>
      <c r="V5" s="328" t="s">
        <v>423</v>
      </c>
      <c r="W5" s="328"/>
      <c r="X5" s="328" t="s">
        <v>9</v>
      </c>
      <c r="Y5" s="364"/>
      <c r="Z5" s="328"/>
      <c r="AA5" s="328"/>
      <c r="AB5" s="328"/>
      <c r="AC5" s="362"/>
      <c r="AD5" s="363"/>
      <c r="AE5" s="362"/>
      <c r="AF5" s="362"/>
      <c r="AG5" s="362"/>
      <c r="AH5" s="362"/>
      <c r="AI5" s="362"/>
      <c r="AJ5" s="362"/>
      <c r="AK5" s="362"/>
      <c r="AL5" s="362"/>
      <c r="AM5" s="362"/>
      <c r="AN5" s="362"/>
      <c r="AO5" s="328" t="s">
        <v>423</v>
      </c>
      <c r="AP5" s="362"/>
      <c r="AQ5" s="328" t="s">
        <v>9</v>
      </c>
      <c r="AR5" s="362"/>
      <c r="AS5" s="362"/>
      <c r="AT5" s="362"/>
      <c r="AU5" s="362"/>
      <c r="AV5" s="363"/>
      <c r="AW5" s="362"/>
      <c r="AX5" s="362"/>
      <c r="AY5" s="362"/>
      <c r="AZ5" s="364"/>
      <c r="BA5" s="364"/>
      <c r="BB5" s="364"/>
      <c r="BC5" s="364"/>
      <c r="BD5" s="364"/>
      <c r="BE5" s="362"/>
      <c r="BF5" s="362"/>
      <c r="BG5" s="363"/>
      <c r="BH5" s="364"/>
      <c r="BI5" s="364"/>
    </row>
    <row r="6" spans="1:61" s="192" customFormat="1">
      <c r="A6" s="362" t="str">
        <f>'1-συμβολαια'!A6</f>
        <v>4ο</v>
      </c>
      <c r="B6" s="326" t="str">
        <f>'1-συμβολαια'!C6</f>
        <v>πληρεξούσιο</v>
      </c>
      <c r="C6" s="274" t="str">
        <f>'4-πολλυπρ'!D6</f>
        <v>????</v>
      </c>
      <c r="D6" s="274" t="str">
        <f>'4-πολλυπρ'!I6</f>
        <v>????</v>
      </c>
      <c r="E6" s="274"/>
      <c r="F6" s="318"/>
      <c r="G6" s="305"/>
      <c r="H6" s="305"/>
      <c r="I6" s="330"/>
      <c r="J6" s="330"/>
      <c r="K6" s="305"/>
      <c r="L6" s="305"/>
      <c r="M6" s="305"/>
      <c r="N6" s="274"/>
      <c r="O6" s="305">
        <f t="shared" si="0"/>
        <v>0</v>
      </c>
      <c r="P6" s="274"/>
      <c r="Q6" s="274"/>
      <c r="R6" s="274"/>
      <c r="S6" s="274"/>
      <c r="T6" s="363"/>
      <c r="U6" s="362"/>
      <c r="V6" s="328" t="s">
        <v>423</v>
      </c>
      <c r="W6" s="328"/>
      <c r="X6" s="328" t="s">
        <v>9</v>
      </c>
      <c r="Y6" s="364"/>
      <c r="Z6" s="328"/>
      <c r="AA6" s="328"/>
      <c r="AB6" s="328"/>
      <c r="AC6" s="362"/>
      <c r="AD6" s="363"/>
      <c r="AE6" s="362"/>
      <c r="AF6" s="362"/>
      <c r="AG6" s="362"/>
      <c r="AH6" s="362"/>
      <c r="AI6" s="362"/>
      <c r="AJ6" s="362"/>
      <c r="AK6" s="362"/>
      <c r="AL6" s="362"/>
      <c r="AM6" s="362"/>
      <c r="AN6" s="362"/>
      <c r="AO6" s="328" t="s">
        <v>423</v>
      </c>
      <c r="AP6" s="362"/>
      <c r="AQ6" s="328" t="s">
        <v>9</v>
      </c>
      <c r="AR6" s="362"/>
      <c r="AS6" s="362"/>
      <c r="AT6" s="362"/>
      <c r="AU6" s="362"/>
      <c r="AV6" s="363"/>
      <c r="AW6" s="362"/>
      <c r="AX6" s="362"/>
      <c r="AY6" s="362"/>
      <c r="AZ6" s="364"/>
      <c r="BA6" s="364"/>
      <c r="BB6" s="364"/>
      <c r="BC6" s="364"/>
      <c r="BD6" s="364"/>
      <c r="BE6" s="362"/>
      <c r="BF6" s="362"/>
      <c r="BG6" s="363"/>
      <c r="BH6" s="364"/>
      <c r="BI6" s="364"/>
    </row>
    <row r="7" spans="1:61" s="192" customFormat="1">
      <c r="A7" s="362" t="str">
        <f>'1-συμβολαια'!A7</f>
        <v>5ο</v>
      </c>
      <c r="B7" s="326" t="str">
        <f>'1-συμβολαια'!C7</f>
        <v>πληρεξούσιο</v>
      </c>
      <c r="C7" s="274" t="str">
        <f>'4-πολλυπρ'!D7</f>
        <v>????</v>
      </c>
      <c r="D7" s="274" t="str">
        <f>'4-πολλυπρ'!I7</f>
        <v>????</v>
      </c>
      <c r="E7" s="274"/>
      <c r="F7" s="318"/>
      <c r="G7" s="305"/>
      <c r="H7" s="305"/>
      <c r="I7" s="330"/>
      <c r="J7" s="330"/>
      <c r="K7" s="305"/>
      <c r="L7" s="305"/>
      <c r="M7" s="305"/>
      <c r="N7" s="274"/>
      <c r="O7" s="305">
        <f>K7+L7</f>
        <v>0</v>
      </c>
      <c r="P7" s="274"/>
      <c r="Q7" s="274"/>
      <c r="R7" s="274"/>
      <c r="S7" s="274"/>
      <c r="T7" s="363"/>
      <c r="U7" s="362"/>
      <c r="V7" s="328" t="s">
        <v>423</v>
      </c>
      <c r="W7" s="328"/>
      <c r="X7" s="328" t="s">
        <v>9</v>
      </c>
      <c r="Y7" s="364"/>
      <c r="Z7" s="328"/>
      <c r="AA7" s="328"/>
      <c r="AB7" s="328"/>
      <c r="AC7" s="362"/>
      <c r="AD7" s="363"/>
      <c r="AE7" s="362"/>
      <c r="AF7" s="362"/>
      <c r="AG7" s="362"/>
      <c r="AH7" s="362"/>
      <c r="AI7" s="362"/>
      <c r="AJ7" s="362"/>
      <c r="AK7" s="362"/>
      <c r="AL7" s="362"/>
      <c r="AM7" s="362"/>
      <c r="AN7" s="362"/>
      <c r="AO7" s="328" t="s">
        <v>423</v>
      </c>
      <c r="AP7" s="362"/>
      <c r="AQ7" s="328" t="s">
        <v>9</v>
      </c>
      <c r="AR7" s="362"/>
      <c r="AS7" s="362"/>
      <c r="AT7" s="362"/>
      <c r="AU7" s="362"/>
      <c r="AV7" s="363"/>
      <c r="AW7" s="362"/>
      <c r="AX7" s="362"/>
      <c r="AY7" s="362"/>
      <c r="AZ7" s="364"/>
      <c r="BA7" s="364"/>
      <c r="BB7" s="364"/>
      <c r="BC7" s="364"/>
      <c r="BD7" s="364"/>
      <c r="BE7" s="362"/>
      <c r="BF7" s="362"/>
      <c r="BG7" s="363"/>
      <c r="BH7" s="364"/>
      <c r="BI7" s="364"/>
    </row>
    <row r="8" spans="1:61" s="192" customFormat="1">
      <c r="A8" s="432" t="str">
        <f>'1-συμβολαια'!A8</f>
        <v>7ο</v>
      </c>
      <c r="B8" s="326" t="str">
        <f>'1-συμβολαια'!C8</f>
        <v>διανομή [34,60% {= 7.480.642δρχ}] &amp; {65,40% {= 14.139.710δρχ}]</v>
      </c>
      <c r="C8" s="274" t="str">
        <f>'4-πολλυπρ'!D8</f>
        <v>219-120</v>
      </c>
      <c r="D8" s="274">
        <f>'4-πολλυπρ'!I8</f>
        <v>0</v>
      </c>
      <c r="E8" s="274">
        <f>2*2</f>
        <v>4</v>
      </c>
      <c r="F8" s="318">
        <f t="shared" ref="F8:F11" si="1">E8*1100</f>
        <v>4400</v>
      </c>
      <c r="G8" s="305">
        <v>1100</v>
      </c>
      <c r="H8" s="305">
        <f t="shared" ref="H8:H11" si="2">F8+G8</f>
        <v>5500</v>
      </c>
      <c r="I8" s="330" t="s">
        <v>163</v>
      </c>
      <c r="J8" s="330" t="s">
        <v>164</v>
      </c>
      <c r="K8" s="305">
        <v>2000</v>
      </c>
      <c r="L8" s="305">
        <v>2000</v>
      </c>
      <c r="M8" s="305">
        <v>1600</v>
      </c>
      <c r="N8" s="274">
        <v>655</v>
      </c>
      <c r="O8" s="305">
        <f>K8+L8</f>
        <v>4000</v>
      </c>
      <c r="P8" s="274"/>
      <c r="Q8" s="274"/>
      <c r="R8" s="274" t="s">
        <v>558</v>
      </c>
      <c r="S8" s="274"/>
      <c r="T8" s="363">
        <v>43823</v>
      </c>
      <c r="U8" s="362"/>
      <c r="V8" s="328" t="s">
        <v>423</v>
      </c>
      <c r="W8" s="328"/>
      <c r="X8" s="328" t="s">
        <v>9</v>
      </c>
      <c r="Y8" s="364"/>
      <c r="Z8" s="328"/>
      <c r="AA8" s="328"/>
      <c r="AB8" s="328"/>
      <c r="AC8" s="362"/>
      <c r="AD8" s="363">
        <v>43823</v>
      </c>
      <c r="AE8" s="362"/>
      <c r="AF8" s="362"/>
      <c r="AG8" s="362">
        <v>614</v>
      </c>
      <c r="AH8" s="362">
        <v>9</v>
      </c>
      <c r="AI8" s="362"/>
      <c r="AJ8" s="362"/>
      <c r="AK8" s="362"/>
      <c r="AL8" s="362"/>
      <c r="AM8" s="362"/>
      <c r="AN8" s="362"/>
      <c r="AO8" s="328" t="s">
        <v>423</v>
      </c>
      <c r="AP8" s="362"/>
      <c r="AQ8" s="328" t="s">
        <v>9</v>
      </c>
      <c r="AR8" s="362"/>
      <c r="AS8" s="362"/>
      <c r="AT8" s="362"/>
      <c r="AU8" s="362"/>
      <c r="AV8" s="363"/>
      <c r="AW8" s="362"/>
      <c r="AX8" s="362"/>
      <c r="AY8" s="362"/>
      <c r="AZ8" s="364"/>
      <c r="BA8" s="364"/>
      <c r="BB8" s="364"/>
      <c r="BC8" s="364"/>
      <c r="BD8" s="364"/>
      <c r="BE8" s="362"/>
      <c r="BF8" s="362"/>
      <c r="BG8" s="363"/>
      <c r="BH8" s="364"/>
      <c r="BI8" s="364"/>
    </row>
    <row r="9" spans="1:61" s="192" customFormat="1">
      <c r="A9" s="432">
        <f>'1-συμβολαια'!A9</f>
        <v>0</v>
      </c>
      <c r="B9" s="326" t="str">
        <f>'1-συμβολαια'!C9</f>
        <v>εξισορόπηση διαφοράς διανεμομένων</v>
      </c>
      <c r="C9" s="274" t="str">
        <f>'4-πολλυπρ'!D9</f>
        <v>219-120</v>
      </c>
      <c r="D9" s="274" t="str">
        <f>'4-πολλυπρ'!I9</f>
        <v>????</v>
      </c>
      <c r="E9" s="274"/>
      <c r="F9" s="318"/>
      <c r="G9" s="305"/>
      <c r="H9" s="305"/>
      <c r="I9" s="330"/>
      <c r="J9" s="330"/>
      <c r="K9" s="305"/>
      <c r="L9" s="305"/>
      <c r="M9" s="305"/>
      <c r="N9" s="274"/>
      <c r="O9" s="305">
        <f t="shared" ref="O9:O11" si="3">K9+L9</f>
        <v>0</v>
      </c>
      <c r="P9" s="274"/>
      <c r="Q9" s="274"/>
      <c r="R9" s="274"/>
      <c r="S9" s="274"/>
      <c r="T9" s="363"/>
      <c r="U9" s="362"/>
      <c r="V9" s="328" t="s">
        <v>423</v>
      </c>
      <c r="W9" s="328"/>
      <c r="X9" s="328" t="s">
        <v>9</v>
      </c>
      <c r="Y9" s="364"/>
      <c r="Z9" s="328"/>
      <c r="AA9" s="328"/>
      <c r="AB9" s="328"/>
      <c r="AC9" s="362"/>
      <c r="AD9" s="363"/>
      <c r="AE9" s="362"/>
      <c r="AF9" s="362"/>
      <c r="AG9" s="362"/>
      <c r="AH9" s="362"/>
      <c r="AI9" s="362"/>
      <c r="AJ9" s="362"/>
      <c r="AK9" s="362"/>
      <c r="AL9" s="362"/>
      <c r="AM9" s="362"/>
      <c r="AN9" s="362"/>
      <c r="AO9" s="328" t="s">
        <v>423</v>
      </c>
      <c r="AP9" s="362"/>
      <c r="AQ9" s="328" t="s">
        <v>9</v>
      </c>
      <c r="AR9" s="362"/>
      <c r="AS9" s="362"/>
      <c r="AT9" s="362"/>
      <c r="AU9" s="362"/>
      <c r="AV9" s="363"/>
      <c r="AW9" s="362"/>
      <c r="AX9" s="362"/>
      <c r="AY9" s="362"/>
      <c r="AZ9" s="364"/>
      <c r="BA9" s="364"/>
      <c r="BB9" s="364"/>
      <c r="BC9" s="364"/>
      <c r="BD9" s="364"/>
      <c r="BE9" s="362"/>
      <c r="BF9" s="362"/>
      <c r="BG9" s="363"/>
      <c r="BH9" s="364"/>
      <c r="BI9" s="364"/>
    </row>
    <row r="10" spans="1:61" s="192" customFormat="1">
      <c r="A10" s="432">
        <f>'1-συμβολαια'!A10</f>
        <v>0</v>
      </c>
      <c r="B10" s="326" t="str">
        <f>'1-συμβολαια'!C10</f>
        <v>χρήσης ΚΑΝΟΝΙΣΝΟΣ</v>
      </c>
      <c r="C10" s="274" t="str">
        <f>'4-πολλυπρ'!D10</f>
        <v>219-120</v>
      </c>
      <c r="D10" s="274">
        <f>'4-πολλυπρ'!I10</f>
        <v>0</v>
      </c>
      <c r="E10" s="274">
        <v>1</v>
      </c>
      <c r="F10" s="318">
        <f t="shared" si="1"/>
        <v>1100</v>
      </c>
      <c r="G10" s="305"/>
      <c r="H10" s="305">
        <f t="shared" si="2"/>
        <v>1100</v>
      </c>
      <c r="I10" s="330" t="s">
        <v>163</v>
      </c>
      <c r="J10" s="330" t="s">
        <v>164</v>
      </c>
      <c r="K10" s="305"/>
      <c r="L10" s="305"/>
      <c r="M10" s="305">
        <v>222</v>
      </c>
      <c r="N10" s="274"/>
      <c r="O10" s="305">
        <f t="shared" si="3"/>
        <v>0</v>
      </c>
      <c r="P10" s="274"/>
      <c r="Q10" s="274"/>
      <c r="R10" s="274"/>
      <c r="S10" s="274"/>
      <c r="T10" s="363"/>
      <c r="U10" s="362"/>
      <c r="V10" s="328" t="s">
        <v>423</v>
      </c>
      <c r="W10" s="328"/>
      <c r="X10" s="328" t="s">
        <v>9</v>
      </c>
      <c r="Y10" s="364"/>
      <c r="Z10" s="328"/>
      <c r="AA10" s="328"/>
      <c r="AB10" s="328"/>
      <c r="AC10" s="362"/>
      <c r="AD10" s="363"/>
      <c r="AE10" s="362"/>
      <c r="AF10" s="362"/>
      <c r="AG10" s="362"/>
      <c r="AH10" s="362"/>
      <c r="AI10" s="362"/>
      <c r="AJ10" s="362"/>
      <c r="AK10" s="362"/>
      <c r="AL10" s="362"/>
      <c r="AM10" s="362"/>
      <c r="AN10" s="362"/>
      <c r="AO10" s="328" t="s">
        <v>423</v>
      </c>
      <c r="AP10" s="362"/>
      <c r="AQ10" s="328" t="s">
        <v>9</v>
      </c>
      <c r="AR10" s="362"/>
      <c r="AS10" s="362"/>
      <c r="AT10" s="362"/>
      <c r="AU10" s="362"/>
      <c r="AV10" s="363"/>
      <c r="AW10" s="362"/>
      <c r="AX10" s="362"/>
      <c r="AY10" s="362"/>
      <c r="AZ10" s="364"/>
      <c r="BA10" s="364"/>
      <c r="BB10" s="364"/>
      <c r="BC10" s="364"/>
      <c r="BD10" s="364"/>
      <c r="BE10" s="362"/>
      <c r="BF10" s="362"/>
      <c r="BG10" s="363"/>
      <c r="BH10" s="364"/>
      <c r="BI10" s="364"/>
    </row>
    <row r="11" spans="1:61" s="192" customFormat="1" ht="12" thickBot="1">
      <c r="A11" s="500">
        <f>'1-συμβολαια'!A11</f>
        <v>0</v>
      </c>
      <c r="B11" s="501" t="str">
        <f>'1-συμβολαια'!C11</f>
        <v xml:space="preserve">κάθετος ΣΥΣΤΑΣΗ </v>
      </c>
      <c r="C11" s="455" t="str">
        <f>'4-πολλυπρ'!D11</f>
        <v>219-120</v>
      </c>
      <c r="D11" s="455">
        <f>'4-πολλυπρ'!I11</f>
        <v>0</v>
      </c>
      <c r="E11" s="455">
        <f>2*2</f>
        <v>4</v>
      </c>
      <c r="F11" s="502">
        <f t="shared" si="1"/>
        <v>4400</v>
      </c>
      <c r="G11" s="455"/>
      <c r="H11" s="455">
        <f t="shared" si="2"/>
        <v>4400</v>
      </c>
      <c r="I11" s="503" t="s">
        <v>163</v>
      </c>
      <c r="J11" s="503" t="s">
        <v>164</v>
      </c>
      <c r="K11" s="455"/>
      <c r="L11" s="455"/>
      <c r="M11" s="455">
        <v>666</v>
      </c>
      <c r="N11" s="455"/>
      <c r="O11" s="455">
        <f t="shared" si="3"/>
        <v>0</v>
      </c>
      <c r="P11" s="455"/>
      <c r="Q11" s="455"/>
      <c r="R11" s="455"/>
      <c r="S11" s="455"/>
      <c r="T11" s="504">
        <v>43823</v>
      </c>
      <c r="U11" s="505"/>
      <c r="V11" s="506" t="s">
        <v>423</v>
      </c>
      <c r="W11" s="506"/>
      <c r="X11" s="506" t="s">
        <v>9</v>
      </c>
      <c r="Y11" s="550"/>
      <c r="Z11" s="506"/>
      <c r="AA11" s="506"/>
      <c r="AB11" s="506"/>
      <c r="AC11" s="505"/>
      <c r="AD11" s="504">
        <v>43823</v>
      </c>
      <c r="AE11" s="505"/>
      <c r="AF11" s="505"/>
      <c r="AG11" s="505">
        <v>614</v>
      </c>
      <c r="AH11" s="505">
        <v>10</v>
      </c>
      <c r="AI11" s="362"/>
      <c r="AJ11" s="362"/>
      <c r="AK11" s="362"/>
      <c r="AL11" s="362"/>
      <c r="AM11" s="362"/>
      <c r="AN11" s="362"/>
      <c r="AO11" s="328" t="s">
        <v>423</v>
      </c>
      <c r="AP11" s="362"/>
      <c r="AQ11" s="328" t="s">
        <v>9</v>
      </c>
      <c r="AR11" s="362"/>
      <c r="AS11" s="362"/>
      <c r="AT11" s="362"/>
      <c r="AU11" s="362"/>
      <c r="AV11" s="363"/>
      <c r="AW11" s="362"/>
      <c r="AX11" s="362"/>
      <c r="AY11" s="362"/>
      <c r="AZ11" s="364"/>
      <c r="BA11" s="364"/>
      <c r="BB11" s="364"/>
      <c r="BC11" s="364"/>
      <c r="BD11" s="364"/>
      <c r="BE11" s="362"/>
      <c r="BF11" s="362"/>
      <c r="BG11" s="363"/>
      <c r="BH11" s="364"/>
      <c r="BI11" s="364"/>
    </row>
    <row r="12" spans="1:61" s="5" customFormat="1">
      <c r="A12" s="497" t="str">
        <f>'1-συμβολαια'!A12</f>
        <v>6ο</v>
      </c>
      <c r="B12" s="326" t="str">
        <f>'1-συμβολαια'!C12</f>
        <v>πληρεξούσιο</v>
      </c>
      <c r="C12" s="305" t="str">
        <f>'4-πολλυπρ'!D12</f>
        <v>????</v>
      </c>
      <c r="D12" s="305" t="str">
        <f>'4-πολλυπρ'!I12</f>
        <v>????</v>
      </c>
      <c r="E12" s="305"/>
      <c r="F12" s="318"/>
      <c r="G12" s="305"/>
      <c r="H12" s="305"/>
      <c r="I12" s="330"/>
      <c r="J12" s="330"/>
      <c r="K12" s="305"/>
      <c r="L12" s="305"/>
      <c r="M12" s="305"/>
      <c r="N12" s="305"/>
      <c r="O12" s="305"/>
      <c r="P12" s="305"/>
      <c r="Q12" s="305"/>
      <c r="R12" s="305"/>
      <c r="S12" s="305"/>
      <c r="T12" s="498"/>
      <c r="U12" s="463"/>
      <c r="V12" s="499" t="s">
        <v>423</v>
      </c>
      <c r="W12" s="463"/>
      <c r="X12" s="499" t="s">
        <v>9</v>
      </c>
      <c r="Y12" s="343"/>
      <c r="Z12" s="463"/>
      <c r="AA12" s="463"/>
      <c r="AB12" s="463"/>
      <c r="AC12" s="463"/>
      <c r="AD12" s="498"/>
      <c r="AE12" s="463"/>
      <c r="AF12" s="463"/>
      <c r="AG12" s="463"/>
      <c r="AH12" s="463"/>
      <c r="AI12" s="280"/>
      <c r="AJ12" s="280"/>
      <c r="AK12" s="280"/>
      <c r="AL12" s="74"/>
      <c r="AM12" s="74"/>
      <c r="AN12" s="74"/>
      <c r="AO12" s="328" t="s">
        <v>423</v>
      </c>
      <c r="AP12" s="74"/>
      <c r="AQ12" s="328" t="s">
        <v>9</v>
      </c>
      <c r="AR12" s="74"/>
      <c r="AS12" s="74"/>
      <c r="AT12" s="74"/>
      <c r="AU12" s="74"/>
      <c r="AV12" s="74"/>
      <c r="AW12" s="74"/>
      <c r="AX12" s="74"/>
      <c r="AY12" s="74"/>
      <c r="AZ12" s="74"/>
      <c r="BA12" s="74"/>
      <c r="BB12" s="74"/>
      <c r="BC12" s="74"/>
      <c r="BD12" s="74"/>
      <c r="BE12" s="74"/>
      <c r="BF12" s="74"/>
      <c r="BG12" s="327"/>
      <c r="BH12" s="74"/>
      <c r="BI12" s="74"/>
    </row>
    <row r="13" spans="1:61" s="5" customFormat="1">
      <c r="A13" s="362" t="str">
        <f>'1-συμβολαια'!A13</f>
        <v>8ο</v>
      </c>
      <c r="B13" s="326" t="str">
        <f>'1-συμβολαια'!C13</f>
        <v>δωρεα [οικόπεδο42μ2</v>
      </c>
      <c r="C13" s="274" t="str">
        <f>'4-πολλυπρ'!D13</f>
        <v>????</v>
      </c>
      <c r="D13" s="274" t="str">
        <f>'4-πολλυπρ'!I13</f>
        <v>????</v>
      </c>
      <c r="E13" s="274">
        <f>2*3</f>
        <v>6</v>
      </c>
      <c r="F13" s="318">
        <f t="shared" ref="F13:F16" si="4">E13*1100</f>
        <v>6600</v>
      </c>
      <c r="G13" s="305">
        <v>1100</v>
      </c>
      <c r="H13" s="305">
        <f t="shared" ref="H13:H16" si="5">F13+G13</f>
        <v>7700</v>
      </c>
      <c r="I13" s="330" t="s">
        <v>163</v>
      </c>
      <c r="J13" s="330" t="s">
        <v>164</v>
      </c>
      <c r="K13" s="305">
        <v>2000</v>
      </c>
      <c r="L13" s="305">
        <v>2000</v>
      </c>
      <c r="M13" s="305">
        <v>2400</v>
      </c>
      <c r="N13" s="274">
        <v>655</v>
      </c>
      <c r="O13" s="305">
        <f t="shared" ref="O13:O16" si="6">K13+L13</f>
        <v>4000</v>
      </c>
      <c r="P13" s="274"/>
      <c r="Q13" s="274"/>
      <c r="R13" s="274" t="s">
        <v>558</v>
      </c>
      <c r="S13" s="274"/>
      <c r="T13" s="363">
        <v>43823</v>
      </c>
      <c r="U13" s="362"/>
      <c r="V13" s="328" t="s">
        <v>423</v>
      </c>
      <c r="W13" s="328"/>
      <c r="X13" s="328" t="s">
        <v>9</v>
      </c>
      <c r="Y13" s="364"/>
      <c r="Z13" s="328"/>
      <c r="AA13" s="328"/>
      <c r="AB13" s="328"/>
      <c r="AC13" s="362"/>
      <c r="AD13" s="363">
        <v>43823</v>
      </c>
      <c r="AE13" s="362"/>
      <c r="AF13" s="362"/>
      <c r="AG13" s="362">
        <v>614</v>
      </c>
      <c r="AH13" s="362">
        <v>11</v>
      </c>
      <c r="AI13" s="362"/>
      <c r="AJ13" s="362"/>
      <c r="AK13" s="362"/>
      <c r="AL13" s="362"/>
      <c r="AM13" s="362"/>
      <c r="AN13" s="74"/>
      <c r="AO13" s="328" t="s">
        <v>423</v>
      </c>
      <c r="AP13" s="74"/>
      <c r="AQ13" s="328" t="s">
        <v>9</v>
      </c>
      <c r="AR13" s="74"/>
      <c r="AS13" s="74"/>
      <c r="AT13" s="74"/>
      <c r="AU13" s="74"/>
      <c r="AV13" s="74"/>
      <c r="AW13" s="74"/>
      <c r="AX13" s="74"/>
      <c r="AY13" s="74"/>
      <c r="AZ13" s="74"/>
      <c r="BA13" s="74"/>
      <c r="BB13" s="74"/>
      <c r="BC13" s="74"/>
      <c r="BD13" s="74"/>
      <c r="BE13" s="74"/>
      <c r="BF13" s="74"/>
      <c r="BG13" s="327"/>
      <c r="BH13" s="74"/>
      <c r="BI13" s="74"/>
    </row>
    <row r="14" spans="1:61" s="192" customFormat="1">
      <c r="A14" s="362" t="str">
        <f>'1-συμβολαια'!A14</f>
        <v>9ο</v>
      </c>
      <c r="B14" s="326" t="str">
        <f>'1-συμβολαια'!C14</f>
        <v xml:space="preserve">γονική ΒΑΣΕΙ 1.113 προσυμφώνου </v>
      </c>
      <c r="C14" s="274" t="str">
        <f>'4-πολλυπρ'!D14</f>
        <v>219-120</v>
      </c>
      <c r="D14" s="274" t="str">
        <f>'4-πολλυπρ'!I14</f>
        <v>????</v>
      </c>
      <c r="E14" s="274">
        <v>1</v>
      </c>
      <c r="F14" s="318">
        <f t="shared" si="4"/>
        <v>1100</v>
      </c>
      <c r="G14" s="305">
        <v>1100</v>
      </c>
      <c r="H14" s="305">
        <f t="shared" si="5"/>
        <v>2200</v>
      </c>
      <c r="I14" s="330" t="s">
        <v>163</v>
      </c>
      <c r="J14" s="330" t="s">
        <v>164</v>
      </c>
      <c r="K14" s="305">
        <v>2000</v>
      </c>
      <c r="L14" s="305">
        <v>2000</v>
      </c>
      <c r="M14" s="305">
        <v>800</v>
      </c>
      <c r="N14" s="274">
        <v>655</v>
      </c>
      <c r="O14" s="305">
        <f t="shared" si="6"/>
        <v>4000</v>
      </c>
      <c r="P14" s="439"/>
      <c r="Q14" s="274"/>
      <c r="R14" s="274"/>
      <c r="S14" s="274"/>
      <c r="T14" s="363"/>
      <c r="U14" s="362"/>
      <c r="V14" s="328" t="s">
        <v>423</v>
      </c>
      <c r="W14" s="328"/>
      <c r="X14" s="328" t="s">
        <v>9</v>
      </c>
      <c r="Y14" s="364"/>
      <c r="Z14" s="328"/>
      <c r="AA14" s="328"/>
      <c r="AB14" s="328"/>
      <c r="AC14" s="362"/>
      <c r="AD14" s="363"/>
      <c r="AE14" s="362"/>
      <c r="AF14" s="362"/>
      <c r="AG14" s="362"/>
      <c r="AH14" s="362"/>
      <c r="AI14" s="362"/>
      <c r="AJ14" s="362"/>
      <c r="AK14" s="362"/>
      <c r="AL14" s="362"/>
      <c r="AM14" s="362"/>
      <c r="AN14" s="362"/>
      <c r="AO14" s="328" t="s">
        <v>423</v>
      </c>
      <c r="AP14" s="362"/>
      <c r="AQ14" s="328" t="s">
        <v>9</v>
      </c>
      <c r="AR14" s="362"/>
      <c r="AS14" s="362"/>
      <c r="AT14" s="362"/>
      <c r="AU14" s="362"/>
      <c r="AV14" s="363"/>
      <c r="AW14" s="362"/>
      <c r="AX14" s="362"/>
      <c r="AY14" s="362"/>
      <c r="AZ14" s="364"/>
      <c r="BA14" s="364"/>
      <c r="BB14" s="364"/>
      <c r="BC14" s="364"/>
      <c r="BD14" s="364"/>
      <c r="BE14" s="362"/>
      <c r="BF14" s="362"/>
      <c r="BG14" s="363"/>
      <c r="BH14" s="364"/>
      <c r="BI14" s="364"/>
    </row>
    <row r="15" spans="1:61" s="192" customFormat="1">
      <c r="A15" s="432" t="str">
        <f>'1-συμβολαια'!A15</f>
        <v>10ο</v>
      </c>
      <c r="B15" s="326" t="str">
        <f>'1-συμβολαια'!C15</f>
        <v>δωρεά  ΒΑΣΕΙ 1.114 προσυμφώνου</v>
      </c>
      <c r="C15" s="274" t="str">
        <f>'4-πολλυπρ'!D15</f>
        <v>219-120</v>
      </c>
      <c r="D15" s="274" t="str">
        <f>'4-πολλυπρ'!I15</f>
        <v>????</v>
      </c>
      <c r="E15" s="274">
        <f>2*3</f>
        <v>6</v>
      </c>
      <c r="F15" s="318">
        <f t="shared" si="4"/>
        <v>6600</v>
      </c>
      <c r="G15" s="305">
        <v>1100</v>
      </c>
      <c r="H15" s="305">
        <f t="shared" si="5"/>
        <v>7700</v>
      </c>
      <c r="I15" s="330" t="s">
        <v>163</v>
      </c>
      <c r="J15" s="330" t="s">
        <v>164</v>
      </c>
      <c r="K15" s="305">
        <v>2000</v>
      </c>
      <c r="L15" s="305">
        <v>2000</v>
      </c>
      <c r="M15" s="305">
        <v>2400</v>
      </c>
      <c r="N15" s="274">
        <v>655</v>
      </c>
      <c r="O15" s="305">
        <f t="shared" si="6"/>
        <v>4000</v>
      </c>
      <c r="P15" s="274"/>
      <c r="Q15" s="274"/>
      <c r="R15" s="274" t="s">
        <v>558</v>
      </c>
      <c r="S15" s="274"/>
      <c r="T15" s="363">
        <v>43823</v>
      </c>
      <c r="U15" s="74"/>
      <c r="V15" s="328" t="s">
        <v>423</v>
      </c>
      <c r="W15" s="74"/>
      <c r="X15" s="328" t="s">
        <v>9</v>
      </c>
      <c r="Y15" s="329"/>
      <c r="Z15" s="74"/>
      <c r="AA15" s="74"/>
      <c r="AB15" s="74"/>
      <c r="AC15" s="74"/>
      <c r="AD15" s="363">
        <v>43823</v>
      </c>
      <c r="AE15" s="74"/>
      <c r="AF15" s="74"/>
      <c r="AG15" s="74">
        <v>612</v>
      </c>
      <c r="AH15" s="74">
        <v>91</v>
      </c>
      <c r="AI15" s="362"/>
      <c r="AJ15" s="362"/>
      <c r="AK15" s="362"/>
      <c r="AL15" s="362"/>
      <c r="AM15" s="362"/>
      <c r="AN15" s="362"/>
      <c r="AO15" s="328" t="s">
        <v>423</v>
      </c>
      <c r="AP15" s="362"/>
      <c r="AQ15" s="328" t="s">
        <v>9</v>
      </c>
      <c r="AR15" s="362"/>
      <c r="AS15" s="362"/>
      <c r="AT15" s="362"/>
      <c r="AU15" s="362"/>
      <c r="AV15" s="363"/>
      <c r="AW15" s="362"/>
      <c r="AX15" s="362"/>
      <c r="AY15" s="362"/>
      <c r="AZ15" s="364"/>
      <c r="BA15" s="364"/>
      <c r="BB15" s="364"/>
      <c r="BC15" s="364"/>
      <c r="BD15" s="364"/>
      <c r="BE15" s="362"/>
      <c r="BF15" s="362"/>
      <c r="BG15" s="363"/>
      <c r="BH15" s="364"/>
      <c r="BI15" s="364"/>
    </row>
    <row r="16" spans="1:61" s="192" customFormat="1">
      <c r="A16" s="432">
        <f>'1-συμβολαια'!A16</f>
        <v>0</v>
      </c>
      <c r="B16" s="326" t="str">
        <f>'1-συμβολαια'!C16</f>
        <v xml:space="preserve">κάθετος ΣΥΣΤΑΣΗ </v>
      </c>
      <c r="C16" s="274" t="str">
        <f>'4-πολλυπρ'!D16</f>
        <v>219-120</v>
      </c>
      <c r="D16" s="274">
        <f>'4-πολλυπρ'!I16</f>
        <v>0</v>
      </c>
      <c r="E16" s="274">
        <f>2*4</f>
        <v>8</v>
      </c>
      <c r="F16" s="318">
        <f t="shared" si="4"/>
        <v>8800</v>
      </c>
      <c r="G16" s="305"/>
      <c r="H16" s="305">
        <f t="shared" si="5"/>
        <v>8800</v>
      </c>
      <c r="I16" s="330" t="s">
        <v>163</v>
      </c>
      <c r="J16" s="330" t="s">
        <v>164</v>
      </c>
      <c r="K16" s="305"/>
      <c r="L16" s="305"/>
      <c r="M16" s="305">
        <v>888</v>
      </c>
      <c r="N16" s="305"/>
      <c r="O16" s="305">
        <f t="shared" si="6"/>
        <v>0</v>
      </c>
      <c r="P16" s="274"/>
      <c r="Q16" s="274"/>
      <c r="R16" s="274"/>
      <c r="S16" s="274"/>
      <c r="T16" s="363">
        <v>43823</v>
      </c>
      <c r="U16" s="74"/>
      <c r="V16" s="328" t="s">
        <v>423</v>
      </c>
      <c r="W16" s="74"/>
      <c r="X16" s="328" t="s">
        <v>9</v>
      </c>
      <c r="Y16" s="329"/>
      <c r="Z16" s="74"/>
      <c r="AA16" s="74"/>
      <c r="AB16" s="74"/>
      <c r="AC16" s="74"/>
      <c r="AD16" s="363">
        <v>43823</v>
      </c>
      <c r="AE16" s="74"/>
      <c r="AF16" s="74"/>
      <c r="AG16" s="74">
        <v>612</v>
      </c>
      <c r="AH16" s="74">
        <v>92</v>
      </c>
      <c r="AI16" s="362"/>
      <c r="AJ16" s="362"/>
      <c r="AK16" s="362"/>
      <c r="AL16" s="362"/>
      <c r="AM16" s="362"/>
      <c r="AN16" s="362"/>
      <c r="AO16" s="328" t="s">
        <v>423</v>
      </c>
      <c r="AP16" s="362"/>
      <c r="AQ16" s="328" t="s">
        <v>9</v>
      </c>
      <c r="AR16" s="362"/>
      <c r="AS16" s="362"/>
      <c r="AT16" s="362"/>
      <c r="AU16" s="362"/>
      <c r="AV16" s="363"/>
      <c r="AW16" s="362"/>
      <c r="AX16" s="362"/>
      <c r="AY16" s="362"/>
      <c r="AZ16" s="364"/>
      <c r="BA16" s="364"/>
      <c r="BB16" s="364"/>
      <c r="BC16" s="364"/>
      <c r="BD16" s="364"/>
      <c r="BE16" s="362"/>
      <c r="BF16" s="362"/>
      <c r="BG16" s="363"/>
      <c r="BH16" s="364"/>
      <c r="BI16" s="364"/>
    </row>
    <row r="17" spans="1:61">
      <c r="A17" s="686" t="s">
        <v>35</v>
      </c>
      <c r="B17" s="687"/>
      <c r="C17" s="687"/>
      <c r="D17" s="688"/>
      <c r="E17" s="72">
        <f>SUM(E3:E13)</f>
        <v>15</v>
      </c>
      <c r="F17" s="72">
        <f>SUM(F3:F13)</f>
        <v>16500</v>
      </c>
      <c r="G17" s="72">
        <f>SUM(G3:G13)</f>
        <v>2200</v>
      </c>
      <c r="H17" s="72">
        <f>SUM(H3:H13)</f>
        <v>18700</v>
      </c>
      <c r="I17" s="72"/>
      <c r="J17" s="72"/>
      <c r="K17" s="72">
        <f t="shared" ref="K17:R17" si="7">SUM(K3:K13)</f>
        <v>4000</v>
      </c>
      <c r="L17" s="72">
        <f t="shared" si="7"/>
        <v>4000</v>
      </c>
      <c r="M17" s="72">
        <f t="shared" si="7"/>
        <v>4888</v>
      </c>
      <c r="N17" s="72">
        <f t="shared" si="7"/>
        <v>1310</v>
      </c>
      <c r="O17" s="72">
        <f t="shared" si="7"/>
        <v>8000</v>
      </c>
      <c r="P17" s="68">
        <f t="shared" si="7"/>
        <v>0</v>
      </c>
      <c r="Q17" s="68">
        <f t="shared" si="7"/>
        <v>0</v>
      </c>
      <c r="R17" s="68">
        <f t="shared" si="7"/>
        <v>0</v>
      </c>
      <c r="S17" s="68"/>
      <c r="T17" s="134"/>
      <c r="U17" s="68">
        <f>SUM(U3:U13)</f>
        <v>0</v>
      </c>
      <c r="V17" s="68"/>
      <c r="W17" s="68">
        <f>SUM(W3:W13)</f>
        <v>0</v>
      </c>
      <c r="X17" s="68"/>
      <c r="Y17" s="68">
        <f>SUM(Y3:Y13)</f>
        <v>0</v>
      </c>
      <c r="Z17" s="68">
        <f>SUM(Z3:Z13)</f>
        <v>0</v>
      </c>
      <c r="AA17" s="68">
        <f>SUM(AA3:AA13)</f>
        <v>0</v>
      </c>
      <c r="AB17" s="68">
        <f>SUM(AB3:AB13)</f>
        <v>0</v>
      </c>
      <c r="AC17" s="68">
        <f>SUM(AC3:AC13)</f>
        <v>0</v>
      </c>
      <c r="AD17" s="134"/>
      <c r="AE17" s="68"/>
      <c r="AF17" s="68"/>
      <c r="AG17" s="68"/>
      <c r="AH17" s="68"/>
      <c r="AI17" s="72">
        <f>SUM(AI3:AI13)</f>
        <v>0</v>
      </c>
      <c r="AJ17" s="72">
        <f>SUM(AJ3:AJ13)</f>
        <v>0</v>
      </c>
      <c r="AK17" s="72"/>
      <c r="AL17" s="68">
        <f>SUM(AL3:AL13)</f>
        <v>0</v>
      </c>
      <c r="AM17" s="68">
        <f>SUM(AM3:AM13)</f>
        <v>0</v>
      </c>
      <c r="AN17" s="68">
        <f>SUM(AN3:AN13)</f>
        <v>0</v>
      </c>
      <c r="AO17" s="68"/>
      <c r="AP17" s="68">
        <f t="shared" ref="AP17:BD17" si="8">SUM(AP3:AP13)</f>
        <v>0</v>
      </c>
      <c r="AQ17" s="68">
        <f t="shared" si="8"/>
        <v>0</v>
      </c>
      <c r="AR17" s="68">
        <f t="shared" si="8"/>
        <v>0</v>
      </c>
      <c r="AS17" s="68">
        <f t="shared" si="8"/>
        <v>0</v>
      </c>
      <c r="AT17" s="68">
        <f t="shared" si="8"/>
        <v>0</v>
      </c>
      <c r="AU17" s="68">
        <f t="shared" si="8"/>
        <v>0</v>
      </c>
      <c r="AV17" s="68">
        <f t="shared" si="8"/>
        <v>0</v>
      </c>
      <c r="AW17" s="68">
        <f t="shared" si="8"/>
        <v>0</v>
      </c>
      <c r="AX17" s="68">
        <f t="shared" si="8"/>
        <v>0</v>
      </c>
      <c r="AY17" s="68">
        <f t="shared" si="8"/>
        <v>0</v>
      </c>
      <c r="AZ17" s="68">
        <f t="shared" si="8"/>
        <v>0</v>
      </c>
      <c r="BA17" s="68">
        <f t="shared" si="8"/>
        <v>0</v>
      </c>
      <c r="BB17" s="68">
        <f t="shared" si="8"/>
        <v>0</v>
      </c>
      <c r="BC17" s="68">
        <f t="shared" si="8"/>
        <v>0</v>
      </c>
      <c r="BD17" s="68">
        <f t="shared" si="8"/>
        <v>0</v>
      </c>
      <c r="BE17" s="68"/>
      <c r="BF17" s="68"/>
      <c r="BG17" s="68"/>
      <c r="BH17" s="68"/>
      <c r="BI17" s="68"/>
    </row>
    <row r="19" spans="1:61">
      <c r="G19" s="137"/>
      <c r="H19" s="137"/>
      <c r="I19" s="137"/>
      <c r="J19" s="137"/>
      <c r="K19" s="137" t="s">
        <v>424</v>
      </c>
      <c r="L19" s="115"/>
      <c r="M19" s="115"/>
      <c r="N19" s="115"/>
      <c r="S19" s="178" t="s">
        <v>166</v>
      </c>
      <c r="Z19" s="2"/>
      <c r="AB19" s="115" t="s">
        <v>100</v>
      </c>
      <c r="AI19" s="225" t="s">
        <v>101</v>
      </c>
    </row>
    <row r="20" spans="1:61">
      <c r="F20" s="3"/>
      <c r="G20" s="3"/>
      <c r="H20" s="3"/>
      <c r="I20" s="154" t="s">
        <v>159</v>
      </c>
      <c r="J20" s="117"/>
      <c r="L20" s="137" t="s">
        <v>424</v>
      </c>
      <c r="M20" s="3"/>
      <c r="N20" s="3"/>
      <c r="O20" s="3"/>
      <c r="P20" s="154" t="s">
        <v>167</v>
      </c>
      <c r="S20" s="9"/>
    </row>
    <row r="21" spans="1:61">
      <c r="E21" s="116"/>
      <c r="F21" s="3"/>
      <c r="G21" s="3"/>
      <c r="H21" s="3"/>
      <c r="I21" s="117" t="s">
        <v>160</v>
      </c>
      <c r="J21" s="117"/>
      <c r="L21" s="3"/>
      <c r="M21" s="3"/>
      <c r="N21" s="3"/>
      <c r="O21" s="3"/>
      <c r="Q21" s="117" t="s">
        <v>168</v>
      </c>
      <c r="S21" s="9"/>
    </row>
    <row r="22" spans="1:61">
      <c r="I22" s="117"/>
      <c r="J22" s="154" t="s">
        <v>161</v>
      </c>
      <c r="M22" s="148" t="s">
        <v>440</v>
      </c>
      <c r="N22" s="148"/>
      <c r="S22" s="9"/>
    </row>
    <row r="23" spans="1:61">
      <c r="J23" s="117" t="s">
        <v>162</v>
      </c>
      <c r="S23" s="9"/>
    </row>
    <row r="24" spans="1:61">
      <c r="A24" s="8">
        <v>1469</v>
      </c>
      <c r="B24" s="3" t="s">
        <v>542</v>
      </c>
      <c r="C24" s="8" t="s">
        <v>552</v>
      </c>
      <c r="S24" s="9"/>
      <c r="U24" s="28"/>
      <c r="V24" s="28"/>
    </row>
    <row r="25" spans="1:61">
      <c r="B25" s="303" t="s">
        <v>543</v>
      </c>
      <c r="C25" s="8" t="s">
        <v>553</v>
      </c>
      <c r="S25" s="9"/>
      <c r="U25" s="28"/>
      <c r="V25" s="28"/>
    </row>
    <row r="26" spans="1:61">
      <c r="B26" s="303" t="s">
        <v>544</v>
      </c>
      <c r="C26" s="8" t="s">
        <v>552</v>
      </c>
      <c r="S26" s="9"/>
      <c r="U26" s="28"/>
      <c r="V26" s="28"/>
    </row>
    <row r="27" spans="1:61">
      <c r="B27" s="131"/>
      <c r="C27" s="8" t="s">
        <v>552</v>
      </c>
      <c r="U27" s="28"/>
      <c r="V27" s="28"/>
    </row>
    <row r="28" spans="1:61">
      <c r="C28" s="8"/>
      <c r="U28" s="28"/>
      <c r="V28" s="28"/>
    </row>
    <row r="29" spans="1:61">
      <c r="A29" s="8">
        <v>1470</v>
      </c>
      <c r="C29" s="8" t="s">
        <v>554</v>
      </c>
      <c r="P29" s="2"/>
      <c r="Q29" s="2"/>
      <c r="R29" s="2"/>
      <c r="S29" s="2"/>
      <c r="U29" s="28"/>
      <c r="V29" s="28"/>
    </row>
    <row r="30" spans="1:61">
      <c r="C30" s="8"/>
      <c r="U30" s="28"/>
      <c r="V30" s="28"/>
    </row>
    <row r="31" spans="1:61">
      <c r="A31" s="8">
        <v>1471</v>
      </c>
      <c r="B31" s="3" t="s">
        <v>546</v>
      </c>
      <c r="C31" s="8" t="s">
        <v>553</v>
      </c>
      <c r="D31" s="8"/>
      <c r="E31" s="8"/>
      <c r="F31" s="8"/>
      <c r="G31" s="8"/>
      <c r="H31" s="8"/>
      <c r="I31" s="82"/>
      <c r="U31" s="28"/>
      <c r="V31" s="28"/>
    </row>
    <row r="32" spans="1:61">
      <c r="B32" s="303"/>
      <c r="C32" s="8"/>
      <c r="D32" s="8"/>
      <c r="E32" s="8"/>
      <c r="F32" s="8"/>
      <c r="G32" s="8"/>
      <c r="H32" s="8"/>
      <c r="I32" s="82"/>
      <c r="U32" s="28"/>
      <c r="V32" s="28"/>
    </row>
    <row r="33" spans="1:22">
      <c r="A33" s="8">
        <v>1472</v>
      </c>
      <c r="B33" s="3" t="s">
        <v>547</v>
      </c>
      <c r="C33" s="8" t="s">
        <v>554</v>
      </c>
      <c r="D33" s="58"/>
      <c r="E33" s="8"/>
      <c r="F33" s="8"/>
      <c r="G33" s="8"/>
      <c r="H33" s="8"/>
      <c r="I33" s="82"/>
      <c r="U33" s="28"/>
      <c r="V33" s="28"/>
    </row>
    <row r="34" spans="1:22">
      <c r="B34" s="3"/>
      <c r="C34" s="8" t="s">
        <v>555</v>
      </c>
      <c r="D34" s="8"/>
      <c r="E34" s="8"/>
      <c r="F34" s="8"/>
      <c r="G34" s="8"/>
      <c r="H34" s="8"/>
      <c r="I34" s="82"/>
      <c r="U34" s="28"/>
      <c r="V34" s="28"/>
    </row>
    <row r="35" spans="1:22">
      <c r="B35" s="3"/>
      <c r="C35" s="350"/>
      <c r="D35" s="8"/>
      <c r="E35" s="8"/>
      <c r="F35" s="8"/>
      <c r="G35" s="8"/>
      <c r="H35" s="8"/>
      <c r="I35" s="82"/>
      <c r="U35" s="28"/>
      <c r="V35" s="28"/>
    </row>
    <row r="36" spans="1:22">
      <c r="B36" s="3"/>
      <c r="C36" s="350"/>
      <c r="D36" s="8"/>
      <c r="E36" s="8"/>
      <c r="F36" s="8"/>
      <c r="G36" s="8"/>
      <c r="H36" s="8"/>
      <c r="I36" s="82"/>
      <c r="U36" s="28"/>
      <c r="V36" s="28"/>
    </row>
    <row r="37" spans="1:22">
      <c r="B37" s="303"/>
      <c r="C37" s="350"/>
      <c r="D37" s="58"/>
      <c r="E37" s="58"/>
      <c r="F37" s="58"/>
      <c r="G37" s="58"/>
      <c r="H37" s="8"/>
      <c r="I37" s="82"/>
    </row>
    <row r="38" spans="1:22">
      <c r="B38" s="3"/>
      <c r="C38" s="58"/>
      <c r="D38" s="58"/>
      <c r="E38" s="58"/>
      <c r="F38" s="58"/>
      <c r="G38" s="58"/>
      <c r="H38" s="8"/>
    </row>
    <row r="39" spans="1:22">
      <c r="B39" s="3"/>
      <c r="C39" s="58"/>
      <c r="D39" s="58"/>
      <c r="E39" s="58"/>
      <c r="F39" s="58"/>
      <c r="G39" s="58"/>
      <c r="H39" s="8"/>
    </row>
    <row r="40" spans="1:22">
      <c r="B40" s="3"/>
      <c r="C40" s="58"/>
      <c r="D40" s="58"/>
      <c r="E40" s="58"/>
      <c r="F40" s="58"/>
      <c r="G40" s="58"/>
    </row>
    <row r="41" spans="1:22">
      <c r="B41" s="3"/>
      <c r="C41" s="8"/>
      <c r="D41" s="8"/>
      <c r="E41" s="8"/>
      <c r="F41" s="8"/>
      <c r="G41" s="8"/>
    </row>
  </sheetData>
  <mergeCells count="15">
    <mergeCell ref="A17:D17"/>
    <mergeCell ref="A1:D1"/>
    <mergeCell ref="AD1:AL1"/>
    <mergeCell ref="E1:Q1"/>
    <mergeCell ref="R1:R2"/>
    <mergeCell ref="AB2:AC2"/>
    <mergeCell ref="AK2:AL2"/>
    <mergeCell ref="I2:J2"/>
    <mergeCell ref="S1:S2"/>
    <mergeCell ref="AM1:AV1"/>
    <mergeCell ref="AW1:BD1"/>
    <mergeCell ref="BE1:BI1"/>
    <mergeCell ref="T1:AC1"/>
    <mergeCell ref="BH2:BI2"/>
    <mergeCell ref="AU2:AV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Y34"/>
  <sheetViews>
    <sheetView workbookViewId="0">
      <pane ySplit="2" topLeftCell="A3" activePane="bottomLeft" state="frozen"/>
      <selection pane="bottomLeft" activeCell="G35" sqref="G35"/>
    </sheetView>
  </sheetViews>
  <sheetFormatPr defaultRowHeight="12.75"/>
  <cols>
    <col min="1" max="1" width="10.5703125" style="408" bestFit="1" customWidth="1"/>
    <col min="2" max="2" width="56.85546875" style="409" bestFit="1" customWidth="1"/>
    <col min="3" max="3" width="7.42578125" style="403" customWidth="1"/>
    <col min="4" max="4" width="7.28515625" style="403" customWidth="1"/>
    <col min="5" max="5" width="9.42578125" style="410" bestFit="1" customWidth="1"/>
    <col min="6" max="7" width="6.42578125" style="410" customWidth="1"/>
    <col min="8" max="8" width="6.140625" style="410" customWidth="1"/>
    <col min="9" max="9" width="9.28515625" style="410" customWidth="1"/>
    <col min="10" max="10" width="9.85546875" style="410" customWidth="1"/>
    <col min="11" max="11" width="8.85546875" style="410" customWidth="1"/>
    <col min="12" max="12" width="10" style="410" customWidth="1"/>
    <col min="13" max="14" width="8.85546875" style="410" customWidth="1"/>
    <col min="15" max="15" width="10.140625" style="410" customWidth="1"/>
    <col min="16" max="16" width="9.7109375" style="410" customWidth="1"/>
    <col min="17" max="18" width="8.85546875" style="410" customWidth="1"/>
    <col min="19" max="19" width="10.7109375" style="410" customWidth="1"/>
    <col min="20" max="20" width="10.140625" style="410" customWidth="1"/>
    <col min="21" max="21" width="12" style="410" customWidth="1"/>
    <col min="22" max="23" width="7.42578125" style="412" customWidth="1"/>
    <col min="24" max="24" width="11.42578125" style="412" bestFit="1" customWidth="1"/>
    <col min="25" max="25" width="29.85546875" style="412" customWidth="1"/>
    <col min="26" max="16384" width="9.140625" style="403"/>
  </cols>
  <sheetData>
    <row r="1" spans="1:25" s="396" customFormat="1" ht="15.75" customHeight="1">
      <c r="A1" s="705" t="s">
        <v>31</v>
      </c>
      <c r="B1" s="706"/>
      <c r="C1" s="706"/>
      <c r="D1" s="707"/>
      <c r="E1" s="711" t="s">
        <v>171</v>
      </c>
      <c r="F1" s="712"/>
      <c r="G1" s="712"/>
      <c r="H1" s="712"/>
      <c r="I1" s="700" t="s">
        <v>165</v>
      </c>
      <c r="J1" s="700"/>
      <c r="K1" s="700"/>
      <c r="L1" s="700"/>
      <c r="M1" s="700"/>
      <c r="N1" s="700"/>
      <c r="O1" s="700"/>
      <c r="P1" s="700"/>
      <c r="Q1" s="700"/>
      <c r="R1" s="700"/>
      <c r="S1" s="700"/>
      <c r="T1" s="700"/>
      <c r="U1" s="700"/>
      <c r="V1" s="701" t="s">
        <v>29</v>
      </c>
      <c r="W1" s="702"/>
      <c r="X1" s="702"/>
      <c r="Y1" s="702"/>
    </row>
    <row r="2" spans="1:25" s="396" customFormat="1" ht="39" thickBot="1">
      <c r="A2" s="397" t="s">
        <v>19</v>
      </c>
      <c r="B2" s="398" t="s">
        <v>0</v>
      </c>
      <c r="C2" s="399" t="s">
        <v>11</v>
      </c>
      <c r="D2" s="400" t="s">
        <v>12</v>
      </c>
      <c r="E2" s="401" t="s">
        <v>425</v>
      </c>
      <c r="F2" s="713" t="s">
        <v>29</v>
      </c>
      <c r="G2" s="714"/>
      <c r="H2" s="715"/>
      <c r="I2" s="401" t="s">
        <v>89</v>
      </c>
      <c r="J2" s="399" t="s">
        <v>90</v>
      </c>
      <c r="K2" s="399" t="s">
        <v>92</v>
      </c>
      <c r="L2" s="399" t="s">
        <v>241</v>
      </c>
      <c r="M2" s="399"/>
      <c r="N2" s="399" t="s">
        <v>242</v>
      </c>
      <c r="O2" s="399" t="s">
        <v>561</v>
      </c>
      <c r="P2" s="399" t="s">
        <v>36</v>
      </c>
      <c r="Q2" s="399" t="s">
        <v>567</v>
      </c>
      <c r="R2" s="399"/>
      <c r="S2" s="399" t="s">
        <v>564</v>
      </c>
      <c r="T2" s="399" t="s">
        <v>563</v>
      </c>
      <c r="U2" s="399" t="s">
        <v>47</v>
      </c>
      <c r="V2" s="703"/>
      <c r="W2" s="704"/>
      <c r="X2" s="704"/>
      <c r="Y2" s="704"/>
    </row>
    <row r="3" spans="1:25" s="402" customFormat="1">
      <c r="A3" s="420" t="str">
        <f>'1-συμβολαια'!A3</f>
        <v>1ο</v>
      </c>
      <c r="B3" s="421" t="str">
        <f>'1-συμβολαια'!C3</f>
        <v>γονικής ΠΡΟΣΥΜΦΩΝΟ</v>
      </c>
      <c r="C3" s="422" t="str">
        <f>'4-πολλυπρ'!D3</f>
        <v>219-120</v>
      </c>
      <c r="D3" s="422" t="str">
        <f>'4-πολλυπρ'!I3</f>
        <v>????</v>
      </c>
      <c r="E3" s="423"/>
      <c r="F3" s="424"/>
      <c r="G3" s="424"/>
      <c r="H3" s="425"/>
      <c r="I3" s="423"/>
      <c r="J3" s="423"/>
      <c r="K3" s="423"/>
      <c r="L3" s="423"/>
      <c r="M3" s="423"/>
      <c r="N3" s="423"/>
      <c r="O3" s="423"/>
      <c r="P3" s="423"/>
      <c r="Q3" s="423"/>
      <c r="R3" s="423"/>
      <c r="S3" s="423"/>
      <c r="T3" s="423"/>
      <c r="U3" s="423">
        <f t="shared" ref="U3:U13" si="0">SUM(I3:T3)-K3</f>
        <v>0</v>
      </c>
      <c r="V3" s="426"/>
      <c r="W3" s="426"/>
      <c r="X3" s="427"/>
      <c r="Y3" s="428"/>
    </row>
    <row r="4" spans="1:25" s="402" customFormat="1">
      <c r="A4" s="420" t="str">
        <f>'1-συμβολαια'!A4</f>
        <v>2ο</v>
      </c>
      <c r="B4" s="421" t="str">
        <f>'1-συμβολαια'!C4</f>
        <v>δωρεάς ΠΡΟΣΥΜΦΩΝΟ</v>
      </c>
      <c r="C4" s="422" t="str">
        <f>'4-πολλυπρ'!D4</f>
        <v>219-120</v>
      </c>
      <c r="D4" s="422" t="str">
        <f>'4-πολλυπρ'!I4</f>
        <v>????</v>
      </c>
      <c r="E4" s="423"/>
      <c r="F4" s="424"/>
      <c r="G4" s="424"/>
      <c r="H4" s="425"/>
      <c r="I4" s="423"/>
      <c r="J4" s="423"/>
      <c r="K4" s="423"/>
      <c r="L4" s="423"/>
      <c r="M4" s="423"/>
      <c r="N4" s="423"/>
      <c r="O4" s="423"/>
      <c r="P4" s="423"/>
      <c r="Q4" s="423"/>
      <c r="R4" s="423"/>
      <c r="S4" s="423"/>
      <c r="T4" s="423"/>
      <c r="U4" s="423">
        <f t="shared" si="0"/>
        <v>0</v>
      </c>
      <c r="V4" s="426"/>
      <c r="W4" s="426"/>
      <c r="X4" s="427"/>
      <c r="Y4" s="428"/>
    </row>
    <row r="5" spans="1:25" s="402" customFormat="1">
      <c r="A5" s="420" t="str">
        <f>'1-συμβολαια'!A5</f>
        <v>3ο</v>
      </c>
      <c r="B5" s="421" t="str">
        <f>'1-συμβολαια'!C5</f>
        <v>δωρεάς ΠΡΟΣΥΜΦΩΝΟ [1ο όροφο 55,63μ2</v>
      </c>
      <c r="C5" s="422" t="str">
        <f>'4-πολλυπρ'!D5</f>
        <v>219-120</v>
      </c>
      <c r="D5" s="422" t="str">
        <f>'4-πολλυπρ'!I5</f>
        <v>????</v>
      </c>
      <c r="E5" s="423"/>
      <c r="F5" s="424"/>
      <c r="G5" s="424"/>
      <c r="H5" s="425"/>
      <c r="I5" s="423"/>
      <c r="J5" s="423"/>
      <c r="K5" s="423"/>
      <c r="L5" s="423"/>
      <c r="M5" s="423"/>
      <c r="N5" s="423"/>
      <c r="O5" s="423"/>
      <c r="P5" s="423"/>
      <c r="Q5" s="423"/>
      <c r="R5" s="423"/>
      <c r="S5" s="423"/>
      <c r="T5" s="423"/>
      <c r="U5" s="423">
        <f t="shared" si="0"/>
        <v>0</v>
      </c>
      <c r="V5" s="426"/>
      <c r="W5" s="426"/>
      <c r="X5" s="427"/>
      <c r="Y5" s="428"/>
    </row>
    <row r="6" spans="1:25" s="402" customFormat="1">
      <c r="A6" s="420" t="str">
        <f>'1-συμβολαια'!A6</f>
        <v>4ο</v>
      </c>
      <c r="B6" s="421" t="str">
        <f>'1-συμβολαια'!C6</f>
        <v>πληρεξούσιο</v>
      </c>
      <c r="C6" s="422" t="str">
        <f>'4-πολλυπρ'!D6</f>
        <v>????</v>
      </c>
      <c r="D6" s="422" t="str">
        <f>'4-πολλυπρ'!I6</f>
        <v>????</v>
      </c>
      <c r="E6" s="423"/>
      <c r="F6" s="424"/>
      <c r="G6" s="424"/>
      <c r="H6" s="425"/>
      <c r="I6" s="423"/>
      <c r="J6" s="423"/>
      <c r="K6" s="423"/>
      <c r="L6" s="423"/>
      <c r="M6" s="423"/>
      <c r="N6" s="423"/>
      <c r="O6" s="423"/>
      <c r="P6" s="423"/>
      <c r="Q6" s="423"/>
      <c r="R6" s="423"/>
      <c r="S6" s="423"/>
      <c r="T6" s="423"/>
      <c r="U6" s="423">
        <f t="shared" si="0"/>
        <v>0</v>
      </c>
      <c r="V6" s="426"/>
      <c r="W6" s="426"/>
      <c r="X6" s="427"/>
      <c r="Y6" s="428"/>
    </row>
    <row r="7" spans="1:25" s="402" customFormat="1">
      <c r="A7" s="420" t="str">
        <f>'1-συμβολαια'!A7</f>
        <v>5ο</v>
      </c>
      <c r="B7" s="421" t="str">
        <f>'1-συμβολαια'!C7</f>
        <v>πληρεξούσιο</v>
      </c>
      <c r="C7" s="422" t="str">
        <f>'4-πολλυπρ'!D7</f>
        <v>????</v>
      </c>
      <c r="D7" s="422" t="str">
        <f>'4-πολλυπρ'!I7</f>
        <v>????</v>
      </c>
      <c r="E7" s="423"/>
      <c r="F7" s="424"/>
      <c r="G7" s="424"/>
      <c r="H7" s="425"/>
      <c r="I7" s="423"/>
      <c r="J7" s="423"/>
      <c r="K7" s="423"/>
      <c r="L7" s="423"/>
      <c r="M7" s="423"/>
      <c r="N7" s="423"/>
      <c r="O7" s="423"/>
      <c r="P7" s="423"/>
      <c r="Q7" s="423"/>
      <c r="R7" s="423"/>
      <c r="S7" s="423"/>
      <c r="T7" s="423"/>
      <c r="U7" s="423">
        <f t="shared" ref="U7" si="1">SUM(I7:T7)-K7</f>
        <v>0</v>
      </c>
      <c r="V7" s="426"/>
      <c r="W7" s="426"/>
      <c r="X7" s="427"/>
      <c r="Y7" s="428"/>
    </row>
    <row r="8" spans="1:25" s="402" customFormat="1">
      <c r="A8" s="431" t="str">
        <f>'1-συμβολαια'!A8</f>
        <v>7ο</v>
      </c>
      <c r="B8" s="421" t="str">
        <f>'1-συμβολαια'!C8</f>
        <v>διανομή [34,60% {= 7.480.642δρχ}] &amp; {65,40% {= 14.139.710δρχ}]</v>
      </c>
      <c r="C8" s="422" t="str">
        <f>'4-πολλυπρ'!D8</f>
        <v>219-120</v>
      </c>
      <c r="D8" s="422">
        <f>'4-πολλυπρ'!I8</f>
        <v>0</v>
      </c>
      <c r="E8" s="423">
        <v>4400</v>
      </c>
      <c r="F8" s="424" t="s">
        <v>172</v>
      </c>
      <c r="G8" s="424" t="s">
        <v>173</v>
      </c>
      <c r="H8" s="425"/>
      <c r="I8" s="423">
        <v>2000</v>
      </c>
      <c r="J8" s="423">
        <v>2000</v>
      </c>
      <c r="K8" s="423">
        <v>1210</v>
      </c>
      <c r="L8" s="423"/>
      <c r="M8" s="423"/>
      <c r="N8" s="423"/>
      <c r="O8" s="423">
        <f>2*5500</f>
        <v>11000</v>
      </c>
      <c r="P8" s="423">
        <f>2*2*5500</f>
        <v>22000</v>
      </c>
      <c r="Q8" s="423"/>
      <c r="R8" s="423"/>
      <c r="S8" s="423">
        <f>12*500</f>
        <v>6000</v>
      </c>
      <c r="T8" s="423">
        <f>12*1100</f>
        <v>13200</v>
      </c>
      <c r="U8" s="423">
        <f t="shared" si="0"/>
        <v>56200</v>
      </c>
      <c r="V8" s="426"/>
      <c r="W8" s="426"/>
      <c r="X8" s="427"/>
      <c r="Y8" s="428"/>
    </row>
    <row r="9" spans="1:25" s="402" customFormat="1">
      <c r="A9" s="431">
        <f>'1-συμβολαια'!A9</f>
        <v>0</v>
      </c>
      <c r="B9" s="421" t="str">
        <f>'1-συμβολαια'!C9</f>
        <v>εξισορόπηση διαφοράς διανεμομένων</v>
      </c>
      <c r="C9" s="422" t="str">
        <f>'4-πολλυπρ'!D9</f>
        <v>219-120</v>
      </c>
      <c r="D9" s="422" t="str">
        <f>'4-πολλυπρ'!I9</f>
        <v>????</v>
      </c>
      <c r="E9" s="423"/>
      <c r="F9" s="424"/>
      <c r="G9" s="424"/>
      <c r="H9" s="425"/>
      <c r="I9" s="423"/>
      <c r="J9" s="423"/>
      <c r="K9" s="423"/>
      <c r="L9" s="423"/>
      <c r="M9" s="423"/>
      <c r="N9" s="423"/>
      <c r="O9" s="423"/>
      <c r="P9" s="423"/>
      <c r="Q9" s="423"/>
      <c r="R9" s="423"/>
      <c r="S9" s="423"/>
      <c r="T9" s="423"/>
      <c r="U9" s="423">
        <f t="shared" ref="U9" si="2">SUM(I9:T9)-K9</f>
        <v>0</v>
      </c>
      <c r="V9" s="426"/>
      <c r="W9" s="426"/>
      <c r="X9" s="427"/>
      <c r="Y9" s="428"/>
    </row>
    <row r="10" spans="1:25" s="402" customFormat="1">
      <c r="A10" s="431">
        <f>'1-συμβολαια'!A10</f>
        <v>0</v>
      </c>
      <c r="B10" s="421" t="str">
        <f>'1-συμβολαια'!C10</f>
        <v>χρήσης ΚΑΝΟΝΙΣΝΟΣ</v>
      </c>
      <c r="C10" s="422" t="str">
        <f>'4-πολλυπρ'!D10</f>
        <v>219-120</v>
      </c>
      <c r="D10" s="422">
        <f>'4-πολλυπρ'!I10</f>
        <v>0</v>
      </c>
      <c r="E10" s="423">
        <v>2200</v>
      </c>
      <c r="F10" s="424" t="s">
        <v>172</v>
      </c>
      <c r="G10" s="424" t="s">
        <v>173</v>
      </c>
      <c r="H10" s="425"/>
      <c r="I10" s="423"/>
      <c r="J10" s="423"/>
      <c r="K10" s="423"/>
      <c r="L10" s="423"/>
      <c r="M10" s="423"/>
      <c r="N10" s="423"/>
      <c r="O10" s="423"/>
      <c r="P10" s="423"/>
      <c r="Q10" s="423"/>
      <c r="R10" s="423"/>
      <c r="S10" s="423"/>
      <c r="T10" s="423"/>
      <c r="U10" s="423">
        <f t="shared" si="0"/>
        <v>0</v>
      </c>
      <c r="V10" s="426"/>
      <c r="W10" s="426"/>
      <c r="X10" s="427"/>
      <c r="Y10" s="428"/>
    </row>
    <row r="11" spans="1:25" s="402" customFormat="1" ht="13.5" thickBot="1">
      <c r="A11" s="511">
        <f>'1-συμβολαια'!A11</f>
        <v>0</v>
      </c>
      <c r="B11" s="512" t="str">
        <f>'1-συμβολαια'!C11</f>
        <v xml:space="preserve">κάθετος ΣΥΣΤΑΣΗ </v>
      </c>
      <c r="C11" s="513" t="str">
        <f>'4-πολλυπρ'!D11</f>
        <v>219-120</v>
      </c>
      <c r="D11" s="513">
        <f>'4-πολλυπρ'!I11</f>
        <v>0</v>
      </c>
      <c r="E11" s="513">
        <v>4400</v>
      </c>
      <c r="F11" s="514" t="s">
        <v>172</v>
      </c>
      <c r="G11" s="514" t="s">
        <v>173</v>
      </c>
      <c r="H11" s="515"/>
      <c r="I11" s="513"/>
      <c r="J11" s="513"/>
      <c r="K11" s="513">
        <v>1210</v>
      </c>
      <c r="L11" s="513"/>
      <c r="M11" s="513"/>
      <c r="N11" s="513"/>
      <c r="O11" s="513">
        <f>2*5500</f>
        <v>11000</v>
      </c>
      <c r="P11" s="513">
        <f>2*2*5500</f>
        <v>22000</v>
      </c>
      <c r="Q11" s="513"/>
      <c r="R11" s="513"/>
      <c r="S11" s="513">
        <f>12*500</f>
        <v>6000</v>
      </c>
      <c r="T11" s="513">
        <f>12*1100</f>
        <v>13200</v>
      </c>
      <c r="U11" s="513">
        <f t="shared" ref="U11" si="3">SUM(I11:T11)-K11</f>
        <v>52200</v>
      </c>
      <c r="V11" s="516"/>
      <c r="W11" s="516"/>
      <c r="X11" s="517"/>
      <c r="Y11" s="518"/>
    </row>
    <row r="12" spans="1:25" s="430" customFormat="1">
      <c r="A12" s="507" t="str">
        <f>'1-συμβολαια'!A12</f>
        <v>6ο</v>
      </c>
      <c r="B12" s="421" t="str">
        <f>'1-συμβολαια'!C12</f>
        <v>πληρεξούσιο</v>
      </c>
      <c r="C12" s="423" t="str">
        <f>'4-πολλυπρ'!D12</f>
        <v>????</v>
      </c>
      <c r="D12" s="423" t="str">
        <f>'4-πολλυπρ'!I12</f>
        <v>????</v>
      </c>
      <c r="E12" s="423"/>
      <c r="F12" s="424"/>
      <c r="G12" s="424"/>
      <c r="H12" s="425"/>
      <c r="I12" s="423"/>
      <c r="J12" s="423"/>
      <c r="K12" s="423"/>
      <c r="L12" s="423"/>
      <c r="M12" s="423"/>
      <c r="N12" s="423"/>
      <c r="O12" s="423"/>
      <c r="P12" s="423"/>
      <c r="Q12" s="423"/>
      <c r="R12" s="423"/>
      <c r="S12" s="423"/>
      <c r="T12" s="423"/>
      <c r="U12" s="423">
        <f t="shared" si="0"/>
        <v>0</v>
      </c>
      <c r="V12" s="508"/>
      <c r="W12" s="508"/>
      <c r="X12" s="509"/>
      <c r="Y12" s="510"/>
    </row>
    <row r="13" spans="1:25" s="430" customFormat="1">
      <c r="A13" s="420" t="str">
        <f>'1-συμβολαια'!A13</f>
        <v>8ο</v>
      </c>
      <c r="B13" s="421" t="str">
        <f>'1-συμβολαια'!C13</f>
        <v>δωρεα [οικόπεδο42μ2</v>
      </c>
      <c r="C13" s="422" t="str">
        <f>'4-πολλυπρ'!D13</f>
        <v>????</v>
      </c>
      <c r="D13" s="422" t="str">
        <f>'4-πολλυπρ'!I13</f>
        <v>????</v>
      </c>
      <c r="E13" s="423">
        <v>2200</v>
      </c>
      <c r="F13" s="424" t="s">
        <v>172</v>
      </c>
      <c r="G13" s="424" t="s">
        <v>173</v>
      </c>
      <c r="H13" s="425"/>
      <c r="I13" s="423">
        <v>2000</v>
      </c>
      <c r="J13" s="423">
        <v>2000</v>
      </c>
      <c r="K13" s="423">
        <v>605</v>
      </c>
      <c r="L13" s="423"/>
      <c r="M13" s="423"/>
      <c r="N13" s="423"/>
      <c r="O13" s="423">
        <v>5500</v>
      </c>
      <c r="P13" s="423"/>
      <c r="Q13" s="423"/>
      <c r="R13" s="423"/>
      <c r="S13" s="423">
        <f>4*500</f>
        <v>2000</v>
      </c>
      <c r="T13" s="423">
        <f>14*1100</f>
        <v>15400</v>
      </c>
      <c r="U13" s="423">
        <f t="shared" si="0"/>
        <v>26900</v>
      </c>
      <c r="V13" s="426"/>
      <c r="W13" s="426"/>
      <c r="X13" s="427"/>
      <c r="Y13" s="429"/>
    </row>
    <row r="14" spans="1:25" s="402" customFormat="1">
      <c r="A14" s="420" t="str">
        <f>'1-συμβολαια'!A14</f>
        <v>9ο</v>
      </c>
      <c r="B14" s="421" t="str">
        <f>'1-συμβολαια'!C14</f>
        <v xml:space="preserve">γονική ΒΑΣΕΙ 1.113 προσυμφώνου </v>
      </c>
      <c r="C14" s="422" t="str">
        <f>'4-πολλυπρ'!D14</f>
        <v>219-120</v>
      </c>
      <c r="D14" s="422" t="str">
        <f>'4-πολλυπρ'!I14</f>
        <v>????</v>
      </c>
      <c r="E14" s="423">
        <v>2200</v>
      </c>
      <c r="F14" s="424" t="s">
        <v>172</v>
      </c>
      <c r="G14" s="424" t="s">
        <v>173</v>
      </c>
      <c r="H14" s="425"/>
      <c r="I14" s="423">
        <v>2000</v>
      </c>
      <c r="J14" s="423">
        <v>2000</v>
      </c>
      <c r="K14" s="423">
        <v>605</v>
      </c>
      <c r="L14" s="423"/>
      <c r="M14" s="423"/>
      <c r="N14" s="423"/>
      <c r="O14" s="423">
        <v>5500</v>
      </c>
      <c r="P14" s="423">
        <v>5500</v>
      </c>
      <c r="Q14" s="423"/>
      <c r="R14" s="423"/>
      <c r="S14" s="423">
        <f>6*500</f>
        <v>3000</v>
      </c>
      <c r="T14" s="423">
        <f>24*1100</f>
        <v>26400</v>
      </c>
      <c r="U14" s="423">
        <f t="shared" ref="U14:U16" si="4">SUM(I14:T14)-K14</f>
        <v>44400</v>
      </c>
      <c r="V14" s="426"/>
      <c r="W14" s="426"/>
      <c r="X14" s="427"/>
      <c r="Y14" s="428"/>
    </row>
    <row r="15" spans="1:25" s="402" customFormat="1">
      <c r="A15" s="431" t="str">
        <f>'1-συμβολαια'!A15</f>
        <v>10ο</v>
      </c>
      <c r="B15" s="421" t="str">
        <f>'1-συμβολαια'!C15</f>
        <v>δωρεά  ΒΑΣΕΙ 1.114 προσυμφώνου</v>
      </c>
      <c r="C15" s="422" t="str">
        <f>'4-πολλυπρ'!D15</f>
        <v>219-120</v>
      </c>
      <c r="D15" s="422" t="str">
        <f>'4-πολλυπρ'!I15</f>
        <v>????</v>
      </c>
      <c r="E15" s="423">
        <v>2200</v>
      </c>
      <c r="F15" s="424" t="s">
        <v>172</v>
      </c>
      <c r="G15" s="424" t="s">
        <v>173</v>
      </c>
      <c r="H15" s="425"/>
      <c r="I15" s="423">
        <v>2000</v>
      </c>
      <c r="J15" s="423">
        <v>2000</v>
      </c>
      <c r="K15" s="423">
        <v>605</v>
      </c>
      <c r="L15" s="423"/>
      <c r="M15" s="423"/>
      <c r="N15" s="423"/>
      <c r="O15" s="423">
        <v>5500</v>
      </c>
      <c r="P15" s="423">
        <v>16500</v>
      </c>
      <c r="Q15" s="423"/>
      <c r="R15" s="423"/>
      <c r="S15" s="423">
        <f>10*500</f>
        <v>5000</v>
      </c>
      <c r="T15" s="423">
        <f>44*1100</f>
        <v>48400</v>
      </c>
      <c r="U15" s="423">
        <f t="shared" si="4"/>
        <v>79400</v>
      </c>
      <c r="V15" s="426"/>
      <c r="W15" s="426"/>
      <c r="X15" s="427"/>
      <c r="Y15" s="428"/>
    </row>
    <row r="16" spans="1:25" s="402" customFormat="1">
      <c r="A16" s="431">
        <f>'1-συμβολαια'!A16</f>
        <v>0</v>
      </c>
      <c r="B16" s="421" t="str">
        <f>'1-συμβολαια'!C16</f>
        <v xml:space="preserve">κάθετος ΣΥΣΤΑΣΗ </v>
      </c>
      <c r="C16" s="422" t="str">
        <f>'4-πολλυπρ'!D16</f>
        <v>219-120</v>
      </c>
      <c r="D16" s="422">
        <f>'4-πολλυπρ'!I16</f>
        <v>0</v>
      </c>
      <c r="E16" s="423">
        <v>6600</v>
      </c>
      <c r="F16" s="424" t="s">
        <v>172</v>
      </c>
      <c r="G16" s="424" t="s">
        <v>173</v>
      </c>
      <c r="H16" s="425"/>
      <c r="I16" s="423"/>
      <c r="J16" s="423"/>
      <c r="K16" s="423">
        <v>1815</v>
      </c>
      <c r="L16" s="423"/>
      <c r="M16" s="423"/>
      <c r="N16" s="423"/>
      <c r="O16" s="423">
        <v>5500</v>
      </c>
      <c r="P16" s="423">
        <v>16500</v>
      </c>
      <c r="Q16" s="423"/>
      <c r="R16" s="423"/>
      <c r="S16" s="423">
        <f>10*500</f>
        <v>5000</v>
      </c>
      <c r="T16" s="423">
        <f>44*1100</f>
        <v>48400</v>
      </c>
      <c r="U16" s="423">
        <f t="shared" si="4"/>
        <v>75400</v>
      </c>
      <c r="V16" s="426"/>
      <c r="W16" s="426"/>
      <c r="X16" s="427"/>
      <c r="Y16" s="428"/>
    </row>
    <row r="17" spans="1:25">
      <c r="A17" s="708" t="s">
        <v>35</v>
      </c>
      <c r="B17" s="709"/>
      <c r="C17" s="709"/>
      <c r="D17" s="710"/>
      <c r="E17" s="404">
        <f>SUM(E3:E13)</f>
        <v>13200</v>
      </c>
      <c r="F17" s="405"/>
      <c r="G17" s="405"/>
      <c r="H17" s="405"/>
      <c r="I17" s="404">
        <f t="shared" ref="I17:V17" si="5">SUM(I3:I13)</f>
        <v>4000</v>
      </c>
      <c r="J17" s="404">
        <f t="shared" si="5"/>
        <v>4000</v>
      </c>
      <c r="K17" s="404">
        <f t="shared" si="5"/>
        <v>3025</v>
      </c>
      <c r="L17" s="404">
        <f t="shared" si="5"/>
        <v>0</v>
      </c>
      <c r="M17" s="404">
        <f t="shared" si="5"/>
        <v>0</v>
      </c>
      <c r="N17" s="404">
        <f t="shared" si="5"/>
        <v>0</v>
      </c>
      <c r="O17" s="404">
        <f t="shared" si="5"/>
        <v>27500</v>
      </c>
      <c r="P17" s="404">
        <f t="shared" si="5"/>
        <v>44000</v>
      </c>
      <c r="Q17" s="404">
        <f t="shared" si="5"/>
        <v>0</v>
      </c>
      <c r="R17" s="404">
        <f t="shared" si="5"/>
        <v>0</v>
      </c>
      <c r="S17" s="404">
        <f t="shared" si="5"/>
        <v>14000</v>
      </c>
      <c r="T17" s="404">
        <f t="shared" si="5"/>
        <v>41800</v>
      </c>
      <c r="U17" s="404">
        <f t="shared" si="5"/>
        <v>135300</v>
      </c>
      <c r="V17" s="406">
        <f t="shared" si="5"/>
        <v>0</v>
      </c>
      <c r="W17" s="407"/>
      <c r="X17" s="403"/>
      <c r="Y17" s="403"/>
    </row>
    <row r="19" spans="1:25" ht="15.75" customHeight="1">
      <c r="I19" s="411" t="s">
        <v>424</v>
      </c>
      <c r="L19" s="411" t="s">
        <v>426</v>
      </c>
      <c r="W19" s="413"/>
      <c r="X19" s="414"/>
      <c r="Y19" s="413"/>
    </row>
    <row r="20" spans="1:25">
      <c r="F20" s="415" t="s">
        <v>169</v>
      </c>
      <c r="G20" s="416"/>
      <c r="H20" s="412"/>
      <c r="L20" s="417" t="s">
        <v>211</v>
      </c>
      <c r="W20" s="410"/>
    </row>
    <row r="21" spans="1:25">
      <c r="F21" s="412"/>
      <c r="G21" s="416" t="s">
        <v>170</v>
      </c>
      <c r="M21" s="418"/>
      <c r="V21" s="410"/>
      <c r="W21" s="410"/>
    </row>
    <row r="22" spans="1:25">
      <c r="N22" s="433" t="s">
        <v>212</v>
      </c>
      <c r="V22" s="410"/>
      <c r="W22" s="410"/>
    </row>
    <row r="23" spans="1:25">
      <c r="O23" s="419" t="s">
        <v>560</v>
      </c>
      <c r="V23" s="410"/>
      <c r="W23" s="410"/>
    </row>
    <row r="24" spans="1:25">
      <c r="A24" s="8">
        <v>1469</v>
      </c>
      <c r="B24" s="3" t="s">
        <v>542</v>
      </c>
      <c r="C24" s="8" t="s">
        <v>552</v>
      </c>
      <c r="P24" s="419" t="s">
        <v>559</v>
      </c>
    </row>
    <row r="25" spans="1:25">
      <c r="A25" s="8"/>
      <c r="B25" s="303" t="s">
        <v>543</v>
      </c>
      <c r="C25" s="8" t="s">
        <v>553</v>
      </c>
      <c r="Q25" s="419" t="s">
        <v>566</v>
      </c>
    </row>
    <row r="26" spans="1:25">
      <c r="A26" s="8"/>
      <c r="B26" s="303" t="s">
        <v>544</v>
      </c>
      <c r="C26" s="8" t="s">
        <v>552</v>
      </c>
      <c r="S26" s="410" t="s">
        <v>565</v>
      </c>
    </row>
    <row r="27" spans="1:25">
      <c r="A27" s="8"/>
      <c r="B27" s="131"/>
      <c r="C27" s="8" t="s">
        <v>552</v>
      </c>
      <c r="T27" s="410" t="s">
        <v>562</v>
      </c>
    </row>
    <row r="28" spans="1:25">
      <c r="A28" s="8"/>
      <c r="B28" s="89"/>
      <c r="C28" s="8"/>
    </row>
    <row r="29" spans="1:25">
      <c r="A29" s="8">
        <v>1470</v>
      </c>
      <c r="B29" s="89"/>
      <c r="C29" s="8" t="s">
        <v>554</v>
      </c>
    </row>
    <row r="30" spans="1:25">
      <c r="A30" s="8"/>
      <c r="B30" s="89"/>
      <c r="C30" s="8"/>
    </row>
    <row r="31" spans="1:25">
      <c r="A31" s="8">
        <v>1471</v>
      </c>
      <c r="B31" s="3" t="s">
        <v>546</v>
      </c>
      <c r="C31" s="8" t="s">
        <v>553</v>
      </c>
    </row>
    <row r="32" spans="1:25">
      <c r="A32" s="8"/>
      <c r="B32" s="303"/>
      <c r="C32" s="8"/>
    </row>
    <row r="33" spans="1:3">
      <c r="A33" s="8">
        <v>1472</v>
      </c>
      <c r="B33" s="3" t="s">
        <v>547</v>
      </c>
      <c r="C33" s="8" t="s">
        <v>554</v>
      </c>
    </row>
    <row r="34" spans="1:3">
      <c r="A34" s="8"/>
      <c r="B34" s="3"/>
      <c r="C34" s="8" t="s">
        <v>555</v>
      </c>
    </row>
  </sheetData>
  <mergeCells count="6">
    <mergeCell ref="I1:U1"/>
    <mergeCell ref="V1:Y2"/>
    <mergeCell ref="A1:D1"/>
    <mergeCell ref="A17:D17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42"/>
  <sheetViews>
    <sheetView topLeftCell="H1" workbookViewId="0">
      <pane ySplit="2" topLeftCell="A3" activePane="bottomLeft" state="frozen"/>
      <selection pane="bottomLeft" activeCell="A35" sqref="A35"/>
    </sheetView>
  </sheetViews>
  <sheetFormatPr defaultRowHeight="11.25"/>
  <cols>
    <col min="1" max="1" width="7.28515625" style="8" bestFit="1" customWidth="1"/>
    <col min="2" max="2" width="47.5703125" style="3" bestFit="1" customWidth="1"/>
    <col min="3" max="3" width="13.140625" style="3" customWidth="1"/>
    <col min="4" max="4" width="9" style="8" bestFit="1" customWidth="1"/>
    <col min="5" max="5" width="10" style="3" customWidth="1"/>
    <col min="6" max="6" width="9.140625" style="3"/>
    <col min="7" max="7" width="10.28515625" style="3" bestFit="1" customWidth="1"/>
    <col min="8" max="12" width="9.140625" style="3"/>
    <col min="13" max="13" width="9.85546875" style="8" bestFit="1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0" width="9.140625" style="3"/>
    <col min="31" max="31" width="11.140625" style="8" bestFit="1" customWidth="1"/>
    <col min="32" max="32" width="9.28515625" style="8" bestFit="1" customWidth="1"/>
    <col min="33" max="33" width="11.140625" style="8" bestFit="1" customWidth="1"/>
    <col min="34" max="34" width="11.85546875" style="3" customWidth="1"/>
    <col min="35" max="16384" width="9.140625" style="3"/>
  </cols>
  <sheetData>
    <row r="1" spans="1:38" ht="15.75">
      <c r="A1" s="719" t="s">
        <v>332</v>
      </c>
      <c r="B1" s="720"/>
      <c r="C1" s="720"/>
      <c r="D1" s="720"/>
      <c r="E1" s="720"/>
      <c r="F1" s="720"/>
      <c r="G1" s="720"/>
      <c r="H1" s="720"/>
      <c r="I1" s="720"/>
      <c r="J1" s="720"/>
      <c r="K1" s="720"/>
      <c r="L1" s="720"/>
      <c r="M1" s="720"/>
      <c r="N1" s="720"/>
      <c r="O1" s="720"/>
      <c r="P1" s="720"/>
      <c r="Q1" s="720"/>
      <c r="R1" s="720"/>
      <c r="S1" s="720"/>
      <c r="T1" s="720"/>
      <c r="U1" s="720"/>
      <c r="V1" s="720"/>
      <c r="W1" s="720"/>
      <c r="X1" s="720"/>
      <c r="Y1" s="720"/>
      <c r="Z1" s="720"/>
      <c r="AA1" s="720"/>
      <c r="AB1" s="720"/>
      <c r="AC1" s="720"/>
      <c r="AD1" s="720"/>
      <c r="AE1" s="721" t="s">
        <v>47</v>
      </c>
      <c r="AF1" s="723" t="s">
        <v>9</v>
      </c>
      <c r="AG1" s="725" t="s">
        <v>33</v>
      </c>
      <c r="AH1" s="727" t="s">
        <v>342</v>
      </c>
      <c r="AI1" s="729" t="s">
        <v>85</v>
      </c>
      <c r="AJ1" s="730"/>
      <c r="AK1" s="730"/>
      <c r="AL1" s="731"/>
    </row>
    <row r="2" spans="1:38" ht="12" thickBot="1">
      <c r="A2" s="389"/>
      <c r="B2" s="198" t="s">
        <v>341</v>
      </c>
      <c r="C2" s="198" t="s">
        <v>86</v>
      </c>
      <c r="D2" s="390" t="s">
        <v>333</v>
      </c>
      <c r="E2" s="173" t="s">
        <v>31</v>
      </c>
      <c r="F2" s="173" t="s">
        <v>334</v>
      </c>
      <c r="G2" s="173" t="s">
        <v>335</v>
      </c>
      <c r="H2" s="173" t="s">
        <v>336</v>
      </c>
      <c r="I2" s="173" t="s">
        <v>337</v>
      </c>
      <c r="J2" s="173" t="s">
        <v>338</v>
      </c>
      <c r="K2" s="684" t="s">
        <v>29</v>
      </c>
      <c r="L2" s="685"/>
      <c r="M2" s="380" t="s">
        <v>339</v>
      </c>
      <c r="N2" s="183" t="s">
        <v>31</v>
      </c>
      <c r="O2" s="183" t="s">
        <v>334</v>
      </c>
      <c r="P2" s="183" t="s">
        <v>335</v>
      </c>
      <c r="Q2" s="183" t="s">
        <v>336</v>
      </c>
      <c r="R2" s="183" t="s">
        <v>337</v>
      </c>
      <c r="S2" s="183" t="s">
        <v>338</v>
      </c>
      <c r="T2" s="694" t="s">
        <v>29</v>
      </c>
      <c r="U2" s="695"/>
      <c r="V2" s="173" t="s">
        <v>340</v>
      </c>
      <c r="W2" s="173" t="s">
        <v>31</v>
      </c>
      <c r="X2" s="173" t="s">
        <v>334</v>
      </c>
      <c r="Y2" s="173" t="s">
        <v>335</v>
      </c>
      <c r="Z2" s="173" t="s">
        <v>336</v>
      </c>
      <c r="AA2" s="173" t="s">
        <v>337</v>
      </c>
      <c r="AB2" s="173" t="s">
        <v>338</v>
      </c>
      <c r="AC2" s="684" t="s">
        <v>29</v>
      </c>
      <c r="AD2" s="685"/>
      <c r="AE2" s="722"/>
      <c r="AF2" s="724"/>
      <c r="AG2" s="726"/>
      <c r="AH2" s="728"/>
      <c r="AI2" s="732"/>
      <c r="AJ2" s="733"/>
      <c r="AK2" s="733"/>
      <c r="AL2" s="734"/>
    </row>
    <row r="3" spans="1:38" s="5" customFormat="1">
      <c r="A3" s="280" t="str">
        <f>'1-συμβολαια'!A3</f>
        <v>1ο</v>
      </c>
      <c r="B3" s="74" t="str">
        <f>'1-συμβολαια'!C3</f>
        <v>γονικής ΠΡΟΣΥΜΦΩΝΟ</v>
      </c>
      <c r="C3" s="388">
        <f>'1-συμβολαια'!D3</f>
        <v>0</v>
      </c>
      <c r="D3" s="280"/>
      <c r="E3" s="74"/>
      <c r="F3" s="74"/>
      <c r="G3" s="74"/>
      <c r="H3" s="74"/>
      <c r="I3" s="74"/>
      <c r="J3" s="74"/>
      <c r="K3" s="74"/>
      <c r="L3" s="74"/>
      <c r="M3" s="280">
        <f t="shared" ref="M3" si="0">C3*0.65%</f>
        <v>0</v>
      </c>
      <c r="N3" s="74"/>
      <c r="O3" s="74"/>
      <c r="P3" s="74"/>
      <c r="Q3" s="74"/>
      <c r="R3" s="74"/>
      <c r="S3" s="74"/>
      <c r="T3" s="74"/>
      <c r="U3" s="74"/>
      <c r="V3" s="388">
        <f t="shared" ref="V3" si="1">C3*0.125%</f>
        <v>0</v>
      </c>
      <c r="W3" s="74"/>
      <c r="X3" s="74"/>
      <c r="Y3" s="74"/>
      <c r="Z3" s="74"/>
      <c r="AA3" s="74"/>
      <c r="AB3" s="74"/>
      <c r="AC3" s="74"/>
      <c r="AD3" s="74"/>
      <c r="AE3" s="276">
        <f t="shared" ref="AE3" si="2">D3+M3+V3</f>
        <v>0</v>
      </c>
      <c r="AF3" s="276"/>
      <c r="AG3" s="276">
        <f t="shared" ref="AG3" si="3">AE3-AF3</f>
        <v>0</v>
      </c>
      <c r="AH3" s="74"/>
      <c r="AI3" s="74"/>
      <c r="AJ3" s="74"/>
      <c r="AK3" s="74"/>
      <c r="AL3" s="74"/>
    </row>
    <row r="4" spans="1:38" s="5" customFormat="1">
      <c r="A4" s="280" t="str">
        <f>'1-συμβολαια'!A4</f>
        <v>2ο</v>
      </c>
      <c r="B4" s="74" t="str">
        <f>'1-συμβολαια'!C4</f>
        <v>δωρεάς ΠΡΟΣΥΜΦΩΝΟ</v>
      </c>
      <c r="C4" s="388">
        <f>'1-συμβολαια'!D4</f>
        <v>0</v>
      </c>
      <c r="D4" s="280">
        <f t="shared" ref="D4:D9" si="4">C4*1.3%</f>
        <v>0</v>
      </c>
      <c r="E4" s="74"/>
      <c r="F4" s="74"/>
      <c r="G4" s="74"/>
      <c r="H4" s="74"/>
      <c r="I4" s="74"/>
      <c r="J4" s="74"/>
      <c r="K4" s="74"/>
      <c r="L4" s="74"/>
      <c r="M4" s="280"/>
      <c r="N4" s="74"/>
      <c r="O4" s="74"/>
      <c r="P4" s="74"/>
      <c r="Q4" s="74"/>
      <c r="R4" s="74"/>
      <c r="S4" s="74"/>
      <c r="T4" s="74"/>
      <c r="U4" s="74"/>
      <c r="V4" s="388"/>
      <c r="W4" s="74"/>
      <c r="X4" s="74"/>
      <c r="Y4" s="74"/>
      <c r="Z4" s="74"/>
      <c r="AA4" s="74"/>
      <c r="AB4" s="74"/>
      <c r="AC4" s="74"/>
      <c r="AD4" s="74"/>
      <c r="AE4" s="276">
        <f t="shared" ref="AE4:AE13" si="5">D4+M4+V4</f>
        <v>0</v>
      </c>
      <c r="AF4" s="276"/>
      <c r="AG4" s="276">
        <f t="shared" ref="AG4:AG13" si="6">AE4-AF4</f>
        <v>0</v>
      </c>
      <c r="AH4" s="74"/>
      <c r="AI4" s="74"/>
      <c r="AJ4" s="74"/>
      <c r="AK4" s="74"/>
      <c r="AL4" s="74"/>
    </row>
    <row r="5" spans="1:38" s="5" customFormat="1">
      <c r="A5" s="280" t="str">
        <f>'1-συμβολαια'!A5</f>
        <v>3ο</v>
      </c>
      <c r="B5" s="74" t="str">
        <f>'1-συμβολαια'!C5</f>
        <v>δωρεάς ΠΡΟΣΥΜΦΩΝΟ [1ο όροφο 55,63μ2</v>
      </c>
      <c r="C5" s="388">
        <f>'1-συμβολαια'!D5</f>
        <v>0</v>
      </c>
      <c r="D5" s="280">
        <f t="shared" si="4"/>
        <v>0</v>
      </c>
      <c r="E5" s="74"/>
      <c r="F5" s="74"/>
      <c r="G5" s="74"/>
      <c r="H5" s="74"/>
      <c r="I5" s="74"/>
      <c r="J5" s="74"/>
      <c r="K5" s="74"/>
      <c r="L5" s="74"/>
      <c r="M5" s="280"/>
      <c r="N5" s="74"/>
      <c r="O5" s="74"/>
      <c r="P5" s="74"/>
      <c r="Q5" s="74"/>
      <c r="R5" s="74"/>
      <c r="S5" s="74"/>
      <c r="T5" s="74"/>
      <c r="U5" s="74"/>
      <c r="V5" s="388"/>
      <c r="W5" s="74"/>
      <c r="X5" s="74"/>
      <c r="Y5" s="74"/>
      <c r="Z5" s="74"/>
      <c r="AA5" s="74"/>
      <c r="AB5" s="74"/>
      <c r="AC5" s="74"/>
      <c r="AD5" s="74"/>
      <c r="AE5" s="276"/>
      <c r="AF5" s="276"/>
      <c r="AG5" s="276">
        <f t="shared" si="6"/>
        <v>0</v>
      </c>
      <c r="AH5" s="74"/>
      <c r="AI5" s="74"/>
      <c r="AJ5" s="74"/>
      <c r="AK5" s="74"/>
      <c r="AL5" s="74"/>
    </row>
    <row r="6" spans="1:38" s="5" customFormat="1">
      <c r="A6" s="280" t="str">
        <f>'1-συμβολαια'!A6</f>
        <v>4ο</v>
      </c>
      <c r="B6" s="74" t="str">
        <f>'1-συμβολαια'!C6</f>
        <v>πληρεξούσιο</v>
      </c>
      <c r="C6" s="388">
        <f>'1-συμβολαια'!D6</f>
        <v>0</v>
      </c>
      <c r="D6" s="280">
        <f t="shared" si="4"/>
        <v>0</v>
      </c>
      <c r="E6" s="74"/>
      <c r="F6" s="74"/>
      <c r="G6" s="74"/>
      <c r="H6" s="74"/>
      <c r="I6" s="74"/>
      <c r="J6" s="74"/>
      <c r="K6" s="74"/>
      <c r="L6" s="74"/>
      <c r="M6" s="280"/>
      <c r="N6" s="74"/>
      <c r="O6" s="74"/>
      <c r="P6" s="74"/>
      <c r="Q6" s="74"/>
      <c r="R6" s="74"/>
      <c r="S6" s="74"/>
      <c r="T6" s="74"/>
      <c r="U6" s="74"/>
      <c r="V6" s="388"/>
      <c r="W6" s="74"/>
      <c r="X6" s="74"/>
      <c r="Y6" s="74"/>
      <c r="Z6" s="74"/>
      <c r="AA6" s="74"/>
      <c r="AB6" s="74"/>
      <c r="AC6" s="74"/>
      <c r="AD6" s="74"/>
      <c r="AE6" s="276"/>
      <c r="AF6" s="276"/>
      <c r="AG6" s="276">
        <f t="shared" si="6"/>
        <v>0</v>
      </c>
      <c r="AH6" s="74"/>
      <c r="AI6" s="74"/>
      <c r="AJ6" s="74"/>
      <c r="AK6" s="74"/>
      <c r="AL6" s="74"/>
    </row>
    <row r="7" spans="1:38" s="5" customFormat="1">
      <c r="A7" s="280" t="str">
        <f>'1-συμβολαια'!A7</f>
        <v>5ο</v>
      </c>
      <c r="B7" s="74" t="str">
        <f>'1-συμβολαια'!C7</f>
        <v>πληρεξούσιο</v>
      </c>
      <c r="C7" s="388">
        <f>'1-συμβολαια'!D7</f>
        <v>0</v>
      </c>
      <c r="D7" s="280"/>
      <c r="E7" s="74"/>
      <c r="F7" s="74"/>
      <c r="G7" s="74"/>
      <c r="H7" s="74"/>
      <c r="I7" s="74"/>
      <c r="J7" s="74"/>
      <c r="K7" s="74"/>
      <c r="L7" s="74"/>
      <c r="M7" s="280"/>
      <c r="N7" s="74"/>
      <c r="O7" s="74"/>
      <c r="P7" s="74"/>
      <c r="Q7" s="74"/>
      <c r="R7" s="74"/>
      <c r="S7" s="74"/>
      <c r="T7" s="74"/>
      <c r="U7" s="74"/>
      <c r="V7" s="388"/>
      <c r="W7" s="74"/>
      <c r="X7" s="74"/>
      <c r="Y7" s="74"/>
      <c r="Z7" s="74"/>
      <c r="AA7" s="74"/>
      <c r="AB7" s="74"/>
      <c r="AC7" s="74"/>
      <c r="AD7" s="74"/>
      <c r="AE7" s="276">
        <f t="shared" ref="AE7" si="7">D7+M7+V7</f>
        <v>0</v>
      </c>
      <c r="AF7" s="276"/>
      <c r="AG7" s="276">
        <f t="shared" ref="AG7" si="8">AE7-AF7</f>
        <v>0</v>
      </c>
      <c r="AH7" s="74"/>
      <c r="AI7" s="74"/>
      <c r="AJ7" s="74"/>
      <c r="AK7" s="74"/>
      <c r="AL7" s="74"/>
    </row>
    <row r="8" spans="1:38" s="5" customFormat="1">
      <c r="A8" s="384" t="str">
        <f>'1-συμβολαια'!A8</f>
        <v>7ο</v>
      </c>
      <c r="B8" s="74" t="str">
        <f>'1-συμβολαια'!C8</f>
        <v>διανομή [34,60% {= 7.480.642δρχ}] &amp; {65,40% {= 14.139.710δρχ}]</v>
      </c>
      <c r="C8" s="388">
        <f>'1-συμβολαια'!D8</f>
        <v>21620352</v>
      </c>
      <c r="D8" s="280"/>
      <c r="E8" s="74"/>
      <c r="F8" s="74"/>
      <c r="G8" s="74"/>
      <c r="H8" s="74"/>
      <c r="I8" s="74"/>
      <c r="J8" s="74"/>
      <c r="K8" s="74"/>
      <c r="L8" s="74"/>
      <c r="M8" s="280"/>
      <c r="N8" s="74"/>
      <c r="O8" s="74"/>
      <c r="P8" s="74"/>
      <c r="Q8" s="74"/>
      <c r="R8" s="74"/>
      <c r="S8" s="74"/>
      <c r="T8" s="74"/>
      <c r="U8" s="74"/>
      <c r="V8" s="388"/>
      <c r="W8" s="74"/>
      <c r="X8" s="74"/>
      <c r="Y8" s="74"/>
      <c r="Z8" s="74"/>
      <c r="AA8" s="74"/>
      <c r="AB8" s="74"/>
      <c r="AC8" s="74"/>
      <c r="AD8" s="74"/>
      <c r="AE8" s="276">
        <f t="shared" si="5"/>
        <v>0</v>
      </c>
      <c r="AF8" s="276"/>
      <c r="AG8" s="276">
        <f t="shared" si="6"/>
        <v>0</v>
      </c>
      <c r="AH8" s="74"/>
      <c r="AI8" s="74"/>
      <c r="AJ8" s="74"/>
      <c r="AK8" s="74"/>
      <c r="AL8" s="74"/>
    </row>
    <row r="9" spans="1:38" s="5" customFormat="1">
      <c r="A9" s="384">
        <f>'1-συμβολαια'!A9</f>
        <v>0</v>
      </c>
      <c r="B9" s="74" t="str">
        <f>'1-συμβολαια'!C9</f>
        <v>εξισορόπηση διαφοράς διανεμομένων</v>
      </c>
      <c r="C9" s="388">
        <f>'1-συμβολαια'!D9</f>
        <v>3329534</v>
      </c>
      <c r="D9" s="280">
        <f t="shared" si="4"/>
        <v>43283.942000000003</v>
      </c>
      <c r="E9" s="74"/>
      <c r="F9" s="74"/>
      <c r="G9" s="74"/>
      <c r="H9" s="74"/>
      <c r="I9" s="74"/>
      <c r="J9" s="74"/>
      <c r="K9" s="74"/>
      <c r="L9" s="74"/>
      <c r="M9" s="280"/>
      <c r="N9" s="74"/>
      <c r="O9" s="74"/>
      <c r="P9" s="74"/>
      <c r="Q9" s="74"/>
      <c r="R9" s="74"/>
      <c r="S9" s="74"/>
      <c r="T9" s="74"/>
      <c r="U9" s="74"/>
      <c r="V9" s="388"/>
      <c r="W9" s="74"/>
      <c r="X9" s="74"/>
      <c r="Y9" s="74"/>
      <c r="Z9" s="74"/>
      <c r="AA9" s="74"/>
      <c r="AB9" s="74"/>
      <c r="AC9" s="74"/>
      <c r="AD9" s="74"/>
      <c r="AE9" s="276">
        <f t="shared" ref="AE9" si="9">D9+M9+V9</f>
        <v>43283.942000000003</v>
      </c>
      <c r="AF9" s="276"/>
      <c r="AG9" s="276">
        <f t="shared" ref="AG9" si="10">AE9-AF9</f>
        <v>43283.942000000003</v>
      </c>
      <c r="AH9" s="74"/>
      <c r="AI9" s="74"/>
      <c r="AJ9" s="74"/>
      <c r="AK9" s="74"/>
      <c r="AL9" s="74"/>
    </row>
    <row r="10" spans="1:38" s="5" customFormat="1">
      <c r="A10" s="384">
        <f>'1-συμβολαια'!A10</f>
        <v>0</v>
      </c>
      <c r="B10" s="74" t="str">
        <f>'1-συμβολαια'!C10</f>
        <v>χρήσης ΚΑΝΟΝΙΣΝΟΣ</v>
      </c>
      <c r="C10" s="388">
        <f>'1-συμβολαια'!D10</f>
        <v>0</v>
      </c>
      <c r="D10" s="280"/>
      <c r="E10" s="74"/>
      <c r="F10" s="74"/>
      <c r="G10" s="74"/>
      <c r="H10" s="74"/>
      <c r="I10" s="74"/>
      <c r="J10" s="74"/>
      <c r="K10" s="74"/>
      <c r="L10" s="74"/>
      <c r="M10" s="280"/>
      <c r="N10" s="74"/>
      <c r="O10" s="74"/>
      <c r="P10" s="74"/>
      <c r="Q10" s="74"/>
      <c r="R10" s="74"/>
      <c r="S10" s="74"/>
      <c r="T10" s="74"/>
      <c r="U10" s="74"/>
      <c r="V10" s="388"/>
      <c r="W10" s="74"/>
      <c r="X10" s="74"/>
      <c r="Y10" s="74"/>
      <c r="Z10" s="74"/>
      <c r="AA10" s="74"/>
      <c r="AB10" s="74"/>
      <c r="AC10" s="74"/>
      <c r="AD10" s="74"/>
      <c r="AE10" s="276">
        <f t="shared" si="5"/>
        <v>0</v>
      </c>
      <c r="AF10" s="276"/>
      <c r="AG10" s="276">
        <f t="shared" si="6"/>
        <v>0</v>
      </c>
      <c r="AH10" s="74"/>
      <c r="AI10" s="74"/>
      <c r="AJ10" s="74"/>
      <c r="AK10" s="74"/>
      <c r="AL10" s="74"/>
    </row>
    <row r="11" spans="1:38" s="5" customFormat="1" ht="12" thickBot="1">
      <c r="A11" s="468">
        <f>'1-συμβολαια'!A11</f>
        <v>0</v>
      </c>
      <c r="B11" s="467" t="str">
        <f>'1-συμβολαια'!C11</f>
        <v xml:space="preserve">κάθετος ΣΥΣΤΑΣΗ </v>
      </c>
      <c r="C11" s="520">
        <f>'1-συμβολαια'!D11</f>
        <v>0</v>
      </c>
      <c r="D11" s="457"/>
      <c r="E11" s="467"/>
      <c r="F11" s="467"/>
      <c r="G11" s="467"/>
      <c r="H11" s="467"/>
      <c r="I11" s="467"/>
      <c r="J11" s="467"/>
      <c r="K11" s="467"/>
      <c r="L11" s="467"/>
      <c r="M11" s="457"/>
      <c r="N11" s="467"/>
      <c r="O11" s="467"/>
      <c r="P11" s="467"/>
      <c r="Q11" s="467"/>
      <c r="R11" s="467"/>
      <c r="S11" s="467"/>
      <c r="T11" s="467"/>
      <c r="U11" s="467"/>
      <c r="V11" s="520"/>
      <c r="W11" s="467"/>
      <c r="X11" s="467"/>
      <c r="Y11" s="467"/>
      <c r="Z11" s="467"/>
      <c r="AA11" s="467"/>
      <c r="AB11" s="467"/>
      <c r="AC11" s="467"/>
      <c r="AD11" s="467"/>
      <c r="AE11" s="457">
        <f t="shared" ref="AE11" si="11">D11+M11+V11</f>
        <v>0</v>
      </c>
      <c r="AF11" s="457"/>
      <c r="AG11" s="457">
        <f t="shared" ref="AG11" si="12">AE11-AF11</f>
        <v>0</v>
      </c>
      <c r="AH11" s="467"/>
      <c r="AI11" s="467"/>
      <c r="AJ11" s="467"/>
      <c r="AK11" s="467"/>
      <c r="AL11" s="467"/>
    </row>
    <row r="12" spans="1:38" s="5" customFormat="1">
      <c r="A12" s="276" t="str">
        <f>'1-συμβολαια'!A12</f>
        <v>6ο</v>
      </c>
      <c r="B12" s="463" t="str">
        <f>'1-συμβολαια'!C12</f>
        <v>πληρεξούσιο</v>
      </c>
      <c r="C12" s="519">
        <f>'1-συμβολαια'!D12</f>
        <v>0</v>
      </c>
      <c r="D12" s="276"/>
      <c r="E12" s="463"/>
      <c r="F12" s="463"/>
      <c r="G12" s="463"/>
      <c r="H12" s="463"/>
      <c r="I12" s="463"/>
      <c r="J12" s="463"/>
      <c r="K12" s="463"/>
      <c r="L12" s="463"/>
      <c r="M12" s="276">
        <f t="shared" ref="M12:M13" si="13">C12*0.65%</f>
        <v>0</v>
      </c>
      <c r="N12" s="463"/>
      <c r="O12" s="463"/>
      <c r="P12" s="463"/>
      <c r="Q12" s="463"/>
      <c r="R12" s="463"/>
      <c r="S12" s="463"/>
      <c r="T12" s="463"/>
      <c r="U12" s="463"/>
      <c r="V12" s="519">
        <f t="shared" ref="V12:V13" si="14">C12*0.125%</f>
        <v>0</v>
      </c>
      <c r="W12" s="463"/>
      <c r="X12" s="463"/>
      <c r="Y12" s="463"/>
      <c r="Z12" s="463"/>
      <c r="AA12" s="463"/>
      <c r="AB12" s="463"/>
      <c r="AC12" s="463"/>
      <c r="AD12" s="463"/>
      <c r="AE12" s="276">
        <f t="shared" si="5"/>
        <v>0</v>
      </c>
      <c r="AF12" s="276"/>
      <c r="AG12" s="276">
        <f t="shared" si="6"/>
        <v>0</v>
      </c>
      <c r="AH12" s="463"/>
      <c r="AI12" s="463"/>
      <c r="AJ12" s="463"/>
      <c r="AK12" s="463"/>
      <c r="AL12" s="463"/>
    </row>
    <row r="13" spans="1:38" s="5" customFormat="1">
      <c r="A13" s="280" t="str">
        <f>'1-συμβολαια'!A13</f>
        <v>8ο</v>
      </c>
      <c r="B13" s="74" t="str">
        <f>'1-συμβολαια'!C13</f>
        <v>δωρεα [οικόπεδο42μ2</v>
      </c>
      <c r="C13" s="388">
        <f>'1-συμβολαια'!D13</f>
        <v>725760</v>
      </c>
      <c r="D13" s="280"/>
      <c r="E13" s="74"/>
      <c r="F13" s="74"/>
      <c r="G13" s="74"/>
      <c r="H13" s="74"/>
      <c r="I13" s="74"/>
      <c r="J13" s="74"/>
      <c r="K13" s="74"/>
      <c r="L13" s="74"/>
      <c r="M13" s="280">
        <f t="shared" si="13"/>
        <v>4717.4400000000005</v>
      </c>
      <c r="N13" s="74"/>
      <c r="O13" s="74"/>
      <c r="P13" s="74"/>
      <c r="Q13" s="74"/>
      <c r="R13" s="74"/>
      <c r="S13" s="74"/>
      <c r="T13" s="74"/>
      <c r="U13" s="74"/>
      <c r="V13" s="388">
        <f t="shared" si="14"/>
        <v>907.2</v>
      </c>
      <c r="W13" s="74"/>
      <c r="X13" s="74"/>
      <c r="Y13" s="74"/>
      <c r="Z13" s="74"/>
      <c r="AA13" s="74"/>
      <c r="AB13" s="74"/>
      <c r="AC13" s="74"/>
      <c r="AD13" s="74"/>
      <c r="AE13" s="276">
        <f t="shared" si="5"/>
        <v>5624.64</v>
      </c>
      <c r="AF13" s="276">
        <v>5824</v>
      </c>
      <c r="AG13" s="276">
        <f t="shared" si="6"/>
        <v>-199.35999999999967</v>
      </c>
      <c r="AH13" s="74"/>
      <c r="AI13" s="74"/>
      <c r="AJ13" s="74"/>
      <c r="AK13" s="74"/>
      <c r="AL13" s="74"/>
    </row>
    <row r="14" spans="1:38" s="5" customFormat="1">
      <c r="A14" s="280" t="str">
        <f>'1-συμβολαια'!A14</f>
        <v>9ο</v>
      </c>
      <c r="B14" s="74" t="str">
        <f>'1-συμβολαια'!C14</f>
        <v xml:space="preserve">γονική ΒΑΣΕΙ 1.113 προσυμφώνου </v>
      </c>
      <c r="C14" s="388">
        <f>'1-συμβολαια'!D14</f>
        <v>5112496</v>
      </c>
      <c r="D14" s="280"/>
      <c r="E14" s="74"/>
      <c r="F14" s="74"/>
      <c r="G14" s="74"/>
      <c r="H14" s="74"/>
      <c r="I14" s="74"/>
      <c r="J14" s="74"/>
      <c r="K14" s="74"/>
      <c r="L14" s="74"/>
      <c r="M14" s="280">
        <f t="shared" ref="M14:M16" si="15">C14*0.65%</f>
        <v>33231.224000000002</v>
      </c>
      <c r="N14" s="74"/>
      <c r="O14" s="74"/>
      <c r="P14" s="74"/>
      <c r="Q14" s="74"/>
      <c r="R14" s="74"/>
      <c r="S14" s="74"/>
      <c r="T14" s="74"/>
      <c r="U14" s="74"/>
      <c r="V14" s="388">
        <f t="shared" ref="V14:V16" si="16">C14*0.125%</f>
        <v>6390.62</v>
      </c>
      <c r="W14" s="74"/>
      <c r="X14" s="74"/>
      <c r="Y14" s="74"/>
      <c r="Z14" s="74"/>
      <c r="AA14" s="74"/>
      <c r="AB14" s="74"/>
      <c r="AC14" s="74"/>
      <c r="AD14" s="74"/>
      <c r="AE14" s="276">
        <f t="shared" ref="AE14:AE16" si="17">D14+M14+V14</f>
        <v>39621.844000000005</v>
      </c>
      <c r="AF14" s="276">
        <v>39048</v>
      </c>
      <c r="AG14" s="276">
        <f t="shared" ref="AG14:AG16" si="18">AE14-AF14</f>
        <v>573.8440000000046</v>
      </c>
      <c r="AH14" s="74"/>
      <c r="AI14" s="74"/>
      <c r="AJ14" s="74"/>
      <c r="AK14" s="74"/>
      <c r="AL14" s="74"/>
    </row>
    <row r="15" spans="1:38" s="5" customFormat="1">
      <c r="A15" s="384" t="str">
        <f>'1-συμβολαια'!A15</f>
        <v>10ο</v>
      </c>
      <c r="B15" s="74" t="str">
        <f>'1-συμβολαια'!C15</f>
        <v>δωρεά  ΒΑΣΕΙ 1.114 προσυμφώνου</v>
      </c>
      <c r="C15" s="388">
        <f>'1-συμβολαια'!D15</f>
        <v>6471276</v>
      </c>
      <c r="D15" s="280"/>
      <c r="E15" s="74"/>
      <c r="F15" s="74"/>
      <c r="G15" s="74"/>
      <c r="H15" s="74"/>
      <c r="I15" s="74"/>
      <c r="J15" s="74"/>
      <c r="K15" s="74"/>
      <c r="L15" s="74"/>
      <c r="M15" s="280">
        <f t="shared" si="15"/>
        <v>42063.294000000002</v>
      </c>
      <c r="N15" s="74"/>
      <c r="O15" s="74"/>
      <c r="P15" s="74"/>
      <c r="Q15" s="74"/>
      <c r="R15" s="74"/>
      <c r="S15" s="74"/>
      <c r="T15" s="74"/>
      <c r="U15" s="74"/>
      <c r="V15" s="388">
        <f t="shared" si="16"/>
        <v>8089.0950000000003</v>
      </c>
      <c r="W15" s="74"/>
      <c r="X15" s="74"/>
      <c r="Y15" s="74"/>
      <c r="Z15" s="74"/>
      <c r="AA15" s="74"/>
      <c r="AB15" s="74"/>
      <c r="AC15" s="74"/>
      <c r="AD15" s="74"/>
      <c r="AE15" s="276">
        <f t="shared" si="17"/>
        <v>50152.389000000003</v>
      </c>
      <c r="AF15" s="276">
        <v>49375</v>
      </c>
      <c r="AG15" s="276">
        <f t="shared" si="18"/>
        <v>777.38900000000285</v>
      </c>
      <c r="AH15" s="74"/>
      <c r="AI15" s="74"/>
      <c r="AJ15" s="74"/>
      <c r="AK15" s="74"/>
      <c r="AL15" s="74"/>
    </row>
    <row r="16" spans="1:38" s="5" customFormat="1">
      <c r="A16" s="384">
        <f>'1-συμβολαια'!A16</f>
        <v>0</v>
      </c>
      <c r="B16" s="74" t="str">
        <f>'1-συμβολαια'!C16</f>
        <v xml:space="preserve">κάθετος ΣΥΣΤΑΣΗ </v>
      </c>
      <c r="C16" s="388">
        <f>'1-συμβολαια'!D16</f>
        <v>0</v>
      </c>
      <c r="D16" s="280"/>
      <c r="E16" s="74"/>
      <c r="F16" s="74"/>
      <c r="G16" s="74"/>
      <c r="H16" s="74"/>
      <c r="I16" s="74"/>
      <c r="J16" s="74"/>
      <c r="K16" s="74"/>
      <c r="L16" s="74"/>
      <c r="M16" s="280">
        <f t="shared" si="15"/>
        <v>0</v>
      </c>
      <c r="N16" s="74"/>
      <c r="O16" s="74"/>
      <c r="P16" s="74"/>
      <c r="Q16" s="74"/>
      <c r="R16" s="74"/>
      <c r="S16" s="74"/>
      <c r="T16" s="74"/>
      <c r="U16" s="74"/>
      <c r="V16" s="388">
        <f t="shared" si="16"/>
        <v>0</v>
      </c>
      <c r="W16" s="74"/>
      <c r="X16" s="74"/>
      <c r="Y16" s="74"/>
      <c r="Z16" s="74"/>
      <c r="AA16" s="74"/>
      <c r="AB16" s="74"/>
      <c r="AC16" s="74"/>
      <c r="AD16" s="74"/>
      <c r="AE16" s="276">
        <f t="shared" si="17"/>
        <v>0</v>
      </c>
      <c r="AF16" s="276"/>
      <c r="AG16" s="276">
        <f t="shared" si="18"/>
        <v>0</v>
      </c>
      <c r="AH16" s="74"/>
      <c r="AI16" s="74"/>
      <c r="AJ16" s="74"/>
      <c r="AK16" s="74"/>
      <c r="AL16" s="74"/>
    </row>
    <row r="17" spans="1:38">
      <c r="A17" s="716" t="str">
        <f>'1-συμβολαια'!A17</f>
        <v>σύνολο</v>
      </c>
      <c r="B17" s="717"/>
      <c r="C17" s="718"/>
      <c r="D17" s="196">
        <f>SUM(D3:D13)</f>
        <v>43283.942000000003</v>
      </c>
      <c r="E17" s="197"/>
      <c r="F17" s="197"/>
      <c r="G17" s="197"/>
      <c r="H17" s="197"/>
      <c r="I17" s="197"/>
      <c r="J17" s="197"/>
      <c r="K17" s="197"/>
      <c r="L17" s="197"/>
      <c r="M17" s="196">
        <f>SUM(M3:M13)</f>
        <v>4717.4400000000005</v>
      </c>
      <c r="N17" s="197"/>
      <c r="O17" s="197"/>
      <c r="P17" s="197"/>
      <c r="Q17" s="197"/>
      <c r="R17" s="197"/>
      <c r="S17" s="197"/>
      <c r="T17" s="197"/>
      <c r="U17" s="197"/>
      <c r="V17" s="302">
        <f>SUM(V3:V13)</f>
        <v>907.2</v>
      </c>
      <c r="W17" s="302"/>
      <c r="X17" s="302"/>
      <c r="Y17" s="302"/>
      <c r="Z17" s="302"/>
      <c r="AA17" s="302"/>
      <c r="AB17" s="302"/>
      <c r="AC17" s="302"/>
      <c r="AD17" s="302"/>
      <c r="AE17" s="196">
        <f>SUM(AE3:AE13)</f>
        <v>48908.582000000002</v>
      </c>
      <c r="AF17" s="196">
        <f>SUM(AF3:AF13)</f>
        <v>5824</v>
      </c>
      <c r="AG17" s="196">
        <f>SUM(AG3:AG13)</f>
        <v>43084.582000000002</v>
      </c>
      <c r="AH17" s="197">
        <f>SUM(AH3:AH13)</f>
        <v>0</v>
      </c>
      <c r="AI17" s="197"/>
      <c r="AJ17" s="197"/>
      <c r="AK17" s="197"/>
      <c r="AL17" s="197"/>
    </row>
    <row r="19" spans="1:38">
      <c r="E19" s="2"/>
      <c r="F19" s="2"/>
      <c r="G19" s="2"/>
      <c r="H19" s="163" t="s">
        <v>343</v>
      </c>
      <c r="I19" s="2"/>
      <c r="J19" s="2"/>
      <c r="K19" s="2"/>
      <c r="L19" s="2"/>
      <c r="N19" s="2"/>
      <c r="O19" s="2"/>
      <c r="P19" s="2"/>
      <c r="Q19" s="163" t="s">
        <v>343</v>
      </c>
      <c r="R19" s="2"/>
      <c r="S19" s="2"/>
      <c r="T19" s="2"/>
      <c r="U19" s="2"/>
      <c r="V19" s="2"/>
      <c r="W19" s="2"/>
      <c r="X19" s="2"/>
      <c r="Y19" s="2"/>
      <c r="Z19" s="163" t="s">
        <v>343</v>
      </c>
      <c r="AA19" s="2"/>
      <c r="AB19" s="2"/>
      <c r="AC19" s="2"/>
      <c r="AD19" s="2"/>
    </row>
    <row r="20" spans="1:38">
      <c r="E20" s="2"/>
      <c r="F20" s="199" t="s">
        <v>344</v>
      </c>
      <c r="G20" s="199"/>
      <c r="H20" s="199"/>
      <c r="I20" s="199"/>
      <c r="J20" s="199"/>
      <c r="K20" s="199"/>
      <c r="L20" s="199"/>
      <c r="M20" s="199"/>
      <c r="N20" s="199"/>
      <c r="O20" s="199" t="s">
        <v>344</v>
      </c>
      <c r="P20" s="2"/>
      <c r="Q20" s="2"/>
      <c r="R20" s="2"/>
      <c r="S20" s="2"/>
      <c r="T20" s="2"/>
      <c r="U20" s="2"/>
      <c r="V20" s="2"/>
      <c r="W20" s="2"/>
      <c r="X20" s="199" t="s">
        <v>344</v>
      </c>
      <c r="Y20" s="2"/>
      <c r="Z20" s="2"/>
      <c r="AA20" s="2"/>
      <c r="AB20" s="2"/>
      <c r="AC20" s="2"/>
      <c r="AD20" s="2"/>
    </row>
    <row r="21" spans="1:38">
      <c r="E21" s="2"/>
      <c r="F21" s="2"/>
      <c r="G21" s="2"/>
      <c r="H21" s="2"/>
      <c r="I21" s="4"/>
      <c r="J21" s="167" t="s">
        <v>345</v>
      </c>
      <c r="K21" s="163"/>
      <c r="L21" s="2"/>
      <c r="N21" s="2"/>
      <c r="O21" s="2"/>
      <c r="P21" s="2"/>
      <c r="Q21" s="4"/>
      <c r="R21" s="167" t="s">
        <v>346</v>
      </c>
      <c r="S21" s="167"/>
      <c r="T21" s="167"/>
      <c r="U21" s="167"/>
      <c r="V21" s="4"/>
      <c r="W21" s="4"/>
      <c r="X21" s="4"/>
      <c r="Y21" s="4"/>
      <c r="Z21" s="4"/>
      <c r="AA21" s="167" t="s">
        <v>346</v>
      </c>
      <c r="AB21" s="167"/>
      <c r="AC21" s="167"/>
      <c r="AD21" s="163"/>
    </row>
    <row r="22" spans="1:38">
      <c r="E22" s="2"/>
      <c r="F22" s="2"/>
      <c r="G22" s="8"/>
      <c r="H22" s="2"/>
      <c r="I22" s="167" t="s">
        <v>346</v>
      </c>
      <c r="J22" s="4"/>
      <c r="K22" s="2"/>
      <c r="L22" s="2"/>
      <c r="N22" s="2"/>
      <c r="O22" s="2"/>
      <c r="P22" s="2"/>
      <c r="Q22" s="4"/>
      <c r="R22" s="4"/>
      <c r="S22" s="167" t="s">
        <v>345</v>
      </c>
      <c r="T22" s="167"/>
      <c r="U22" s="4"/>
      <c r="V22" s="4"/>
      <c r="W22" s="4"/>
      <c r="X22" s="4"/>
      <c r="Y22" s="4"/>
      <c r="Z22" s="4"/>
      <c r="AA22" s="4"/>
      <c r="AB22" s="167" t="s">
        <v>345</v>
      </c>
      <c r="AC22" s="167"/>
      <c r="AD22" s="2"/>
    </row>
    <row r="23" spans="1:38">
      <c r="E23" s="2"/>
      <c r="F23" s="2"/>
      <c r="G23" s="8"/>
      <c r="H23" s="2"/>
      <c r="I23" s="4"/>
      <c r="J23" s="4"/>
      <c r="K23" s="2"/>
      <c r="L23" s="2"/>
      <c r="N23" s="2"/>
      <c r="O23" s="2"/>
      <c r="P23" s="2"/>
      <c r="Q23" s="4"/>
      <c r="R23" s="4"/>
      <c r="S23" s="4"/>
      <c r="T23" s="4"/>
      <c r="U23" s="4"/>
      <c r="V23" s="2"/>
      <c r="W23" s="4"/>
      <c r="X23" s="4"/>
      <c r="Y23" s="4"/>
      <c r="Z23" s="4"/>
      <c r="AA23" s="4"/>
      <c r="AB23" s="4"/>
      <c r="AC23" s="4"/>
      <c r="AD23" s="2"/>
    </row>
    <row r="24" spans="1:38">
      <c r="E24" s="200" t="s">
        <v>347</v>
      </c>
      <c r="F24" s="2"/>
      <c r="G24" s="2"/>
      <c r="H24" s="2"/>
      <c r="I24" s="2"/>
      <c r="J24" s="2"/>
      <c r="K24" s="2"/>
      <c r="L24" s="2"/>
      <c r="N24" s="2"/>
      <c r="O24" s="2"/>
      <c r="P24" s="2"/>
      <c r="Q24" s="201" t="s">
        <v>348</v>
      </c>
      <c r="R24" s="2"/>
      <c r="S24" s="2"/>
      <c r="T24" s="2"/>
      <c r="U24" s="2"/>
      <c r="V24" s="2"/>
      <c r="W24" s="2"/>
      <c r="X24" s="2"/>
      <c r="Y24" s="2"/>
      <c r="Z24" s="202" t="s">
        <v>349</v>
      </c>
      <c r="AA24" s="2"/>
      <c r="AB24" s="2"/>
      <c r="AC24" s="2"/>
      <c r="AD24" s="2"/>
    </row>
    <row r="25" spans="1:38">
      <c r="E25" s="203" t="s">
        <v>350</v>
      </c>
      <c r="F25" s="2"/>
      <c r="G25" s="2"/>
      <c r="H25" s="2"/>
      <c r="I25" s="2"/>
      <c r="J25" s="2"/>
      <c r="K25" s="2"/>
      <c r="L25" s="2"/>
      <c r="N25" s="2"/>
      <c r="O25" s="163"/>
      <c r="P25" s="163"/>
      <c r="Q25" s="163"/>
      <c r="R25" s="163"/>
      <c r="S25" s="204" t="s">
        <v>351</v>
      </c>
      <c r="T25" s="163"/>
      <c r="U25" s="163"/>
      <c r="V25" s="163"/>
      <c r="W25" s="2"/>
      <c r="X25" s="2"/>
      <c r="Y25" s="2"/>
      <c r="Z25" s="2"/>
      <c r="AA25" s="205" t="s">
        <v>352</v>
      </c>
      <c r="AB25" s="2"/>
      <c r="AC25" s="2"/>
      <c r="AD25" s="2"/>
    </row>
    <row r="26" spans="1:38">
      <c r="E26" s="2"/>
      <c r="F26" s="203" t="s">
        <v>353</v>
      </c>
      <c r="G26" s="2"/>
      <c r="H26" s="2"/>
      <c r="I26" s="2"/>
      <c r="J26" s="2"/>
      <c r="K26" s="2"/>
      <c r="L26" s="2"/>
      <c r="N26" s="2"/>
      <c r="O26" s="2"/>
      <c r="P26" s="2"/>
      <c r="Q26" s="2"/>
      <c r="R26" s="2"/>
      <c r="S26" s="206" t="s">
        <v>354</v>
      </c>
      <c r="T26" s="2"/>
      <c r="U26" s="2"/>
      <c r="V26" s="2"/>
      <c r="W26" s="2"/>
      <c r="X26" s="2"/>
      <c r="Y26" s="2"/>
      <c r="Z26" s="2"/>
      <c r="AA26" s="2"/>
      <c r="AB26" s="206" t="s">
        <v>354</v>
      </c>
      <c r="AC26" s="2"/>
      <c r="AD26" s="2"/>
    </row>
    <row r="27" spans="1:38">
      <c r="E27" s="2"/>
      <c r="F27" s="2"/>
      <c r="G27" s="2"/>
      <c r="H27" s="2"/>
      <c r="I27" s="2"/>
      <c r="J27" s="2"/>
      <c r="K27" s="2"/>
      <c r="L27" s="2"/>
      <c r="N27" s="2"/>
      <c r="O27" s="2"/>
      <c r="P27" s="163"/>
      <c r="Q27" s="163"/>
      <c r="R27" s="163"/>
      <c r="S27" s="163"/>
      <c r="T27" s="163"/>
      <c r="U27" s="163"/>
      <c r="V27" s="163"/>
      <c r="W27" s="163"/>
      <c r="X27" s="163"/>
      <c r="Y27" s="2"/>
      <c r="Z27" s="2"/>
      <c r="AA27" s="2"/>
      <c r="AB27" s="204" t="s">
        <v>351</v>
      </c>
      <c r="AC27" s="2"/>
      <c r="AD27" s="2"/>
    </row>
    <row r="28" spans="1:38">
      <c r="E28" s="2"/>
      <c r="F28" s="2"/>
      <c r="G28" s="2"/>
      <c r="H28" s="2"/>
      <c r="I28" s="2"/>
      <c r="J28" s="2"/>
      <c r="K28" s="2"/>
      <c r="L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</row>
    <row r="32" spans="1:38">
      <c r="B32" s="303"/>
      <c r="F32" s="8"/>
      <c r="G32" s="8"/>
      <c r="H32" s="8"/>
      <c r="I32" s="8"/>
    </row>
    <row r="33" spans="2:9">
      <c r="F33" s="8"/>
      <c r="G33" s="8"/>
      <c r="H33" s="8"/>
      <c r="I33" s="8"/>
    </row>
    <row r="34" spans="2:9">
      <c r="F34" s="8"/>
      <c r="G34" s="8"/>
      <c r="H34" s="8"/>
      <c r="I34" s="8"/>
    </row>
    <row r="35" spans="2:9">
      <c r="F35" s="8"/>
      <c r="G35" s="8"/>
      <c r="H35" s="8"/>
      <c r="I35" s="8"/>
    </row>
    <row r="36" spans="2:9">
      <c r="F36" s="8"/>
      <c r="G36" s="8"/>
      <c r="H36" s="8"/>
      <c r="I36" s="8"/>
    </row>
    <row r="37" spans="2:9">
      <c r="F37" s="8"/>
      <c r="G37" s="8"/>
      <c r="H37" s="8"/>
      <c r="I37" s="8"/>
    </row>
    <row r="38" spans="2:9">
      <c r="B38" s="303"/>
      <c r="F38" s="58"/>
      <c r="G38" s="58"/>
      <c r="H38" s="8"/>
      <c r="I38" s="8"/>
    </row>
    <row r="39" spans="2:9">
      <c r="F39" s="58"/>
      <c r="G39" s="58"/>
      <c r="H39" s="8"/>
      <c r="I39" s="8"/>
    </row>
    <row r="40" spans="2:9">
      <c r="F40" s="58"/>
      <c r="G40" s="58"/>
      <c r="H40" s="8"/>
      <c r="I40" s="8"/>
    </row>
    <row r="41" spans="2:9">
      <c r="F41" s="58"/>
      <c r="G41" s="58"/>
      <c r="H41" s="8"/>
      <c r="I41" s="2"/>
    </row>
    <row r="42" spans="2:9">
      <c r="F42" s="8"/>
      <c r="G42" s="8"/>
      <c r="H42" s="8"/>
      <c r="I42" s="2"/>
    </row>
  </sheetData>
  <mergeCells count="10">
    <mergeCell ref="AH1:AH2"/>
    <mergeCell ref="AI1:AL2"/>
    <mergeCell ref="K2:L2"/>
    <mergeCell ref="T2:U2"/>
    <mergeCell ref="AC2:AD2"/>
    <mergeCell ref="A17:C17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2026-02-01T07:23:21Z</dcterms:modified>
</cp:coreProperties>
</file>