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E24" i="5"/>
  <c r="AE22"/>
  <c r="AD24"/>
  <c r="AD22"/>
  <c r="V4"/>
  <c r="V5"/>
  <c r="V6"/>
  <c r="V7"/>
  <c r="V8"/>
  <c r="V9"/>
  <c r="V10"/>
  <c r="V11"/>
  <c r="V12"/>
  <c r="V13"/>
  <c r="V3"/>
  <c r="S3"/>
  <c r="R11"/>
  <c r="R12"/>
  <c r="R13"/>
  <c r="R10"/>
  <c r="B11" i="9"/>
  <c r="B12"/>
  <c r="B13"/>
  <c r="BS5" i="24"/>
  <c r="BJ10"/>
  <c r="BJ7"/>
  <c r="BF10"/>
  <c r="BF5"/>
  <c r="BF3"/>
  <c r="BD10"/>
  <c r="BD5"/>
  <c r="BD3"/>
  <c r="BB10"/>
  <c r="BB5"/>
  <c r="BB3"/>
  <c r="AE5"/>
  <c r="AD5"/>
  <c r="AC5"/>
  <c r="AB5"/>
  <c r="AB3"/>
  <c r="V13"/>
  <c r="V12"/>
  <c r="V11"/>
  <c r="V10"/>
  <c r="V5"/>
  <c r="V3"/>
  <c r="T14"/>
  <c r="U14"/>
  <c r="L13"/>
  <c r="L12"/>
  <c r="L10"/>
  <c r="L5"/>
  <c r="L3"/>
  <c r="B11"/>
  <c r="B12"/>
  <c r="B13"/>
  <c r="E4" i="23"/>
  <c r="D4"/>
  <c r="C4"/>
  <c r="A5" i="27"/>
  <c r="F12" i="20"/>
  <c r="F5"/>
  <c r="M13"/>
  <c r="M12"/>
  <c r="M11"/>
  <c r="M10"/>
  <c r="M5"/>
  <c r="B11"/>
  <c r="B12"/>
  <c r="B13"/>
  <c r="F5" i="4"/>
  <c r="J13"/>
  <c r="G13"/>
  <c r="G9"/>
  <c r="J9" s="1"/>
  <c r="B11"/>
  <c r="B12"/>
  <c r="B13"/>
  <c r="AI5" i="16"/>
  <c r="AB14" i="24" l="1"/>
  <c r="N11" i="1"/>
  <c r="N12"/>
  <c r="N13"/>
  <c r="N10"/>
  <c r="D46" i="16"/>
  <c r="D41"/>
  <c r="N95" i="1"/>
  <c r="M95"/>
  <c r="L95"/>
  <c r="O95" s="1"/>
  <c r="J95"/>
  <c r="I95"/>
  <c r="H95"/>
  <c r="H96" s="1"/>
  <c r="N83"/>
  <c r="M83"/>
  <c r="L83"/>
  <c r="O83" s="1"/>
  <c r="J83"/>
  <c r="I83"/>
  <c r="H83"/>
  <c r="H84" s="1"/>
  <c r="N71"/>
  <c r="M71"/>
  <c r="L71"/>
  <c r="O71" s="1"/>
  <c r="J71"/>
  <c r="I71"/>
  <c r="H71"/>
  <c r="H72" s="1"/>
  <c r="D36" i="16"/>
  <c r="N59" i="1"/>
  <c r="M59"/>
  <c r="L59"/>
  <c r="J59"/>
  <c r="I59"/>
  <c r="H59"/>
  <c r="H60" s="1"/>
  <c r="N5"/>
  <c r="D25" i="16"/>
  <c r="P46" i="1"/>
  <c r="O46"/>
  <c r="D48"/>
  <c r="F6" i="12"/>
  <c r="B7" i="14"/>
  <c r="B8"/>
  <c r="O59" i="1" l="1"/>
  <c r="N46"/>
  <c r="M46"/>
  <c r="L46"/>
  <c r="J46"/>
  <c r="I46"/>
  <c r="H46"/>
  <c r="H47" s="1"/>
  <c r="N3"/>
  <c r="K7" i="9"/>
  <c r="K8"/>
  <c r="K9"/>
  <c r="A11" i="26"/>
  <c r="A12"/>
  <c r="A13"/>
  <c r="V5"/>
  <c r="V10"/>
  <c r="V11"/>
  <c r="V12"/>
  <c r="V13"/>
  <c r="M11"/>
  <c r="M12"/>
  <c r="M13"/>
  <c r="D20" i="16"/>
  <c r="Q46" i="1" l="1"/>
  <c r="AF26" i="5"/>
  <c r="AA32"/>
  <c r="AF30"/>
  <c r="AF29"/>
  <c r="AF24"/>
  <c r="Y32"/>
  <c r="AF27"/>
  <c r="AF25"/>
  <c r="AF23"/>
  <c r="AG24" l="1"/>
  <c r="AF22"/>
  <c r="AF31"/>
  <c r="AF28"/>
  <c r="AF21"/>
  <c r="AG22" l="1"/>
  <c r="AF32"/>
  <c r="Q14" l="1"/>
  <c r="P14"/>
  <c r="O14"/>
  <c r="K14"/>
  <c r="L14"/>
  <c r="M14"/>
  <c r="B5"/>
  <c r="B10"/>
  <c r="AF13"/>
  <c r="AC13"/>
  <c r="E13"/>
  <c r="D13"/>
  <c r="C13"/>
  <c r="A13"/>
  <c r="AF12"/>
  <c r="AC12"/>
  <c r="E12"/>
  <c r="D12"/>
  <c r="C12"/>
  <c r="A12"/>
  <c r="AF11"/>
  <c r="AC11"/>
  <c r="E11"/>
  <c r="D11"/>
  <c r="C11"/>
  <c r="A11"/>
  <c r="AF10"/>
  <c r="AC10"/>
  <c r="E10"/>
  <c r="D10"/>
  <c r="C10"/>
  <c r="A10"/>
  <c r="AF9"/>
  <c r="AC9"/>
  <c r="E9"/>
  <c r="D9"/>
  <c r="C9"/>
  <c r="A9"/>
  <c r="AF8"/>
  <c r="AC8"/>
  <c r="E8"/>
  <c r="D8"/>
  <c r="C8"/>
  <c r="A8"/>
  <c r="AF7"/>
  <c r="AC7"/>
  <c r="E7"/>
  <c r="D7"/>
  <c r="C7"/>
  <c r="A7"/>
  <c r="AF6"/>
  <c r="AC6"/>
  <c r="E6"/>
  <c r="D6"/>
  <c r="C6"/>
  <c r="A6"/>
  <c r="C13" i="28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L13" i="10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A6" i="22"/>
  <c r="A7"/>
  <c r="A8"/>
  <c r="A9"/>
  <c r="A10"/>
  <c r="A11"/>
  <c r="A12"/>
  <c r="A13"/>
  <c r="A7" i="8"/>
  <c r="A8"/>
  <c r="A9"/>
  <c r="A10"/>
  <c r="A11"/>
  <c r="A12"/>
  <c r="A13"/>
  <c r="B5" i="24"/>
  <c r="B10"/>
  <c r="B3"/>
  <c r="U12" i="20"/>
  <c r="V8"/>
  <c r="U11"/>
  <c r="U13"/>
  <c r="V13" s="1"/>
  <c r="V9"/>
  <c r="T12"/>
  <c r="T11"/>
  <c r="V11" s="1"/>
  <c r="F7"/>
  <c r="F4"/>
  <c r="F6"/>
  <c r="F8"/>
  <c r="F9"/>
  <c r="F10"/>
  <c r="F11"/>
  <c r="F13"/>
  <c r="F3"/>
  <c r="B4"/>
  <c r="B5"/>
  <c r="B10"/>
  <c r="B3"/>
  <c r="B5" i="4"/>
  <c r="B10"/>
  <c r="B3"/>
  <c r="V4" i="20" l="1"/>
  <c r="V5"/>
  <c r="V6"/>
  <c r="V12"/>
  <c r="V10"/>
  <c r="V7"/>
  <c r="K12" i="1"/>
  <c r="K13"/>
  <c r="K11" l="1"/>
  <c r="K9"/>
  <c r="K8"/>
  <c r="K7"/>
  <c r="K6"/>
  <c r="K10"/>
  <c r="B9" i="14"/>
  <c r="B10"/>
  <c r="B11"/>
  <c r="N33" i="1"/>
  <c r="M33"/>
  <c r="L33"/>
  <c r="J33"/>
  <c r="I33"/>
  <c r="H33"/>
  <c r="B4" i="9"/>
  <c r="B5"/>
  <c r="O33" i="1" l="1"/>
  <c r="H34" l="1"/>
  <c r="K5"/>
  <c r="K4"/>
  <c r="K3"/>
  <c r="G4" i="12" l="1"/>
  <c r="G5"/>
  <c r="P4" i="1" l="1"/>
  <c r="P5"/>
  <c r="P6"/>
  <c r="P7"/>
  <c r="P8"/>
  <c r="P9"/>
  <c r="P10"/>
  <c r="K10" i="9" s="1"/>
  <c r="P11" i="1"/>
  <c r="K11" i="9" s="1"/>
  <c r="P12" i="1"/>
  <c r="K12" i="9" s="1"/>
  <c r="P13" i="1"/>
  <c r="K13" i="9" s="1"/>
  <c r="P3" i="1"/>
  <c r="J7"/>
  <c r="J8"/>
  <c r="J9"/>
  <c r="J10"/>
  <c r="J11"/>
  <c r="J12"/>
  <c r="J13"/>
  <c r="D13" i="9"/>
  <c r="C13"/>
  <c r="A13"/>
  <c r="D12"/>
  <c r="C12"/>
  <c r="A12"/>
  <c r="D11"/>
  <c r="C11"/>
  <c r="A11"/>
  <c r="D10"/>
  <c r="C10"/>
  <c r="B10"/>
  <c r="A10"/>
  <c r="D9"/>
  <c r="C9"/>
  <c r="A9"/>
  <c r="D8"/>
  <c r="C8"/>
  <c r="A8"/>
  <c r="BW13" i="24"/>
  <c r="BK13"/>
  <c r="BA13"/>
  <c r="AK13"/>
  <c r="J13"/>
  <c r="H13"/>
  <c r="G13"/>
  <c r="C13"/>
  <c r="A13"/>
  <c r="BW12"/>
  <c r="BK12"/>
  <c r="AK12"/>
  <c r="J12"/>
  <c r="H12"/>
  <c r="G12"/>
  <c r="C12"/>
  <c r="A12"/>
  <c r="BW11"/>
  <c r="BK11"/>
  <c r="BA11"/>
  <c r="AK11"/>
  <c r="J11"/>
  <c r="H11"/>
  <c r="G11"/>
  <c r="C11"/>
  <c r="A11"/>
  <c r="BW10"/>
  <c r="BK10"/>
  <c r="AK10"/>
  <c r="J10"/>
  <c r="H10"/>
  <c r="G10"/>
  <c r="C10"/>
  <c r="A10"/>
  <c r="BW9"/>
  <c r="BK9"/>
  <c r="BA9"/>
  <c r="AK9"/>
  <c r="J9"/>
  <c r="H9"/>
  <c r="G9"/>
  <c r="C9"/>
  <c r="A9"/>
  <c r="BW8"/>
  <c r="BK8"/>
  <c r="AK8"/>
  <c r="J8"/>
  <c r="H8"/>
  <c r="G8"/>
  <c r="C8"/>
  <c r="A8"/>
  <c r="BW7"/>
  <c r="BK7"/>
  <c r="BA7"/>
  <c r="AK7"/>
  <c r="J7"/>
  <c r="H7"/>
  <c r="G7"/>
  <c r="C7"/>
  <c r="A7"/>
  <c r="BW6"/>
  <c r="BK6"/>
  <c r="AK6"/>
  <c r="J6"/>
  <c r="H6"/>
  <c r="G6"/>
  <c r="C6"/>
  <c r="A6"/>
  <c r="BW5"/>
  <c r="BK5"/>
  <c r="BA5"/>
  <c r="AK5"/>
  <c r="J5"/>
  <c r="H5"/>
  <c r="G5"/>
  <c r="C5"/>
  <c r="A5"/>
  <c r="BW4"/>
  <c r="BK4"/>
  <c r="AK4"/>
  <c r="J4"/>
  <c r="H4"/>
  <c r="G4"/>
  <c r="C4"/>
  <c r="A4"/>
  <c r="B13" i="23"/>
  <c r="A13"/>
  <c r="B12"/>
  <c r="A12"/>
  <c r="B11"/>
  <c r="A11"/>
  <c r="B10"/>
  <c r="A10"/>
  <c r="B9"/>
  <c r="A9"/>
  <c r="B8"/>
  <c r="A8"/>
  <c r="B7"/>
  <c r="A7"/>
  <c r="B6"/>
  <c r="A6"/>
  <c r="B3"/>
  <c r="A3"/>
  <c r="C13" i="15"/>
  <c r="B13"/>
  <c r="A13"/>
  <c r="C12"/>
  <c r="B12"/>
  <c r="A12"/>
  <c r="C11"/>
  <c r="B11"/>
  <c r="A11"/>
  <c r="C10"/>
  <c r="B10"/>
  <c r="A10"/>
  <c r="C9"/>
  <c r="B9"/>
  <c r="A9"/>
  <c r="C8"/>
  <c r="B8"/>
  <c r="A8"/>
  <c r="C13" i="27"/>
  <c r="B13"/>
  <c r="A13"/>
  <c r="C12"/>
  <c r="B12"/>
  <c r="A12"/>
  <c r="C11"/>
  <c r="B11"/>
  <c r="A11"/>
  <c r="C10"/>
  <c r="B10"/>
  <c r="A10"/>
  <c r="C9"/>
  <c r="B9"/>
  <c r="C8"/>
  <c r="B8"/>
  <c r="C7"/>
  <c r="B7"/>
  <c r="C13" i="26"/>
  <c r="E13" i="27" s="1"/>
  <c r="B13" i="26"/>
  <c r="C12"/>
  <c r="E12" i="27" s="1"/>
  <c r="B12" i="26"/>
  <c r="C11"/>
  <c r="E11" i="27" s="1"/>
  <c r="B11" i="26"/>
  <c r="C10"/>
  <c r="M10" s="1"/>
  <c r="E10" i="27" s="1"/>
  <c r="B10" i="26"/>
  <c r="A10"/>
  <c r="C9"/>
  <c r="B9"/>
  <c r="C8"/>
  <c r="B8"/>
  <c r="C7"/>
  <c r="B7"/>
  <c r="C6"/>
  <c r="B6"/>
  <c r="C5"/>
  <c r="M5" s="1"/>
  <c r="B5"/>
  <c r="A5"/>
  <c r="C4"/>
  <c r="M4" s="1"/>
  <c r="B4"/>
  <c r="E13" i="20"/>
  <c r="D13"/>
  <c r="C13"/>
  <c r="A13"/>
  <c r="E12"/>
  <c r="D12"/>
  <c r="C12"/>
  <c r="A12"/>
  <c r="E11"/>
  <c r="D11"/>
  <c r="C11"/>
  <c r="A11"/>
  <c r="E10"/>
  <c r="D10"/>
  <c r="C10"/>
  <c r="A10"/>
  <c r="E9"/>
  <c r="D9"/>
  <c r="C9"/>
  <c r="A9"/>
  <c r="E8"/>
  <c r="D8"/>
  <c r="C8"/>
  <c r="A8"/>
  <c r="E7"/>
  <c r="D7"/>
  <c r="C7"/>
  <c r="A7"/>
  <c r="E6"/>
  <c r="D6"/>
  <c r="C6"/>
  <c r="A6"/>
  <c r="E5"/>
  <c r="D5"/>
  <c r="C5"/>
  <c r="A5"/>
  <c r="E4"/>
  <c r="D4"/>
  <c r="C4"/>
  <c r="A4"/>
  <c r="R13" i="4"/>
  <c r="F13" i="24" s="1"/>
  <c r="I13" i="1"/>
  <c r="E13" i="4"/>
  <c r="D13"/>
  <c r="C13"/>
  <c r="A13"/>
  <c r="R12"/>
  <c r="F12" i="24" s="1"/>
  <c r="G12" i="4"/>
  <c r="J12" s="1"/>
  <c r="I12" i="1" s="1"/>
  <c r="E12" i="4"/>
  <c r="D12"/>
  <c r="C12"/>
  <c r="A12"/>
  <c r="R11"/>
  <c r="F11" i="24" s="1"/>
  <c r="G11" i="4"/>
  <c r="J11" s="1"/>
  <c r="I11" i="1" s="1"/>
  <c r="E11" i="4"/>
  <c r="D11"/>
  <c r="C11"/>
  <c r="A11"/>
  <c r="R10"/>
  <c r="F10" i="24" s="1"/>
  <c r="G10" i="4"/>
  <c r="J10" s="1"/>
  <c r="I10" i="1" s="1"/>
  <c r="E10" i="4"/>
  <c r="D10"/>
  <c r="C10"/>
  <c r="A10"/>
  <c r="R9"/>
  <c r="F9" i="24" s="1"/>
  <c r="I9" i="1"/>
  <c r="E9" i="4"/>
  <c r="D9"/>
  <c r="C9"/>
  <c r="A9"/>
  <c r="R8"/>
  <c r="F8" i="24" s="1"/>
  <c r="G8" i="4"/>
  <c r="J8" s="1"/>
  <c r="I8" i="1" s="1"/>
  <c r="E8" i="4"/>
  <c r="D8"/>
  <c r="C8"/>
  <c r="A8"/>
  <c r="R7"/>
  <c r="F7" i="24" s="1"/>
  <c r="I7" i="1"/>
  <c r="E7" i="4"/>
  <c r="D7"/>
  <c r="C7"/>
  <c r="A7"/>
  <c r="R6"/>
  <c r="F6" i="24" s="1"/>
  <c r="G6" i="4"/>
  <c r="J6" s="1"/>
  <c r="I6" i="1" s="1"/>
  <c r="E6" i="4"/>
  <c r="D6"/>
  <c r="C6"/>
  <c r="A6"/>
  <c r="R5"/>
  <c r="F5" i="24" s="1"/>
  <c r="G5" i="4"/>
  <c r="J5" s="1"/>
  <c r="I5" i="1" s="1"/>
  <c r="E5" i="4"/>
  <c r="D5"/>
  <c r="C5"/>
  <c r="A5"/>
  <c r="R4"/>
  <c r="F4" i="24" s="1"/>
  <c r="I4" i="1"/>
  <c r="E4" i="4"/>
  <c r="D4"/>
  <c r="C4"/>
  <c r="A4"/>
  <c r="AN13" i="16"/>
  <c r="D13" i="24" s="1"/>
  <c r="AM13" i="16"/>
  <c r="E13" i="24" s="1"/>
  <c r="E13" i="16"/>
  <c r="I13" s="1"/>
  <c r="D13"/>
  <c r="H13" s="1"/>
  <c r="D56" s="1"/>
  <c r="C13"/>
  <c r="B13"/>
  <c r="A13"/>
  <c r="AN12"/>
  <c r="D12" i="24" s="1"/>
  <c r="AM12" i="16"/>
  <c r="E12" i="24" s="1"/>
  <c r="E12" i="16"/>
  <c r="I12" s="1"/>
  <c r="D12"/>
  <c r="H12" s="1"/>
  <c r="J12" s="1"/>
  <c r="C12"/>
  <c r="B12"/>
  <c r="A12"/>
  <c r="AN11"/>
  <c r="D11" i="24" s="1"/>
  <c r="AM11" i="16"/>
  <c r="E11" i="24" s="1"/>
  <c r="E11" i="16"/>
  <c r="I11" s="1"/>
  <c r="D11"/>
  <c r="H11" s="1"/>
  <c r="C11"/>
  <c r="B11"/>
  <c r="A11"/>
  <c r="AN10"/>
  <c r="D10" i="24" s="1"/>
  <c r="AM10" i="16"/>
  <c r="E10" i="24" s="1"/>
  <c r="E10" i="16"/>
  <c r="I10" s="1"/>
  <c r="D10"/>
  <c r="H10" s="1"/>
  <c r="C10"/>
  <c r="B10"/>
  <c r="A10"/>
  <c r="AN9"/>
  <c r="D9" i="24" s="1"/>
  <c r="AM9" i="16"/>
  <c r="E9" i="24" s="1"/>
  <c r="E9" i="16"/>
  <c r="I9" s="1"/>
  <c r="P9" s="1"/>
  <c r="D9"/>
  <c r="H9" s="1"/>
  <c r="C9"/>
  <c r="B9"/>
  <c r="A9"/>
  <c r="AN8"/>
  <c r="D8" i="24" s="1"/>
  <c r="AM8" i="16"/>
  <c r="E8" i="24" s="1"/>
  <c r="E8" i="16"/>
  <c r="I8" s="1"/>
  <c r="P8" s="1"/>
  <c r="N8" s="1"/>
  <c r="D8"/>
  <c r="H8" s="1"/>
  <c r="C8"/>
  <c r="B8"/>
  <c r="A8"/>
  <c r="B13" i="14"/>
  <c r="A13"/>
  <c r="B12"/>
  <c r="A12"/>
  <c r="A11"/>
  <c r="A10"/>
  <c r="A9"/>
  <c r="A8"/>
  <c r="A7"/>
  <c r="F13" i="12"/>
  <c r="F13" i="1" s="1"/>
  <c r="C13" i="12"/>
  <c r="B13"/>
  <c r="A13"/>
  <c r="F12"/>
  <c r="F12" i="1" s="1"/>
  <c r="C12" i="12"/>
  <c r="B12"/>
  <c r="A12"/>
  <c r="F11"/>
  <c r="F11" i="1" s="1"/>
  <c r="C11" i="12"/>
  <c r="B11"/>
  <c r="A11"/>
  <c r="G10"/>
  <c r="F10"/>
  <c r="F10" i="1" s="1"/>
  <c r="C10" i="12"/>
  <c r="B10"/>
  <c r="A10"/>
  <c r="F9"/>
  <c r="F9" i="1" s="1"/>
  <c r="C9" i="12"/>
  <c r="B9"/>
  <c r="A9"/>
  <c r="F8"/>
  <c r="C8"/>
  <c r="B8"/>
  <c r="A8"/>
  <c r="M13" i="13"/>
  <c r="I13"/>
  <c r="H13" i="27" s="1"/>
  <c r="C13" i="13"/>
  <c r="F13" s="1"/>
  <c r="G13" s="1"/>
  <c r="B13"/>
  <c r="A13"/>
  <c r="M12"/>
  <c r="I12"/>
  <c r="H12" i="27" s="1"/>
  <c r="C12" i="13"/>
  <c r="F12" s="1"/>
  <c r="G12" s="1"/>
  <c r="B12"/>
  <c r="A12"/>
  <c r="M11"/>
  <c r="I11"/>
  <c r="H11" i="27" s="1"/>
  <c r="C11" i="13"/>
  <c r="F11" s="1"/>
  <c r="G11" s="1"/>
  <c r="B11"/>
  <c r="A11"/>
  <c r="M10"/>
  <c r="I10"/>
  <c r="H10" i="27" s="1"/>
  <c r="C10" i="13"/>
  <c r="F10" s="1"/>
  <c r="G10" s="1"/>
  <c r="B10"/>
  <c r="A10"/>
  <c r="M9"/>
  <c r="I9"/>
  <c r="H9" i="27" s="1"/>
  <c r="C9" i="13"/>
  <c r="F9" s="1"/>
  <c r="G9" s="1"/>
  <c r="B9"/>
  <c r="A9"/>
  <c r="M8"/>
  <c r="I8"/>
  <c r="H8" i="27" s="1"/>
  <c r="C8" i="13"/>
  <c r="F8" s="1"/>
  <c r="G8" s="1"/>
  <c r="B8"/>
  <c r="A8"/>
  <c r="M7"/>
  <c r="I7"/>
  <c r="H7" i="27" s="1"/>
  <c r="C7" i="13"/>
  <c r="F7" s="1"/>
  <c r="G7" s="1"/>
  <c r="B7"/>
  <c r="A7"/>
  <c r="V9" i="26" l="1"/>
  <c r="M9"/>
  <c r="E9" i="27" s="1"/>
  <c r="E8"/>
  <c r="M8" i="26"/>
  <c r="V8"/>
  <c r="E7" i="27"/>
  <c r="D7" i="26"/>
  <c r="P10" i="14"/>
  <c r="G10" i="1" s="1"/>
  <c r="BA4" i="24"/>
  <c r="BA6"/>
  <c r="BA8"/>
  <c r="BA10"/>
  <c r="BA12"/>
  <c r="BG4"/>
  <c r="BG6"/>
  <c r="BG8"/>
  <c r="BG10"/>
  <c r="BG12"/>
  <c r="BG5"/>
  <c r="BG7"/>
  <c r="BG9"/>
  <c r="BG11"/>
  <c r="BG13"/>
  <c r="I5"/>
  <c r="I7"/>
  <c r="I9"/>
  <c r="I6"/>
  <c r="I10"/>
  <c r="I12"/>
  <c r="I11"/>
  <c r="I13"/>
  <c r="CE13" s="1"/>
  <c r="R13" i="9" s="1"/>
  <c r="J13" i="5" s="1"/>
  <c r="I4" i="24"/>
  <c r="I8"/>
  <c r="J10" i="16"/>
  <c r="P12" i="14"/>
  <c r="G12" i="1" s="1"/>
  <c r="P8" i="14"/>
  <c r="G8" i="1" s="1"/>
  <c r="CF8" i="24"/>
  <c r="Q8" i="9" s="1"/>
  <c r="G8" i="5" s="1"/>
  <c r="CF9" i="24"/>
  <c r="Q9" i="9" s="1"/>
  <c r="G9" i="5" s="1"/>
  <c r="CF10" i="24"/>
  <c r="Q10" i="9" s="1"/>
  <c r="G10" i="5" s="1"/>
  <c r="CF11" i="24"/>
  <c r="Q11" i="9" s="1"/>
  <c r="G11" i="5" s="1"/>
  <c r="CF12" i="24"/>
  <c r="Q12" i="9" s="1"/>
  <c r="G12" i="5" s="1"/>
  <c r="CF13" i="24"/>
  <c r="Q13" i="9" s="1"/>
  <c r="G13" i="5" s="1"/>
  <c r="K9" i="16"/>
  <c r="F8" i="1"/>
  <c r="D7" i="27"/>
  <c r="D8"/>
  <c r="D9"/>
  <c r="D10"/>
  <c r="D11"/>
  <c r="D12"/>
  <c r="D13"/>
  <c r="P9" i="14"/>
  <c r="G9" i="1" s="1"/>
  <c r="P11" i="14"/>
  <c r="G11" i="1" s="1"/>
  <c r="P13" i="14"/>
  <c r="G13" i="1" s="1"/>
  <c r="V4" i="26"/>
  <c r="AE5"/>
  <c r="AG5" s="1"/>
  <c r="F8" i="27"/>
  <c r="L8" i="16"/>
  <c r="K8"/>
  <c r="J8"/>
  <c r="P10"/>
  <c r="N10" s="1"/>
  <c r="P11"/>
  <c r="N11" s="1"/>
  <c r="P12"/>
  <c r="N12" s="1"/>
  <c r="P13"/>
  <c r="N13" s="1"/>
  <c r="J11"/>
  <c r="L11"/>
  <c r="K11"/>
  <c r="L13"/>
  <c r="J13"/>
  <c r="K13"/>
  <c r="L10"/>
  <c r="L9"/>
  <c r="K10"/>
  <c r="K12"/>
  <c r="J9"/>
  <c r="N9"/>
  <c r="L12"/>
  <c r="K10" i="13"/>
  <c r="J10"/>
  <c r="K12"/>
  <c r="J12"/>
  <c r="K7"/>
  <c r="J7"/>
  <c r="K9"/>
  <c r="J9"/>
  <c r="K11"/>
  <c r="J11"/>
  <c r="K13"/>
  <c r="J13"/>
  <c r="K8"/>
  <c r="J8"/>
  <c r="H7"/>
  <c r="H8"/>
  <c r="H9"/>
  <c r="H10"/>
  <c r="H11"/>
  <c r="H12"/>
  <c r="H13"/>
  <c r="CE11" i="24" l="1"/>
  <c r="R11" i="9" s="1"/>
  <c r="J11" i="5" s="1"/>
  <c r="AE4" i="26"/>
  <c r="AG4" s="1"/>
  <c r="CE9" i="24"/>
  <c r="R9" i="9" s="1"/>
  <c r="J9" i="5" s="1"/>
  <c r="CE10" i="24"/>
  <c r="R10" i="9" s="1"/>
  <c r="J10" i="5" s="1"/>
  <c r="CE8" i="24"/>
  <c r="R8" i="9" s="1"/>
  <c r="J8" i="5" s="1"/>
  <c r="CE12" i="24"/>
  <c r="R12" i="9" s="1"/>
  <c r="J12" i="5" s="1"/>
  <c r="O10" i="16"/>
  <c r="M10" s="1"/>
  <c r="H10" i="1" s="1"/>
  <c r="AE6" i="26"/>
  <c r="AG6" s="1"/>
  <c r="I6" i="5" s="1"/>
  <c r="AE8" i="26"/>
  <c r="AG8" s="1"/>
  <c r="O12" i="16"/>
  <c r="Q12" s="1"/>
  <c r="R12" i="10" s="1"/>
  <c r="P12" s="1"/>
  <c r="O11" i="16"/>
  <c r="I8" i="27"/>
  <c r="W8"/>
  <c r="AE12" i="26"/>
  <c r="AG12" s="1"/>
  <c r="F12" i="27"/>
  <c r="AE10" i="26"/>
  <c r="AG10" s="1"/>
  <c r="F10" i="27"/>
  <c r="V7"/>
  <c r="G7"/>
  <c r="J13"/>
  <c r="X13"/>
  <c r="AE13" i="26"/>
  <c r="AG13" s="1"/>
  <c r="F13" i="27"/>
  <c r="V12"/>
  <c r="G12"/>
  <c r="I13"/>
  <c r="W13"/>
  <c r="W11"/>
  <c r="I11"/>
  <c r="X9"/>
  <c r="J9"/>
  <c r="J7"/>
  <c r="X7"/>
  <c r="V13"/>
  <c r="G13"/>
  <c r="V11"/>
  <c r="G11"/>
  <c r="X8"/>
  <c r="J8"/>
  <c r="W9"/>
  <c r="I9"/>
  <c r="W7"/>
  <c r="I7"/>
  <c r="W10"/>
  <c r="I10"/>
  <c r="AE9" i="26"/>
  <c r="AG9" s="1"/>
  <c r="F9" i="27"/>
  <c r="AE7" i="26"/>
  <c r="AG7" s="1"/>
  <c r="I7" i="5" s="1"/>
  <c r="F7" i="27"/>
  <c r="N8" i="13"/>
  <c r="V8" i="27"/>
  <c r="G8"/>
  <c r="X12"/>
  <c r="J12"/>
  <c r="N9" i="13"/>
  <c r="V9" i="27"/>
  <c r="G9"/>
  <c r="J11"/>
  <c r="X11"/>
  <c r="W12"/>
  <c r="I12"/>
  <c r="AE11" i="26"/>
  <c r="AG11" s="1"/>
  <c r="F11" i="27"/>
  <c r="V10"/>
  <c r="G10"/>
  <c r="X10"/>
  <c r="J10"/>
  <c r="O9" i="16"/>
  <c r="O13"/>
  <c r="O8"/>
  <c r="N13" i="13"/>
  <c r="N11"/>
  <c r="N7"/>
  <c r="L7" s="1"/>
  <c r="E7" i="1" s="1"/>
  <c r="N12" i="13"/>
  <c r="N10"/>
  <c r="P11" i="9" l="1"/>
  <c r="I11" i="5"/>
  <c r="P8" i="9"/>
  <c r="I8" i="5"/>
  <c r="P12" i="9"/>
  <c r="I12" i="5"/>
  <c r="P10" i="9"/>
  <c r="I10" i="5"/>
  <c r="P13" i="9"/>
  <c r="I13" i="5"/>
  <c r="P9" i="9"/>
  <c r="I9" i="5"/>
  <c r="Q10" i="16"/>
  <c r="R10" i="10" s="1"/>
  <c r="P10" s="1"/>
  <c r="M12" i="16"/>
  <c r="H12" i="1" s="1"/>
  <c r="Q11" i="16"/>
  <c r="R11" i="10" s="1"/>
  <c r="P11" s="1"/>
  <c r="M11" i="16"/>
  <c r="H11" i="1" s="1"/>
  <c r="L9" i="9"/>
  <c r="L9" i="13"/>
  <c r="E9" i="1" s="1"/>
  <c r="L8" i="13"/>
  <c r="E8" i="1" s="1"/>
  <c r="L8" i="9"/>
  <c r="L11" i="13"/>
  <c r="E11" i="1" s="1"/>
  <c r="L11" i="9"/>
  <c r="L12" i="13"/>
  <c r="E12" i="1" s="1"/>
  <c r="L12" i="9"/>
  <c r="L10" i="13"/>
  <c r="E10" i="1" s="1"/>
  <c r="L10" i="9"/>
  <c r="L13" i="13"/>
  <c r="E13" i="1" s="1"/>
  <c r="L13" i="9"/>
  <c r="Q8" i="16"/>
  <c r="R8" i="10" s="1"/>
  <c r="P8" s="1"/>
  <c r="M8" i="16"/>
  <c r="H8" i="1" s="1"/>
  <c r="Q13" i="16"/>
  <c r="R13" i="10" s="1"/>
  <c r="P13" s="1"/>
  <c r="M13" i="16"/>
  <c r="H13" i="1" s="1"/>
  <c r="Q9" i="16"/>
  <c r="R9" i="10" s="1"/>
  <c r="P9" s="1"/>
  <c r="M9" i="16"/>
  <c r="H9" i="1" s="1"/>
  <c r="C7" i="25"/>
  <c r="C8"/>
  <c r="C9"/>
  <c r="C10"/>
  <c r="C11"/>
  <c r="C12"/>
  <c r="B7"/>
  <c r="B8"/>
  <c r="B9"/>
  <c r="B10"/>
  <c r="B11"/>
  <c r="B12"/>
  <c r="A7"/>
  <c r="A8"/>
  <c r="A9"/>
  <c r="A10"/>
  <c r="A11"/>
  <c r="A12"/>
  <c r="D7" i="23"/>
  <c r="D6"/>
  <c r="J6" i="1"/>
  <c r="J5"/>
  <c r="J4"/>
  <c r="O9" i="9" l="1"/>
  <c r="F9" i="5"/>
  <c r="H9" s="1"/>
  <c r="O13" i="9"/>
  <c r="F13" i="5"/>
  <c r="H13" s="1"/>
  <c r="O10" i="9"/>
  <c r="F10" i="5"/>
  <c r="H10" s="1"/>
  <c r="O12" i="9"/>
  <c r="F12" i="5"/>
  <c r="H12" s="1"/>
  <c r="O11" i="9"/>
  <c r="F11" i="5"/>
  <c r="H11" s="1"/>
  <c r="O8" i="9"/>
  <c r="F8" i="5"/>
  <c r="H8" s="1"/>
  <c r="D9" i="23"/>
  <c r="L10" i="1"/>
  <c r="AB10" i="5" s="1"/>
  <c r="AD10" s="1"/>
  <c r="L9" i="1"/>
  <c r="AB9" i="5" s="1"/>
  <c r="AD9" s="1"/>
  <c r="L11" i="1"/>
  <c r="AB11" i="5" s="1"/>
  <c r="AD11" s="1"/>
  <c r="L13" i="1"/>
  <c r="AB13" i="5" s="1"/>
  <c r="AD13" s="1"/>
  <c r="X9" l="1"/>
  <c r="X10"/>
  <c r="X11"/>
  <c r="X13"/>
  <c r="O11" i="1"/>
  <c r="N11" i="9" s="1"/>
  <c r="X29" i="5" s="1"/>
  <c r="Z29" s="1"/>
  <c r="O10" i="1"/>
  <c r="N10" i="9" s="1"/>
  <c r="X28" i="5" s="1"/>
  <c r="Z28" s="1"/>
  <c r="O13" i="1"/>
  <c r="N13" i="9" s="1"/>
  <c r="X31" i="5" s="1"/>
  <c r="Z31" s="1"/>
  <c r="O9" i="1"/>
  <c r="N9" i="9" s="1"/>
  <c r="R9" i="5" s="1"/>
  <c r="X27" s="1"/>
  <c r="Z27" s="1"/>
  <c r="C9" i="23"/>
  <c r="E9" s="1"/>
  <c r="AF4" i="5"/>
  <c r="AF5"/>
  <c r="AF17" s="1"/>
  <c r="AF3"/>
  <c r="W14"/>
  <c r="R14" i="20"/>
  <c r="S14"/>
  <c r="AF16" i="5" l="1"/>
  <c r="U14" i="20"/>
  <c r="T14"/>
  <c r="V3"/>
  <c r="Q14"/>
  <c r="G3" i="4"/>
  <c r="J3" s="1"/>
  <c r="C6" i="16" l="1"/>
  <c r="B6"/>
  <c r="A6"/>
  <c r="BT14" i="24" l="1"/>
  <c r="BU14"/>
  <c r="BV14"/>
  <c r="J3" i="1" l="1"/>
  <c r="I3"/>
  <c r="G3" i="24"/>
  <c r="AC3" i="5" l="1"/>
  <c r="AC4"/>
  <c r="AC5"/>
  <c r="G3" i="12"/>
  <c r="AC17" i="5" l="1"/>
  <c r="I3" i="13"/>
  <c r="I4"/>
  <c r="I5"/>
  <c r="I6"/>
  <c r="F3" i="12" l="1"/>
  <c r="F3" i="1" s="1"/>
  <c r="F4" i="12"/>
  <c r="F4" i="1" s="1"/>
  <c r="F5" i="12"/>
  <c r="F5" i="1" s="1"/>
  <c r="F6"/>
  <c r="F7" i="12"/>
  <c r="Q14" i="4"/>
  <c r="BG3" i="24"/>
  <c r="BA3"/>
  <c r="S14"/>
  <c r="F7" i="1" l="1"/>
  <c r="P7" i="14"/>
  <c r="G7" i="1" s="1"/>
  <c r="R14" i="24"/>
  <c r="R3" i="4"/>
  <c r="AN3" i="16"/>
  <c r="AN4"/>
  <c r="D4" i="24" s="1"/>
  <c r="CE4" s="1"/>
  <c r="AN5" i="16"/>
  <c r="D5" i="24" s="1"/>
  <c r="CE5" s="1"/>
  <c r="AN6" i="16"/>
  <c r="D6" i="24" s="1"/>
  <c r="CE6" s="1"/>
  <c r="AN7" i="16"/>
  <c r="D7" i="24" s="1"/>
  <c r="CE7" s="1"/>
  <c r="AM3" i="16"/>
  <c r="AM4"/>
  <c r="E4" i="24" s="1"/>
  <c r="CF4" s="1"/>
  <c r="AM5" i="16"/>
  <c r="E5" i="24" s="1"/>
  <c r="CF5" s="1"/>
  <c r="AM6" i="16"/>
  <c r="E6" i="24" s="1"/>
  <c r="CF6" s="1"/>
  <c r="AM7" i="16"/>
  <c r="E7" i="24" s="1"/>
  <c r="CF7" s="1"/>
  <c r="BW3"/>
  <c r="AK3"/>
  <c r="E3" l="1"/>
  <c r="L19" i="27"/>
  <c r="L18"/>
  <c r="Q14" i="24" l="1"/>
  <c r="AW14"/>
  <c r="AX14"/>
  <c r="Y14"/>
  <c r="T14" i="23"/>
  <c r="W14" i="24"/>
  <c r="X14"/>
  <c r="T14" i="9"/>
  <c r="U14"/>
  <c r="AD14" i="16" l="1"/>
  <c r="AE14"/>
  <c r="AF14"/>
  <c r="AH14"/>
  <c r="AI14"/>
  <c r="AL14"/>
  <c r="AM14"/>
  <c r="M14" i="9"/>
  <c r="D14" i="15" l="1"/>
  <c r="E14"/>
  <c r="F14"/>
  <c r="G14" l="1"/>
  <c r="AA14" i="5" l="1"/>
  <c r="Y14"/>
  <c r="E5" l="1"/>
  <c r="D5"/>
  <c r="C5"/>
  <c r="A5"/>
  <c r="E4" l="1"/>
  <c r="D4"/>
  <c r="C4"/>
  <c r="A4"/>
  <c r="E3" l="1"/>
  <c r="D3"/>
  <c r="C3"/>
  <c r="B3"/>
  <c r="A3"/>
  <c r="AF14" l="1"/>
  <c r="C6" i="28" l="1"/>
  <c r="B6"/>
  <c r="A6"/>
  <c r="C5"/>
  <c r="B5"/>
  <c r="A5"/>
  <c r="C4"/>
  <c r="B4"/>
  <c r="A4"/>
  <c r="C3"/>
  <c r="B3"/>
  <c r="A3"/>
  <c r="S14" i="10"/>
  <c r="Q14" l="1"/>
  <c r="O14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4" l="1"/>
  <c r="A5" i="22"/>
  <c r="A4"/>
  <c r="A3"/>
  <c r="A6" i="8"/>
  <c r="A5"/>
  <c r="A4"/>
  <c r="A3"/>
  <c r="S14" i="9" l="1"/>
  <c r="J14" l="1"/>
  <c r="I14"/>
  <c r="H14"/>
  <c r="G14"/>
  <c r="F14"/>
  <c r="E14"/>
  <c r="D7" l="1"/>
  <c r="C7"/>
  <c r="A7"/>
  <c r="D6"/>
  <c r="C6"/>
  <c r="A6"/>
  <c r="D5"/>
  <c r="C5"/>
  <c r="A5"/>
  <c r="D4"/>
  <c r="C4"/>
  <c r="A4"/>
  <c r="D3"/>
  <c r="C3"/>
  <c r="B3"/>
  <c r="A3"/>
  <c r="BS14" i="24" l="1"/>
  <c r="BR14"/>
  <c r="BQ14"/>
  <c r="BP14"/>
  <c r="BO14"/>
  <c r="BN14"/>
  <c r="BM14"/>
  <c r="BL14"/>
  <c r="BJ14"/>
  <c r="BI14"/>
  <c r="BH14"/>
  <c r="BF14"/>
  <c r="BE14"/>
  <c r="BD14"/>
  <c r="BC14"/>
  <c r="BB14"/>
  <c r="AZ14"/>
  <c r="AV14"/>
  <c r="AU14"/>
  <c r="AT14"/>
  <c r="AS14"/>
  <c r="AR14"/>
  <c r="AQ14"/>
  <c r="AP14"/>
  <c r="AO14"/>
  <c r="AN14"/>
  <c r="AM14"/>
  <c r="AJ14"/>
  <c r="AI14"/>
  <c r="AH14"/>
  <c r="AG14"/>
  <c r="AF14"/>
  <c r="AE14"/>
  <c r="AD14"/>
  <c r="AC14"/>
  <c r="AA14"/>
  <c r="V14"/>
  <c r="P14"/>
  <c r="O14"/>
  <c r="N14"/>
  <c r="M14"/>
  <c r="L14"/>
  <c r="BK3"/>
  <c r="J3"/>
  <c r="CF3" s="1"/>
  <c r="H3"/>
  <c r="C3"/>
  <c r="A3"/>
  <c r="BG14"/>
  <c r="C23" i="23"/>
  <c r="S14"/>
  <c r="R14"/>
  <c r="Q14"/>
  <c r="P14"/>
  <c r="O14"/>
  <c r="N14"/>
  <c r="M14"/>
  <c r="L14"/>
  <c r="K14"/>
  <c r="J14"/>
  <c r="I14"/>
  <c r="BK14" i="24" l="1"/>
  <c r="BW14"/>
  <c r="BA14"/>
  <c r="AK14"/>
  <c r="H14"/>
  <c r="G14" s="1"/>
  <c r="E14"/>
  <c r="J14"/>
  <c r="B5" i="23" l="1"/>
  <c r="A5"/>
  <c r="B4"/>
  <c r="A4"/>
  <c r="H14" i="15" l="1"/>
  <c r="C7"/>
  <c r="B7"/>
  <c r="A7"/>
  <c r="C6"/>
  <c r="B6"/>
  <c r="A6"/>
  <c r="C5"/>
  <c r="B5" l="1"/>
  <c r="A5"/>
  <c r="C4"/>
  <c r="B4"/>
  <c r="A4"/>
  <c r="C3"/>
  <c r="B3"/>
  <c r="A3"/>
  <c r="A14" i="27" l="1"/>
  <c r="C6"/>
  <c r="B6"/>
  <c r="C5"/>
  <c r="B5"/>
  <c r="C4"/>
  <c r="B4"/>
  <c r="C3"/>
  <c r="B3"/>
  <c r="A3"/>
  <c r="AH14" i="26"/>
  <c r="A14"/>
  <c r="C3" l="1"/>
  <c r="B3"/>
  <c r="A3"/>
  <c r="M3" l="1"/>
  <c r="E3" i="27" s="1"/>
  <c r="V3" i="26"/>
  <c r="F3" i="27" s="1"/>
  <c r="F6"/>
  <c r="D4"/>
  <c r="D6"/>
  <c r="W14" i="20"/>
  <c r="P14"/>
  <c r="O14"/>
  <c r="N14"/>
  <c r="M14"/>
  <c r="L14"/>
  <c r="K14"/>
  <c r="J14"/>
  <c r="F14"/>
  <c r="I3" i="24"/>
  <c r="E3" i="20"/>
  <c r="D3"/>
  <c r="C3"/>
  <c r="A3"/>
  <c r="BL14" i="4"/>
  <c r="BK14"/>
  <c r="BJ14"/>
  <c r="BI14"/>
  <c r="BH14"/>
  <c r="BG14"/>
  <c r="BF14"/>
  <c r="BE14"/>
  <c r="BD14"/>
  <c r="BC14"/>
  <c r="BB14"/>
  <c r="BA14"/>
  <c r="AZ14"/>
  <c r="AY14"/>
  <c r="AX14"/>
  <c r="AW14"/>
  <c r="AV14"/>
  <c r="AU14"/>
  <c r="AT14"/>
  <c r="AS14"/>
  <c r="AQ14"/>
  <c r="AP14"/>
  <c r="AO14"/>
  <c r="AM14"/>
  <c r="AL14"/>
  <c r="AK14"/>
  <c r="AJ14"/>
  <c r="AI14"/>
  <c r="AH14"/>
  <c r="AG14"/>
  <c r="AF14"/>
  <c r="AE14"/>
  <c r="AD14"/>
  <c r="AC14"/>
  <c r="AB14"/>
  <c r="Z14"/>
  <c r="X14"/>
  <c r="U14"/>
  <c r="T14"/>
  <c r="S14"/>
  <c r="P14"/>
  <c r="O14"/>
  <c r="N14"/>
  <c r="I14"/>
  <c r="H14"/>
  <c r="G14"/>
  <c r="F14"/>
  <c r="F3" i="24"/>
  <c r="E3" i="4"/>
  <c r="D3"/>
  <c r="C3"/>
  <c r="A3"/>
  <c r="E6" i="27" l="1"/>
  <c r="AC14" i="5"/>
  <c r="I14" i="24"/>
  <c r="V14" i="20"/>
  <c r="F14" i="24"/>
  <c r="R14" i="4"/>
  <c r="J14"/>
  <c r="D3" i="27"/>
  <c r="AE3" i="26"/>
  <c r="AG3" s="1"/>
  <c r="AC14" i="16"/>
  <c r="AB14"/>
  <c r="AA14"/>
  <c r="W14"/>
  <c r="V14"/>
  <c r="U14"/>
  <c r="T14"/>
  <c r="S14"/>
  <c r="R14"/>
  <c r="P6" i="9" l="1"/>
  <c r="I3" i="5"/>
  <c r="P3" i="9"/>
  <c r="D14" i="26"/>
  <c r="M14"/>
  <c r="R7" i="9" l="1"/>
  <c r="J7" i="5" s="1"/>
  <c r="E7" i="16"/>
  <c r="I7" s="1"/>
  <c r="D7"/>
  <c r="H7" s="1"/>
  <c r="C7"/>
  <c r="B7"/>
  <c r="A7"/>
  <c r="R6" i="9"/>
  <c r="J6" i="5" s="1"/>
  <c r="E6" i="16"/>
  <c r="I6" s="1"/>
  <c r="D6"/>
  <c r="H6" s="1"/>
  <c r="R5" i="9"/>
  <c r="E5" i="16"/>
  <c r="I5" s="1"/>
  <c r="D5"/>
  <c r="H5" s="1"/>
  <c r="C5"/>
  <c r="B5"/>
  <c r="A5"/>
  <c r="R4" i="9"/>
  <c r="E4" i="16"/>
  <c r="I4" s="1"/>
  <c r="D4"/>
  <c r="H4" s="1"/>
  <c r="C4"/>
  <c r="B4"/>
  <c r="A4"/>
  <c r="D3" i="24"/>
  <c r="CE3" s="1"/>
  <c r="R3" i="9" s="1"/>
  <c r="E3" i="16"/>
  <c r="I3" s="1"/>
  <c r="D3"/>
  <c r="H3" s="1"/>
  <c r="C3"/>
  <c r="B3"/>
  <c r="A3"/>
  <c r="B6" i="14"/>
  <c r="A6"/>
  <c r="B5"/>
  <c r="A5"/>
  <c r="B4"/>
  <c r="A4"/>
  <c r="B3"/>
  <c r="A3"/>
  <c r="G14" i="12"/>
  <c r="L12" i="1" l="1"/>
  <c r="Q6" i="9"/>
  <c r="G6" i="5" s="1"/>
  <c r="Q4" i="9"/>
  <c r="G4" i="5" s="1"/>
  <c r="Q3" i="9"/>
  <c r="G3" i="5" s="1"/>
  <c r="Q5" i="9"/>
  <c r="G5" i="5" s="1"/>
  <c r="Q7" i="9"/>
  <c r="G7" i="5" s="1"/>
  <c r="L7" i="16"/>
  <c r="K7"/>
  <c r="J7"/>
  <c r="P5"/>
  <c r="N5" s="1"/>
  <c r="P7"/>
  <c r="N7" s="1"/>
  <c r="L3"/>
  <c r="J3"/>
  <c r="K3"/>
  <c r="K5"/>
  <c r="L5"/>
  <c r="J5"/>
  <c r="P6"/>
  <c r="N6" s="1"/>
  <c r="L4"/>
  <c r="K4"/>
  <c r="J4"/>
  <c r="L6"/>
  <c r="K6"/>
  <c r="J6"/>
  <c r="AN14"/>
  <c r="O12" i="1" l="1"/>
  <c r="N12" i="9" s="1"/>
  <c r="X30" i="5" s="1"/>
  <c r="AB12"/>
  <c r="AD12" s="1"/>
  <c r="O5" i="16"/>
  <c r="Q5" s="1"/>
  <c r="R5" i="10" s="1"/>
  <c r="P4" i="16"/>
  <c r="N4" s="1"/>
  <c r="J14"/>
  <c r="O6"/>
  <c r="O4"/>
  <c r="O3"/>
  <c r="O7"/>
  <c r="P3"/>
  <c r="N3" s="1"/>
  <c r="L14"/>
  <c r="K14"/>
  <c r="I14"/>
  <c r="D14" i="24"/>
  <c r="H14" i="16"/>
  <c r="C7" i="12"/>
  <c r="B7"/>
  <c r="A7"/>
  <c r="C6"/>
  <c r="B6"/>
  <c r="A6"/>
  <c r="C5"/>
  <c r="B5"/>
  <c r="A5"/>
  <c r="C4"/>
  <c r="B4"/>
  <c r="A4"/>
  <c r="C3"/>
  <c r="B3"/>
  <c r="A3"/>
  <c r="F14"/>
  <c r="X12" i="5" l="1"/>
  <c r="Z30"/>
  <c r="CF14" i="24"/>
  <c r="G14" i="5" s="1"/>
  <c r="R14" i="9"/>
  <c r="M5" i="16"/>
  <c r="H5" i="1" s="1"/>
  <c r="M4" i="16"/>
  <c r="H4" i="1" s="1"/>
  <c r="Q4" i="16"/>
  <c r="R4" i="10" s="1"/>
  <c r="Q3" i="16"/>
  <c r="R3" i="10" s="1"/>
  <c r="M3" i="16"/>
  <c r="H3" i="1" s="1"/>
  <c r="P14" i="16"/>
  <c r="O14"/>
  <c r="Q6"/>
  <c r="R6" i="10" s="1"/>
  <c r="M6" i="16"/>
  <c r="H6" i="1" s="1"/>
  <c r="M7" i="16"/>
  <c r="H7" i="1" s="1"/>
  <c r="Q7" i="16"/>
  <c r="R7" i="10" s="1"/>
  <c r="P7" s="1"/>
  <c r="CE14" i="24"/>
  <c r="E14" i="13"/>
  <c r="D14"/>
  <c r="Q14" i="9" l="1"/>
  <c r="N14" i="16"/>
  <c r="Q14"/>
  <c r="R14" i="10"/>
  <c r="M14" i="16"/>
  <c r="M6" i="13" l="1"/>
  <c r="C6"/>
  <c r="F6" s="1"/>
  <c r="B6"/>
  <c r="A6"/>
  <c r="M5"/>
  <c r="C5"/>
  <c r="F5" s="1"/>
  <c r="B5"/>
  <c r="A5"/>
  <c r="M4"/>
  <c r="C4"/>
  <c r="F4" s="1"/>
  <c r="B4"/>
  <c r="A4"/>
  <c r="M3"/>
  <c r="C3"/>
  <c r="F3" s="1"/>
  <c r="B3"/>
  <c r="A3"/>
  <c r="P3" i="14" l="1"/>
  <c r="G3" i="1" s="1"/>
  <c r="P5" i="14"/>
  <c r="G5" i="1" s="1"/>
  <c r="P6" i="14"/>
  <c r="G6" i="1" s="1"/>
  <c r="P4" i="14"/>
  <c r="G4" i="1" s="1"/>
  <c r="G4" i="13"/>
  <c r="H4"/>
  <c r="G6"/>
  <c r="H6"/>
  <c r="G3"/>
  <c r="H3"/>
  <c r="G5"/>
  <c r="H5"/>
  <c r="D13" i="25"/>
  <c r="A13"/>
  <c r="C6"/>
  <c r="B6"/>
  <c r="A6"/>
  <c r="C5"/>
  <c r="B5"/>
  <c r="A5"/>
  <c r="C4"/>
  <c r="B4"/>
  <c r="A4"/>
  <c r="C3"/>
  <c r="B3"/>
  <c r="A3"/>
  <c r="C2"/>
  <c r="B2"/>
  <c r="A2"/>
  <c r="M14" i="1"/>
  <c r="K14"/>
  <c r="F14" l="1"/>
  <c r="I14" l="1"/>
  <c r="J14"/>
  <c r="J3" i="5" l="1"/>
  <c r="J4"/>
  <c r="J5"/>
  <c r="G14" i="1" l="1"/>
  <c r="H14" l="1"/>
  <c r="K6" i="13" l="1"/>
  <c r="M14"/>
  <c r="P14" i="14" s="1"/>
  <c r="F5" i="27"/>
  <c r="AF14" i="26"/>
  <c r="D5" i="27"/>
  <c r="E4"/>
  <c r="E5"/>
  <c r="D8" i="23" l="1"/>
  <c r="P7" i="9"/>
  <c r="I4" i="5"/>
  <c r="P4" i="9"/>
  <c r="J6" i="27"/>
  <c r="X6"/>
  <c r="J14" i="5"/>
  <c r="D14" i="27"/>
  <c r="F4"/>
  <c r="E14"/>
  <c r="J5" i="13"/>
  <c r="K5"/>
  <c r="H5" i="27"/>
  <c r="J4" i="13"/>
  <c r="K4"/>
  <c r="H4" i="27"/>
  <c r="V14" i="26"/>
  <c r="H3" i="27"/>
  <c r="J3" i="13"/>
  <c r="K3"/>
  <c r="F14"/>
  <c r="H6" i="27"/>
  <c r="J6" i="13"/>
  <c r="G4" i="27"/>
  <c r="G14" i="13"/>
  <c r="I5" i="5" l="1"/>
  <c r="P5" i="9"/>
  <c r="V6" i="27"/>
  <c r="V4"/>
  <c r="J3"/>
  <c r="X3"/>
  <c r="I4"/>
  <c r="W4"/>
  <c r="G5"/>
  <c r="V5"/>
  <c r="I3"/>
  <c r="W3"/>
  <c r="I6"/>
  <c r="W6"/>
  <c r="J4"/>
  <c r="X4"/>
  <c r="I5"/>
  <c r="W5"/>
  <c r="J5"/>
  <c r="X5"/>
  <c r="V3"/>
  <c r="N4" i="13"/>
  <c r="AG14" i="26"/>
  <c r="N5" i="13"/>
  <c r="G6" i="27"/>
  <c r="N6" i="13"/>
  <c r="I14"/>
  <c r="J14"/>
  <c r="G3" i="27"/>
  <c r="N3" i="13"/>
  <c r="AE14" i="26"/>
  <c r="K14" i="13"/>
  <c r="H14"/>
  <c r="F14" i="27"/>
  <c r="J14" l="1"/>
  <c r="G14"/>
  <c r="P14" i="9"/>
  <c r="I14" i="5"/>
  <c r="L6" i="13"/>
  <c r="E6" i="1" s="1"/>
  <c r="L6" s="1"/>
  <c r="L6" i="9"/>
  <c r="F6" i="5" s="1"/>
  <c r="H6" s="1"/>
  <c r="L5" i="13"/>
  <c r="E5" i="1" s="1"/>
  <c r="L5" s="1"/>
  <c r="O5" s="1"/>
  <c r="L5" i="9"/>
  <c r="I14" i="27"/>
  <c r="L3" i="13"/>
  <c r="E3" i="1" s="1"/>
  <c r="L3" s="1"/>
  <c r="L3" i="9"/>
  <c r="L4" i="13"/>
  <c r="E4" i="1" s="1"/>
  <c r="L4" s="1"/>
  <c r="O4" s="1"/>
  <c r="L4" i="9"/>
  <c r="L7"/>
  <c r="F7" i="5" s="1"/>
  <c r="H7" s="1"/>
  <c r="H14" i="27"/>
  <c r="N14" i="13"/>
  <c r="AB6" i="5" l="1"/>
  <c r="AD6" s="1"/>
  <c r="X6" s="1"/>
  <c r="O6" i="1"/>
  <c r="C6" i="23"/>
  <c r="E6" s="1"/>
  <c r="L7" i="1"/>
  <c r="AB7" i="5" s="1"/>
  <c r="AD7" s="1"/>
  <c r="AB5"/>
  <c r="N4" i="9"/>
  <c r="AB4" i="5"/>
  <c r="O3" i="1"/>
  <c r="N3" i="9" s="1"/>
  <c r="AB3" i="5"/>
  <c r="F4"/>
  <c r="H4" s="1"/>
  <c r="O4" i="9"/>
  <c r="F3" i="5"/>
  <c r="H3" s="1"/>
  <c r="O3" i="9"/>
  <c r="O7"/>
  <c r="O5"/>
  <c r="F5" i="5"/>
  <c r="H5" s="1"/>
  <c r="N5" i="9"/>
  <c r="O6"/>
  <c r="L14"/>
  <c r="L14" i="13"/>
  <c r="L8" i="1" s="1"/>
  <c r="AB8" i="5" s="1"/>
  <c r="AD8" s="1"/>
  <c r="R4" l="1"/>
  <c r="X22" s="1"/>
  <c r="X8"/>
  <c r="X7"/>
  <c r="R5"/>
  <c r="X23" s="1"/>
  <c r="O8" i="1"/>
  <c r="N8" i="9" s="1"/>
  <c r="R8" i="5" s="1"/>
  <c r="X26" s="1"/>
  <c r="Z26" s="1"/>
  <c r="C8" i="23"/>
  <c r="E8" s="1"/>
  <c r="O7" i="1"/>
  <c r="N7" i="9" s="1"/>
  <c r="R7" i="5" s="1"/>
  <c r="X25" s="1"/>
  <c r="Z25" s="1"/>
  <c r="C7" i="23"/>
  <c r="E7" s="1"/>
  <c r="R3" i="5"/>
  <c r="X21" s="1"/>
  <c r="AD5"/>
  <c r="AD4"/>
  <c r="K3" i="9"/>
  <c r="P3" i="10" s="1"/>
  <c r="K4" i="9"/>
  <c r="P4" i="10" s="1"/>
  <c r="K6" i="9"/>
  <c r="P6" i="10" s="1"/>
  <c r="K5" i="9"/>
  <c r="P5" i="10" s="1"/>
  <c r="AD3" i="5"/>
  <c r="O14" i="9"/>
  <c r="N6"/>
  <c r="R6" i="5" s="1"/>
  <c r="X24" s="1"/>
  <c r="Z24" s="1"/>
  <c r="F14"/>
  <c r="N14" i="1"/>
  <c r="E14"/>
  <c r="L14"/>
  <c r="X32" i="5" l="1"/>
  <c r="Z21"/>
  <c r="Z22"/>
  <c r="Z23"/>
  <c r="K14" i="9"/>
  <c r="X5" i="5"/>
  <c r="X4"/>
  <c r="X3"/>
  <c r="H14"/>
  <c r="Z32" l="1"/>
  <c r="D14" i="23"/>
  <c r="P14" i="10"/>
  <c r="AB14" i="5"/>
  <c r="E14" i="23"/>
  <c r="C14"/>
  <c r="O14" i="1"/>
  <c r="V14" i="5" l="1"/>
  <c r="N14" i="9"/>
  <c r="AD14" i="5"/>
  <c r="X14" l="1"/>
  <c r="R14"/>
  <c r="S14"/>
  <c r="Z14"/>
</calcChain>
</file>

<file path=xl/sharedStrings.xml><?xml version="1.0" encoding="utf-8"?>
<sst xmlns="http://schemas.openxmlformats.org/spreadsheetml/2006/main" count="1365" uniqueCount="586">
  <si>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</si>
  <si>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</si>
  <si>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</si>
  <si>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</si>
  <si>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</si>
  <si>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</si>
  <si>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</si>
  <si>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</si>
  <si>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</si>
  <si>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</si>
  <si>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</si>
  <si>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</si>
  <si>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</si>
  <si>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</si>
  <si>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</si>
  <si>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</si>
  <si>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</si>
  <si>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</si>
  <si>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</si>
  <si>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</si>
  <si>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</si>
  <si>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</si>
  <si>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</si>
  <si>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</si>
  <si>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</si>
  <si>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</si>
  <si>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</si>
  <si>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</si>
  <si>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</si>
  <si>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</si>
  <si>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</si>
  <si>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</si>
  <si>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</si>
  <si>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</si>
  <si>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</si>
  <si>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</si>
  <si>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</si>
  <si>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</si>
  <si>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</si>
  <si>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</si>
  <si>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</si>
  <si>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</si>
  <si>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</si>
  <si>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</si>
  <si>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</si>
  <si>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</si>
  <si>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</si>
  <si>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</si>
  <si>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</si>
  <si>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</si>
  <si>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</si>
  <si>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</si>
  <si>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</si>
  <si>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</si>
  <si>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</si>
  <si>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</si>
  <si>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</si>
  <si>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</si>
  <si>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</si>
  <si>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</si>
  <si>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</si>
  <si>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</si>
  <si>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</si>
  <si>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</si>
  <si>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</si>
  <si>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</si>
  <si>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</si>
  <si>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</si>
  <si>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</si>
  <si>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</si>
  <si>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</si>
  <si>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</si>
  <si>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</si>
  <si>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</si>
  <si>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</si>
  <si>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</si>
  <si>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</si>
  <si>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</si>
  <si>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</si>
  <si>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</si>
  <si>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</si>
  <si>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</si>
  <si>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</si>
  <si>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</si>
  <si>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</si>
  <si>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</si>
  <si>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</si>
  <si>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</si>
  <si>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</si>
  <si>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</si>
  <si>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</si>
  <si>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</si>
  <si>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</si>
  <si>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</si>
  <si>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</si>
  <si>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</si>
  <si>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</si>
  <si>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</si>
  <si>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</si>
  <si>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</si>
  <si>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</si>
  <si>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</si>
  <si>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</si>
  <si>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</si>
  <si>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</si>
  <si>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</si>
  <si>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</si>
  <si>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</si>
  <si>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</si>
  <si>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</si>
  <si>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</si>
  <si>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</si>
  <si>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</si>
  <si>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</si>
  <si>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</si>
  <si>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</si>
  <si>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</si>
  <si>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</si>
  <si>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</si>
  <si>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</si>
  <si>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</si>
  <si>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</si>
  <si>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</si>
  <si>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</si>
  <si>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</si>
  <si>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</si>
  <si>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</si>
  <si>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</si>
  <si>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</si>
  <si>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</si>
  <si>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</si>
  <si>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</si>
  <si>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</si>
  <si>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</si>
  <si>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</si>
  <si>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</si>
  <si>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</si>
  <si>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</si>
  <si>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</si>
  <si>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</si>
  <si>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</si>
  <si>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</si>
  <si>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</si>
  <si>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</si>
  <si>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</si>
  <si>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</si>
  <si>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</si>
  <si>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</si>
  <si>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</si>
  <si>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</si>
  <si>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</si>
  <si>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</si>
  <si>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</si>
  <si>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</si>
  <si>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</si>
  <si>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</si>
  <si>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</si>
  <si>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</si>
  <si>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</si>
  <si>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</si>
  <si>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</si>
  <si>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</si>
  <si>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</si>
  <si>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</si>
  <si>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</si>
  <si>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</si>
  <si>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</si>
  <si>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</si>
  <si>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</si>
  <si>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</si>
  <si>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</si>
  <si>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</si>
  <si>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</si>
  <si>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</si>
  <si>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</si>
  <si>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</si>
  <si>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</si>
  <si>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</si>
  <si>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</si>
  <si>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</si>
  <si>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</si>
  <si>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</si>
  <si>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</si>
  <si>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</si>
  <si>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</si>
  <si>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</si>
  <si>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</si>
  <si>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</si>
  <si>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</si>
  <si>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</si>
  <si>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</si>
  <si>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</si>
  <si>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</si>
  <si>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</si>
  <si>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</si>
  <si>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</si>
  <si>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</si>
  <si>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</si>
  <si>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</si>
  <si>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</si>
  <si>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</si>
  <si>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</si>
  <si>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</si>
  <si>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</si>
  <si>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</si>
  <si>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</si>
  <si>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</si>
  <si>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</si>
  <si>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</si>
  <si>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</si>
  <si>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</si>
  <si>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</si>
  <si>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</si>
  <si>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</si>
  <si>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</si>
  <si>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</si>
  <si>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</si>
  <si>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</si>
  <si>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</si>
  <si>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</si>
  <si>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</si>
  <si>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</si>
  <si>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</si>
  <si>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</si>
  <si>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</si>
  <si>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</si>
  <si>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</si>
  <si>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</si>
  <si>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</si>
  <si>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</si>
  <si>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</si>
  <si>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</si>
  <si>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</si>
  <si>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</si>
  <si>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</si>
  <si>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</si>
  <si>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</si>
  <si>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</si>
  <si>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</si>
  <si>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</si>
  <si>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</si>
  <si>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</si>
  <si>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</si>
  <si>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</si>
  <si>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</si>
  <si>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</si>
  <si>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</si>
  <si>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</si>
  <si>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</si>
  <si>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</si>
  <si>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</si>
  <si>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</si>
  <si>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</si>
  <si>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</si>
  <si>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</si>
  <si>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</si>
  <si>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</si>
  <si>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</si>
  <si>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</si>
  <si>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</si>
  <si>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</si>
  <si>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</si>
  <si>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</si>
  <si>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</si>
  <si>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</si>
  <si>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</si>
  <si>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</si>
  <si>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</si>
  <si>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</si>
  <si>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</si>
  <si>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</si>
  <si>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</si>
  <si>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</si>
  <si>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</si>
  <si>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</si>
  <si>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</si>
  <si>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</si>
  <si>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</si>
  <si>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</si>
  <si>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</si>
  <si>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</si>
  <si>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</si>
  <si>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</si>
  <si>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</si>
  <si>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</si>
  <si>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</si>
  <si>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</si>
  <si>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</si>
  <si>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</si>
  <si>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</si>
  <si>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</si>
  <si>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</si>
  <si>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</si>
  <si>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</si>
  <si>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</si>
  <si>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</si>
  <si>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</si>
  <si>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</si>
  <si>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</si>
  <si>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</si>
  <si>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</si>
  <si>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</si>
  <si>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</si>
  <si>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</si>
  <si>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</si>
  <si>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</si>
  <si>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</si>
  <si>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</si>
  <si>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</si>
  <si>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</si>
  <si>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</si>
  <si>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</si>
  <si>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</si>
  <si>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</si>
  <si>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</si>
  <si>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</si>
  <si>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</si>
  <si>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</si>
  <si>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</si>
  <si>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</si>
  <si>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</si>
  <si>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</si>
  <si>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</si>
  <si>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</si>
  <si>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</si>
  <si>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</si>
  <si>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</si>
  <si>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</si>
  <si>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</si>
  <si>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</si>
  <si>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</si>
  <si>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</si>
  <si>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</si>
  <si>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</si>
  <si>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</si>
  <si>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</si>
  <si>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</si>
  <si>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</si>
  <si>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</si>
  <si>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</si>
  <si>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</si>
  <si>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</si>
  <si>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</si>
  <si>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</si>
  <si>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</si>
  <si>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</si>
  <si>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</si>
  <si>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</si>
  <si>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</si>
  <si>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</si>
  <si>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</si>
  <si>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</si>
  <si>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</si>
  <si>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</si>
  <si>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</si>
  <si>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</si>
  <si>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</si>
  <si>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</si>
  <si>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</si>
  <si>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</si>
  <si>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</si>
  <si>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</si>
  <si>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</si>
  <si>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</si>
  <si>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</si>
  <si>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</si>
  <si>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</si>
  <si>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</si>
  <si>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</si>
  <si>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</si>
  <si>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</si>
  <si>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</si>
  <si>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</si>
  <si>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</si>
  <si>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</si>
  <si>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</si>
  <si>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</si>
  <si>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</si>
  <si>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</si>
  <si>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</si>
  <si>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</si>
  <si>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</si>
  <si>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</si>
  <si>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</si>
  <si>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</si>
  <si>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</si>
  <si>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</si>
  <si>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</si>
  <si>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</si>
  <si>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</si>
  <si>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</si>
  <si>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</si>
  <si>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</si>
  <si>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</si>
  <si>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</si>
  <si>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</si>
  <si>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</si>
  <si>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</si>
  <si>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</si>
  <si>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</si>
  <si>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</si>
  <si>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</si>
  <si>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</si>
  <si>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</si>
  <si>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</si>
  <si>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</si>
  <si>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</si>
  <si>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</si>
  <si>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</si>
  <si>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</si>
  <si>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</si>
  <si>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</si>
  <si>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</si>
  <si>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</si>
  <si>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</si>
  <si>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</si>
  <si>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</si>
  <si>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</si>
  <si>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</si>
  <si>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</si>
  <si>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</si>
  <si>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</si>
  <si>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</si>
  <si>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</si>
  <si>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</si>
  <si>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</si>
  <si>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</si>
  <si>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</si>
  <si>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</si>
  <si>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</si>
  <si>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</si>
  <si>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</si>
  <si>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</si>
  <si>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</si>
  <si>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</si>
  <si>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</si>
  <si>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</si>
  <si>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</si>
  <si>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</si>
  <si>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</si>
  <si>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</si>
  <si>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</si>
  <si>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</si>
  <si>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</si>
  <si>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</si>
  <si>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</si>
  <si>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</si>
  <si>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</si>
  <si>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</si>
  <si>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</si>
  <si>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</si>
  <si>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</si>
  <si>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</si>
  <si>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</si>
  <si>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</si>
  <si>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</si>
  <si>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</si>
  <si>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</si>
  <si>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</si>
  <si>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</si>
  <si>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</si>
  <si>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</si>
  <si>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</si>
  <si>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</si>
  <si>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</si>
  <si>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</si>
  <si>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</si>
  <si>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</si>
  <si>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</si>
  <si>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</si>
  <si>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</si>
  <si>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</si>
  <si>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</si>
  <si>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</si>
  <si>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</si>
  <si>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</si>
  <si>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</si>
  <si>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</si>
  <si>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</si>
  <si>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</si>
  <si>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</si>
  <si>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</si>
  <si>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</si>
  <si>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</si>
  <si>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</si>
  <si>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</si>
  <si>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</si>
  <si>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</si>
  <si>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</si>
  <si>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</si>
  <si>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</si>
  <si>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</si>
  <si>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</si>
  <si>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</si>
  <si>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</si>
  <si>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</si>
  <si>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</si>
  <si>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</si>
  <si>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</si>
  <si>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</si>
  <si>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</si>
  <si>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</si>
  <si>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</si>
  <si>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</si>
  <si>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</si>
  <si>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</si>
  <si>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</si>
  <si>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</si>
  <si>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</si>
  <si>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</si>
  <si>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</si>
  <si>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</si>
  <si>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</si>
  <si>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σημειώσεις</t>
  </si>
  <si>
    <t>5α</t>
  </si>
  <si>
    <t>5β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</si>
  <si>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</si>
  <si>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</si>
  <si>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</si>
  <si>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</si>
  <si>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</si>
  <si>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</si>
  <si>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</si>
  <si>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</si>
  <si>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</si>
  <si>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*13α*</t>
  </si>
  <si>
    <t>*13β*</t>
  </si>
  <si>
    <t>71ι</t>
  </si>
  <si>
    <t>**71ι** = δήμος = δόμησης ΟΡΟΙ</t>
  </si>
  <si>
    <t>ζημία</t>
  </si>
  <si>
    <t>καθεστώς ΤΟΓΚΑΣ</t>
  </si>
  <si>
    <t>ΑΝ όχι ΣΕ καθεστώς ΤΟΓΚΑΣ</t>
  </si>
  <si>
    <t>γονική</t>
  </si>
  <si>
    <t>δωρεά</t>
  </si>
  <si>
    <t>φ5</t>
  </si>
  <si>
    <t>ΔΕΝ έχω</t>
  </si>
  <si>
    <t>1 σε 1</t>
  </si>
  <si>
    <t>φ6</t>
  </si>
  <si>
    <t>71κ</t>
  </si>
  <si>
    <t>71κ = Δήμος - γέννησης</t>
  </si>
  <si>
    <t>72ε</t>
  </si>
  <si>
    <t>72ε = Δ.Ο.Υ. - ΑΦΜ</t>
  </si>
  <si>
    <t>73β</t>
  </si>
  <si>
    <t>73β = νομαρχία - τοπογραφική</t>
  </si>
  <si>
    <t>φ4</t>
  </si>
  <si>
    <t>65δ</t>
  </si>
  <si>
    <t>ημερομ</t>
  </si>
  <si>
    <t>καθεστώς πληρωμής από ΑΓΑΠΕ</t>
  </si>
  <si>
    <t>καθεστώς</t>
  </si>
  <si>
    <t>έπρεπε ΝΑ χρεώσει</t>
  </si>
  <si>
    <t>χρέωσε</t>
  </si>
  <si>
    <t>ΧΡΗΣΙΚΤΗΣΙΑ αγροτεμαχίου = 1961 μητρος ΔΩΡΕΑ άτυπη</t>
  </si>
  <si>
    <t>κληρονομιάς ΑΠΟΔΟΧΗ</t>
  </si>
  <si>
    <t>χρησικτησία αγροτεμάχιο 1' = 1968 ΑΝΑΔΑΣΜΟΣ</t>
  </si>
  <si>
    <t>219-119 = σύζυγος</t>
  </si>
  <si>
    <t>219-119 = υιός</t>
  </si>
  <si>
    <t>219-119 = θυγατέρα</t>
  </si>
  <si>
    <t>219-119</t>
  </si>
  <si>
    <t>εξισορρόπηση διαφοράς διανεμομένων μεριδίων</t>
  </si>
  <si>
    <t xml:space="preserve">χρησικτησία αγροτεμαχίων 2' έως 10' = 1961 πατρός ΔΩΡΕΑ άτυπος </t>
  </si>
  <si>
    <t>διανομή [ = 2/8 μήτηρ &amp; από 3/8 τέκνα</t>
  </si>
  <si>
    <t>Δ.Ο.Υ.</t>
  </si>
  <si>
    <t>οι 3</t>
  </si>
  <si>
    <t>τα 2/8</t>
  </si>
  <si>
    <t>μαζι ΜΕ 8770-8771-8772-8773-8774-8775</t>
  </si>
  <si>
    <t>τα 3/8</t>
  </si>
  <si>
    <t>1δ6</t>
  </si>
  <si>
    <t>χρεώνει δικαιώματα = 1% [αυτό ξεκινάει στις 2/8/2009</t>
  </si>
  <si>
    <t>7ο</t>
  </si>
  <si>
    <t>8ο</t>
  </si>
  <si>
    <t>9ο</t>
  </si>
  <si>
    <t>10ο</t>
  </si>
  <si>
    <t>11ο</t>
  </si>
  <si>
    <t>12ο</t>
  </si>
  <si>
    <t>1] αγροτεμάχιο ;;;??? Σωτήρος '';;;???'' 2.732μ2</t>
  </si>
  <si>
    <t>2] αγροτεμάχιο Σωτήρος '';;;???'' 3.000μ2</t>
  </si>
  <si>
    <t>3] αγροτεμάχιο Σωτήρος '';;;???'' 500μ2</t>
  </si>
  <si>
    <t>4] αγροτεμάχιο Σωτήρος '';;;???'' 4.000μ2</t>
  </si>
  <si>
    <t>5] αγροτεμάχιο Σωτήρος '';;;???'' 3.000μ2</t>
  </si>
  <si>
    <t>6] αγροτεμάχιο Πρίνος -'';;;???'' 3.000μ2</t>
  </si>
  <si>
    <t>7] αγροτεμάχιο Σωτήρος '';;;???'' 7.000μ2</t>
  </si>
  <si>
    <t>8] αγροτεμάχιο Σωτήρος '';;;???'' 2.000μ2</t>
  </si>
  <si>
    <t>9] αγροτεμάχιο Σωτήρος '';;;???'' 500μ2</t>
  </si>
  <si>
    <t>10] αγροτεμάχιο Σωτήρος '';;;???'' 500μ2</t>
  </si>
  <si>
    <t>Δ.Ο.Υ. - 13γ = γης [πιο πολλά ΑΠΌ όσα πήρε</t>
  </si>
  <si>
    <t>*γονική ΨΙΛΗΣ ΚΥΡΙΟΤΗΤΑΣ [αγροτεμάχιο ;;;??? Πρίνος -'';;;???'' 580μ2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</si>
</sst>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2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color rgb="FF000000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881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22" fillId="0" borderId="14" xfId="0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43" fontId="48" fillId="0" borderId="0" xfId="1" applyFo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14" fontId="24" fillId="0" borderId="1" xfId="1" applyNumberFormat="1" applyFont="1" applyFill="1" applyBorder="1" applyAlignment="1">
      <alignment horizontal="center" vertical="center"/>
    </xf>
    <xf numFmtId="164" fontId="18" fillId="0" borderId="1" xfId="1" applyNumberFormat="1" applyFont="1" applyFill="1" applyBorder="1" applyAlignment="1">
      <alignment horizontal="right" vertical="center"/>
    </xf>
    <xf numFmtId="43" fontId="37" fillId="0" borderId="1" xfId="1" applyFont="1" applyFill="1" applyBorder="1" applyAlignment="1">
      <alignment horizontal="center" vertical="center"/>
    </xf>
    <xf numFmtId="164" fontId="19" fillId="0" borderId="0" xfId="1" applyNumberFormat="1" applyFont="1" applyFill="1" applyBorder="1"/>
    <xf numFmtId="164" fontId="22" fillId="0" borderId="0" xfId="1" applyNumberFormat="1" applyFont="1" applyBorder="1"/>
    <xf numFmtId="10" fontId="22" fillId="0" borderId="0" xfId="1" applyNumberFormat="1" applyFont="1"/>
    <xf numFmtId="0" fontId="22" fillId="0" borderId="0" xfId="0" applyFont="1" applyAlignment="1">
      <alignment horizontal="right"/>
    </xf>
    <xf numFmtId="14" fontId="19" fillId="0" borderId="9" xfId="1" applyNumberFormat="1" applyFont="1" applyFill="1" applyBorder="1" applyAlignment="1">
      <alignment horizontal="center" vertical="center"/>
    </xf>
    <xf numFmtId="43" fontId="19" fillId="0" borderId="9" xfId="1" applyFont="1" applyFill="1" applyBorder="1"/>
    <xf numFmtId="0" fontId="19" fillId="0" borderId="9" xfId="0" applyFont="1" applyFill="1" applyBorder="1" applyAlignment="1">
      <alignment horizontal="left"/>
    </xf>
    <xf numFmtId="49" fontId="22" fillId="0" borderId="1" xfId="0" applyNumberFormat="1" applyFont="1" applyFill="1" applyBorder="1"/>
    <xf numFmtId="43" fontId="22" fillId="0" borderId="9" xfId="1" applyFont="1" applyFill="1" applyBorder="1"/>
    <xf numFmtId="164" fontId="24" fillId="2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/>
    <xf numFmtId="164" fontId="19" fillId="0" borderId="9" xfId="1" applyNumberFormat="1" applyFont="1" applyFill="1" applyBorder="1"/>
    <xf numFmtId="14" fontId="22" fillId="0" borderId="14" xfId="0" applyNumberFormat="1" applyFont="1" applyFill="1" applyBorder="1"/>
    <xf numFmtId="164" fontId="24" fillId="2" borderId="14" xfId="1" applyNumberFormat="1" applyFont="1" applyFill="1" applyBorder="1" applyAlignment="1">
      <alignment horizontal="center" vertical="center"/>
    </xf>
    <xf numFmtId="164" fontId="24" fillId="8" borderId="18" xfId="1" applyNumberFormat="1" applyFont="1" applyFill="1" applyBorder="1" applyAlignment="1">
      <alignment horizontal="center" vertical="center"/>
    </xf>
    <xf numFmtId="164" fontId="24" fillId="8" borderId="8" xfId="1" applyNumberFormat="1" applyFont="1" applyFill="1" applyBorder="1" applyAlignment="1">
      <alignment horizontal="center" vertical="center"/>
    </xf>
    <xf numFmtId="43" fontId="29" fillId="0" borderId="14" xfId="1" applyFont="1" applyFill="1" applyBorder="1" applyAlignment="1"/>
    <xf numFmtId="43" fontId="20" fillId="0" borderId="14" xfId="1" applyFont="1" applyFill="1" applyBorder="1" applyAlignment="1"/>
    <xf numFmtId="43" fontId="20" fillId="0" borderId="14" xfId="1" applyFont="1" applyBorder="1"/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43" fontId="21" fillId="0" borderId="24" xfId="1" applyFont="1" applyFill="1" applyBorder="1" applyAlignment="1">
      <alignment horizontal="right"/>
    </xf>
    <xf numFmtId="165" fontId="43" fillId="0" borderId="1" xfId="1" applyNumberFormat="1" applyFont="1" applyFill="1" applyBorder="1" applyAlignment="1">
      <alignment horizontal="center" wrapText="1"/>
    </xf>
    <xf numFmtId="43" fontId="49" fillId="0" borderId="0" xfId="1" applyFont="1" applyFill="1"/>
    <xf numFmtId="43" fontId="34" fillId="0" borderId="0" xfId="1" applyFont="1"/>
    <xf numFmtId="43" fontId="34" fillId="7" borderId="0" xfId="1" applyFont="1" applyFill="1"/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43" fontId="36" fillId="0" borderId="1" xfId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1" fillId="4" borderId="1" xfId="1" applyNumberFormat="1" applyFont="1" applyFill="1" applyBorder="1" applyAlignment="1">
      <alignment horizontal="center" vertical="center"/>
    </xf>
    <xf numFmtId="164" fontId="38" fillId="0" borderId="14" xfId="1" applyNumberFormat="1" applyFont="1" applyFill="1" applyBorder="1" applyAlignment="1"/>
    <xf numFmtId="43" fontId="38" fillId="0" borderId="14" xfId="1" applyFont="1" applyFill="1" applyBorder="1" applyAlignment="1"/>
    <xf numFmtId="43" fontId="21" fillId="4" borderId="10" xfId="1" applyFont="1" applyFill="1" applyBorder="1" applyAlignment="1">
      <alignment horizontal="center" vertical="center" wrapText="1"/>
    </xf>
    <xf numFmtId="43" fontId="20" fillId="12" borderId="14" xfId="1" applyFont="1" applyFill="1" applyBorder="1" applyAlignment="1"/>
    <xf numFmtId="43" fontId="20" fillId="9" borderId="14" xfId="1" applyFont="1" applyFill="1" applyBorder="1" applyAlignment="1"/>
    <xf numFmtId="164" fontId="35" fillId="0" borderId="14" xfId="1" applyNumberFormat="1" applyFont="1" applyBorder="1" applyAlignment="1">
      <alignment horizontal="center" wrapText="1"/>
    </xf>
    <xf numFmtId="164" fontId="20" fillId="0" borderId="14" xfId="1" applyNumberFormat="1" applyFont="1" applyBorder="1" applyAlignment="1">
      <alignment horizontal="center" wrapText="1"/>
    </xf>
    <xf numFmtId="43" fontId="21" fillId="0" borderId="14" xfId="1" applyFont="1" applyFill="1" applyBorder="1"/>
    <xf numFmtId="14" fontId="22" fillId="0" borderId="9" xfId="0" applyNumberFormat="1" applyFont="1" applyFill="1" applyBorder="1"/>
    <xf numFmtId="0" fontId="21" fillId="0" borderId="0" xfId="0" applyFont="1" applyAlignment="1">
      <alignment horizontal="left"/>
    </xf>
    <xf numFmtId="164" fontId="24" fillId="0" borderId="18" xfId="1" applyNumberFormat="1" applyFont="1" applyFill="1" applyBorder="1" applyAlignment="1">
      <alignment horizontal="center" vertical="center"/>
    </xf>
    <xf numFmtId="164" fontId="24" fillId="0" borderId="2" xfId="1" applyNumberFormat="1" applyFont="1" applyFill="1" applyBorder="1" applyAlignment="1">
      <alignment horizontal="center" vertical="center"/>
    </xf>
    <xf numFmtId="43" fontId="39" fillId="0" borderId="14" xfId="1" applyFont="1" applyFill="1" applyBorder="1" applyAlignment="1"/>
    <xf numFmtId="164" fontId="13" fillId="0" borderId="1" xfId="1" applyNumberFormat="1" applyFont="1" applyFill="1" applyBorder="1"/>
    <xf numFmtId="164" fontId="22" fillId="0" borderId="1" xfId="1" applyNumberFormat="1" applyFont="1" applyBorder="1"/>
    <xf numFmtId="43" fontId="19" fillId="0" borderId="1" xfId="0" applyNumberFormat="1" applyFont="1" applyFill="1" applyBorder="1" applyAlignment="1">
      <alignment horizontal="center" wrapText="1"/>
    </xf>
    <xf numFmtId="43" fontId="21" fillId="0" borderId="24" xfId="1" applyFont="1" applyFill="1" applyBorder="1" applyAlignment="1">
      <alignment horizontal="center" wrapText="1"/>
    </xf>
    <xf numFmtId="164" fontId="41" fillId="0" borderId="1" xfId="1" applyNumberFormat="1" applyFont="1" applyFill="1" applyBorder="1"/>
    <xf numFmtId="164" fontId="36" fillId="4" borderId="1" xfId="1" applyNumberFormat="1" applyFont="1" applyFill="1" applyBorder="1"/>
    <xf numFmtId="164" fontId="29" fillId="0" borderId="14" xfId="1" applyNumberFormat="1" applyFont="1" applyFill="1" applyBorder="1" applyAlignment="1"/>
    <xf numFmtId="0" fontId="27" fillId="0" borderId="14" xfId="0" applyFont="1" applyBorder="1" applyAlignment="1">
      <alignment horizontal="center" wrapText="1"/>
    </xf>
    <xf numFmtId="164" fontId="43" fillId="0" borderId="1" xfId="1" applyNumberFormat="1" applyFont="1" applyFill="1" applyBorder="1" applyAlignment="1">
      <alignment horizontal="center" vertical="center" wrapText="1"/>
    </xf>
    <xf numFmtId="43" fontId="22" fillId="5" borderId="0" xfId="1" applyFont="1" applyFill="1"/>
    <xf numFmtId="0" fontId="22" fillId="0" borderId="0" xfId="0" applyFont="1" applyFill="1" applyAlignment="1">
      <alignment horizontal="right"/>
    </xf>
    <xf numFmtId="0" fontId="19" fillId="0" borderId="9" xfId="0" applyFont="1" applyFill="1" applyBorder="1"/>
    <xf numFmtId="43" fontId="19" fillId="0" borderId="9" xfId="1" applyFont="1" applyFill="1" applyBorder="1" applyAlignment="1">
      <alignment horizontal="right" vertical="center"/>
    </xf>
    <xf numFmtId="164" fontId="24" fillId="2" borderId="8" xfId="1" applyNumberFormat="1" applyFont="1" applyFill="1" applyBorder="1" applyAlignment="1">
      <alignment horizontal="center" vertical="center"/>
    </xf>
    <xf numFmtId="43" fontId="19" fillId="3" borderId="9" xfId="1" applyFont="1" applyFill="1" applyBorder="1"/>
    <xf numFmtId="0" fontId="22" fillId="0" borderId="14" xfId="0" applyFont="1" applyFill="1" applyBorder="1"/>
    <xf numFmtId="0" fontId="22" fillId="0" borderId="9" xfId="0" applyFont="1" applyFill="1" applyBorder="1"/>
    <xf numFmtId="0" fontId="43" fillId="0" borderId="9" xfId="0" applyFont="1" applyFill="1" applyBorder="1" applyAlignment="1">
      <alignment horizontal="center"/>
    </xf>
    <xf numFmtId="164" fontId="22" fillId="2" borderId="14" xfId="1" applyNumberFormat="1" applyFont="1" applyFill="1" applyBorder="1"/>
    <xf numFmtId="164" fontId="22" fillId="2" borderId="1" xfId="1" applyNumberFormat="1" applyFont="1" applyFill="1" applyBorder="1"/>
    <xf numFmtId="164" fontId="22" fillId="2" borderId="9" xfId="1" applyNumberFormat="1" applyFont="1" applyFill="1" applyBorder="1"/>
    <xf numFmtId="49" fontId="22" fillId="0" borderId="9" xfId="0" applyNumberFormat="1" applyFont="1" applyFill="1" applyBorder="1"/>
    <xf numFmtId="164" fontId="24" fillId="0" borderId="14" xfId="1" applyNumberFormat="1" applyFont="1" applyFill="1" applyBorder="1" applyAlignment="1">
      <alignment horizontal="center" vertical="center"/>
    </xf>
    <xf numFmtId="164" fontId="24" fillId="0" borderId="9" xfId="1" applyNumberFormat="1" applyFont="1" applyFill="1" applyBorder="1" applyAlignment="1">
      <alignment horizontal="center" vertical="center"/>
    </xf>
    <xf numFmtId="164" fontId="24" fillId="2" borderId="1" xfId="1" applyNumberFormat="1" applyFont="1" applyFill="1" applyBorder="1" applyAlignment="1">
      <alignment horizontal="center" vertical="center"/>
    </xf>
    <xf numFmtId="164" fontId="37" fillId="0" borderId="14" xfId="1" applyNumberFormat="1" applyFont="1" applyFill="1" applyBorder="1" applyAlignment="1">
      <alignment horizontal="center" vertical="center"/>
    </xf>
    <xf numFmtId="0" fontId="37" fillId="0" borderId="14" xfId="1" applyNumberFormat="1" applyFont="1" applyFill="1" applyBorder="1" applyAlignment="1">
      <alignment horizontal="left" vertical="center"/>
    </xf>
    <xf numFmtId="43" fontId="37" fillId="0" borderId="1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43" fontId="18" fillId="0" borderId="14" xfId="1" applyFont="1" applyFill="1" applyBorder="1" applyAlignment="1">
      <alignment horizontal="right" vertical="center"/>
    </xf>
    <xf numFmtId="164" fontId="37" fillId="0" borderId="9" xfId="1" applyNumberFormat="1" applyFont="1" applyFill="1" applyBorder="1" applyAlignment="1">
      <alignment horizontal="center" vertical="center"/>
    </xf>
    <xf numFmtId="0" fontId="37" fillId="0" borderId="9" xfId="1" applyNumberFormat="1" applyFont="1" applyFill="1" applyBorder="1" applyAlignment="1">
      <alignment horizontal="left" vertical="center"/>
    </xf>
    <xf numFmtId="43" fontId="37" fillId="0" borderId="9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164" fontId="37" fillId="2" borderId="14" xfId="1" applyNumberFormat="1" applyFont="1" applyFill="1" applyBorder="1" applyAlignment="1">
      <alignment horizontal="center" vertical="center"/>
    </xf>
    <xf numFmtId="164" fontId="37" fillId="2" borderId="1" xfId="1" applyNumberFormat="1" applyFont="1" applyFill="1" applyBorder="1" applyAlignment="1">
      <alignment horizontal="center" vertical="center"/>
    </xf>
    <xf numFmtId="164" fontId="37" fillId="2" borderId="9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18" fillId="0" borderId="9" xfId="0" applyFont="1" applyFill="1" applyBorder="1" applyAlignment="1">
      <alignment horizontal="left"/>
    </xf>
    <xf numFmtId="164" fontId="18" fillId="0" borderId="9" xfId="1" applyNumberFormat="1" applyFont="1" applyFill="1" applyBorder="1"/>
    <xf numFmtId="164" fontId="24" fillId="0" borderId="9" xfId="1" applyNumberFormat="1" applyFont="1" applyFill="1" applyBorder="1" applyAlignment="1">
      <alignment horizontal="center" vertical="center" wrapText="1"/>
    </xf>
    <xf numFmtId="0" fontId="22" fillId="2" borderId="14" xfId="0" applyFont="1" applyFill="1" applyBorder="1"/>
    <xf numFmtId="0" fontId="22" fillId="2" borderId="1" xfId="0" applyFont="1" applyFill="1" applyBorder="1"/>
    <xf numFmtId="0" fontId="22" fillId="2" borderId="9" xfId="0" applyFont="1" applyFill="1" applyBorder="1"/>
    <xf numFmtId="0" fontId="24" fillId="0" borderId="14" xfId="1" applyNumberFormat="1" applyFont="1" applyFill="1" applyBorder="1" applyAlignment="1">
      <alignment horizontal="left" vertical="center"/>
    </xf>
    <xf numFmtId="43" fontId="24" fillId="0" borderId="14" xfId="1" applyFont="1" applyFill="1" applyBorder="1" applyAlignment="1">
      <alignment horizontal="right" vertical="center"/>
    </xf>
    <xf numFmtId="14" fontId="24" fillId="0" borderId="9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4" fillId="0" borderId="9" xfId="1" applyFont="1" applyFill="1" applyBorder="1" applyAlignment="1">
      <alignment horizontal="right" vertical="center"/>
    </xf>
    <xf numFmtId="164" fontId="37" fillId="8" borderId="1" xfId="1" applyNumberFormat="1" applyFont="1" applyFill="1" applyBorder="1" applyAlignment="1">
      <alignment horizontal="center" vertical="center"/>
    </xf>
    <xf numFmtId="43" fontId="22" fillId="0" borderId="0" xfId="0" applyNumberFormat="1" applyFont="1" applyAlignment="1">
      <alignment horizontal="center"/>
    </xf>
    <xf numFmtId="164" fontId="37" fillId="8" borderId="9" xfId="1" applyNumberFormat="1" applyFont="1" applyFill="1" applyBorder="1" applyAlignment="1">
      <alignment horizontal="center" vertical="center"/>
    </xf>
    <xf numFmtId="164" fontId="24" fillId="8" borderId="1" xfId="1" applyNumberFormat="1" applyFont="1" applyFill="1" applyBorder="1" applyAlignment="1">
      <alignment horizontal="center" vertical="center"/>
    </xf>
    <xf numFmtId="164" fontId="24" fillId="8" borderId="9" xfId="1" applyNumberFormat="1" applyFont="1" applyFill="1" applyBorder="1" applyAlignment="1">
      <alignment horizontal="center" vertical="center"/>
    </xf>
    <xf numFmtId="0" fontId="22" fillId="8" borderId="1" xfId="0" applyFont="1" applyFill="1" applyBorder="1"/>
    <xf numFmtId="0" fontId="22" fillId="8" borderId="9" xfId="0" applyFont="1" applyFill="1" applyBorder="1"/>
    <xf numFmtId="164" fontId="22" fillId="8" borderId="1" xfId="1" applyNumberFormat="1" applyFont="1" applyFill="1" applyBorder="1"/>
    <xf numFmtId="49" fontId="22" fillId="0" borderId="14" xfId="0" applyNumberFormat="1" applyFont="1" applyFill="1" applyBorder="1"/>
    <xf numFmtId="164" fontId="22" fillId="8" borderId="9" xfId="1" applyNumberFormat="1" applyFont="1" applyFill="1" applyBorder="1"/>
    <xf numFmtId="164" fontId="24" fillId="0" borderId="14" xfId="1" applyNumberFormat="1" applyFont="1" applyFill="1" applyBorder="1" applyAlignment="1">
      <alignment horizontal="center" vertical="center" wrapText="1"/>
    </xf>
    <xf numFmtId="43" fontId="19" fillId="0" borderId="22" xfId="1" applyFont="1" applyFill="1" applyBorder="1" applyAlignment="1">
      <alignment horizontal="right" vertical="center"/>
    </xf>
    <xf numFmtId="43" fontId="19" fillId="0" borderId="26" xfId="1" applyFont="1" applyFill="1" applyBorder="1" applyAlignment="1">
      <alignment horizontal="right" vertical="center"/>
    </xf>
    <xf numFmtId="164" fontId="24" fillId="2" borderId="2" xfId="1" applyNumberFormat="1" applyFont="1" applyFill="1" applyBorder="1" applyAlignment="1">
      <alignment horizontal="center" vertical="center"/>
    </xf>
    <xf numFmtId="164" fontId="43" fillId="0" borderId="9" xfId="1" applyNumberFormat="1" applyFont="1" applyFill="1" applyBorder="1" applyAlignment="1">
      <alignment horizontal="center" vertical="center" wrapText="1"/>
    </xf>
    <xf numFmtId="164" fontId="43" fillId="0" borderId="9" xfId="1" applyNumberFormat="1" applyFont="1" applyFill="1" applyBorder="1"/>
    <xf numFmtId="164" fontId="22" fillId="0" borderId="9" xfId="1" applyNumberFormat="1" applyFont="1" applyBorder="1"/>
    <xf numFmtId="164" fontId="24" fillId="8" borderId="2" xfId="1" applyNumberFormat="1" applyFont="1" applyFill="1" applyBorder="1" applyAlignment="1">
      <alignment horizontal="center" vertical="center"/>
    </xf>
    <xf numFmtId="43" fontId="22" fillId="0" borderId="0" xfId="0" applyNumberFormat="1" applyFont="1"/>
    <xf numFmtId="0" fontId="43" fillId="0" borderId="14" xfId="0" applyFont="1" applyFill="1" applyBorder="1" applyAlignment="1">
      <alignment horizontal="center" wrapText="1"/>
    </xf>
    <xf numFmtId="0" fontId="22" fillId="0" borderId="14" xfId="0" applyFont="1" applyFill="1" applyBorder="1" applyAlignment="1">
      <alignment horizontal="center" wrapText="1"/>
    </xf>
    <xf numFmtId="0" fontId="43" fillId="0" borderId="9" xfId="0" applyFont="1" applyFill="1" applyBorder="1" applyAlignment="1">
      <alignment horizontal="center" wrapText="1"/>
    </xf>
    <xf numFmtId="0" fontId="22" fillId="0" borderId="9" xfId="0" applyFont="1" applyFill="1" applyBorder="1" applyAlignment="1">
      <alignment horizontal="center" wrapText="1"/>
    </xf>
    <xf numFmtId="0" fontId="13" fillId="0" borderId="9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43" fontId="19" fillId="0" borderId="9" xfId="0" applyNumberFormat="1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wrapText="1"/>
    </xf>
    <xf numFmtId="164" fontId="22" fillId="8" borderId="1" xfId="1" applyNumberFormat="1" applyFont="1" applyFill="1" applyBorder="1" applyAlignment="1">
      <alignment wrapText="1"/>
    </xf>
    <xf numFmtId="164" fontId="22" fillId="2" borderId="14" xfId="1" applyNumberFormat="1" applyFont="1" applyFill="1" applyBorder="1" applyAlignment="1">
      <alignment wrapText="1"/>
    </xf>
    <xf numFmtId="14" fontId="22" fillId="0" borderId="14" xfId="1" applyNumberFormat="1" applyFont="1" applyFill="1" applyBorder="1" applyAlignment="1">
      <alignment wrapText="1"/>
    </xf>
    <xf numFmtId="14" fontId="22" fillId="0" borderId="9" xfId="1" applyNumberFormat="1" applyFont="1" applyFill="1" applyBorder="1" applyAlignment="1">
      <alignment wrapText="1"/>
    </xf>
    <xf numFmtId="0" fontId="22" fillId="0" borderId="9" xfId="1" applyNumberFormat="1" applyFont="1" applyFill="1" applyBorder="1" applyAlignment="1">
      <alignment horizontal="left" wrapText="1"/>
    </xf>
    <xf numFmtId="43" fontId="43" fillId="0" borderId="9" xfId="1" applyFont="1" applyFill="1" applyBorder="1"/>
    <xf numFmtId="164" fontId="22" fillId="2" borderId="9" xfId="1" applyNumberFormat="1" applyFont="1" applyFill="1" applyBorder="1" applyAlignment="1">
      <alignment wrapText="1"/>
    </xf>
    <xf numFmtId="164" fontId="22" fillId="8" borderId="9" xfId="1" applyNumberFormat="1" applyFont="1" applyFill="1" applyBorder="1" applyAlignment="1">
      <alignment wrapText="1"/>
    </xf>
    <xf numFmtId="43" fontId="21" fillId="0" borderId="14" xfId="1" applyFont="1" applyFill="1" applyBorder="1" applyAlignment="1">
      <alignment horizontal="right"/>
    </xf>
    <xf numFmtId="43" fontId="21" fillId="12" borderId="14" xfId="1" applyFont="1" applyFill="1" applyBorder="1" applyAlignment="1">
      <alignment horizontal="right"/>
    </xf>
    <xf numFmtId="164" fontId="40" fillId="2" borderId="1" xfId="1" applyNumberFormat="1" applyFont="1" applyFill="1" applyBorder="1" applyAlignment="1">
      <alignment horizontal="center" vertical="center"/>
    </xf>
    <xf numFmtId="164" fontId="40" fillId="2" borderId="14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left"/>
    </xf>
    <xf numFmtId="164" fontId="36" fillId="4" borderId="14" xfId="1" applyNumberFormat="1" applyFont="1" applyFill="1" applyBorder="1"/>
    <xf numFmtId="164" fontId="41" fillId="4" borderId="14" xfId="1" applyNumberFormat="1" applyFont="1" applyFill="1" applyBorder="1" applyAlignment="1">
      <alignment horizontal="center" vertical="center"/>
    </xf>
    <xf numFmtId="0" fontId="43" fillId="0" borderId="14" xfId="0" applyFont="1" applyFill="1" applyBorder="1"/>
    <xf numFmtId="0" fontId="41" fillId="0" borderId="9" xfId="0" applyFont="1" applyFill="1" applyBorder="1" applyAlignment="1">
      <alignment horizontal="left"/>
    </xf>
    <xf numFmtId="164" fontId="41" fillId="0" borderId="9" xfId="1" applyNumberFormat="1" applyFont="1" applyFill="1" applyBorder="1"/>
    <xf numFmtId="164" fontId="41" fillId="4" borderId="9" xfId="1" applyNumberFormat="1" applyFont="1" applyFill="1" applyBorder="1" applyAlignment="1">
      <alignment horizontal="center" vertical="center"/>
    </xf>
    <xf numFmtId="43" fontId="36" fillId="0" borderId="9" xfId="1" applyFont="1" applyFill="1" applyBorder="1"/>
    <xf numFmtId="0" fontId="43" fillId="0" borderId="9" xfId="0" applyFont="1" applyFill="1" applyBorder="1"/>
    <xf numFmtId="164" fontId="40" fillId="2" borderId="9" xfId="1" applyNumberFormat="1" applyFont="1" applyFill="1" applyBorder="1" applyAlignment="1">
      <alignment horizontal="center" vertical="center"/>
    </xf>
    <xf numFmtId="164" fontId="36" fillId="4" borderId="9" xfId="1" applyNumberFormat="1" applyFont="1" applyFill="1" applyBorder="1"/>
    <xf numFmtId="164" fontId="40" fillId="8" borderId="9" xfId="1" applyNumberFormat="1" applyFont="1" applyFill="1" applyBorder="1" applyAlignment="1">
      <alignment horizontal="center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13" fillId="0" borderId="14" xfId="1" applyNumberFormat="1" applyFont="1" applyFill="1" applyBorder="1" applyAlignment="1">
      <alignment horizontal="center" wrapText="1"/>
    </xf>
    <xf numFmtId="164" fontId="18" fillId="0" borderId="9" xfId="1" applyNumberFormat="1" applyFont="1" applyFill="1" applyBorder="1" applyAlignment="1">
      <alignment horizontal="right" vertical="center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164" fontId="13" fillId="0" borderId="9" xfId="1" applyNumberFormat="1" applyFont="1" applyFill="1" applyBorder="1" applyAlignment="1">
      <alignment horizontal="center" wrapText="1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43" fontId="22" fillId="0" borderId="9" xfId="0" applyNumberFormat="1" applyFont="1" applyFill="1" applyBorder="1" applyAlignment="1">
      <alignment horizontal="center" wrapText="1"/>
    </xf>
    <xf numFmtId="43" fontId="22" fillId="9" borderId="1" xfId="1" applyFont="1" applyFill="1" applyBorder="1"/>
    <xf numFmtId="164" fontId="50" fillId="0" borderId="10" xfId="1" applyNumberFormat="1" applyFont="1" applyFill="1" applyBorder="1" applyAlignment="1">
      <alignment horizontal="center" vertical="center" wrapText="1"/>
    </xf>
    <xf numFmtId="164" fontId="50" fillId="13" borderId="10" xfId="1" applyNumberFormat="1" applyFont="1" applyFill="1" applyBorder="1" applyAlignment="1">
      <alignment horizontal="center" vertical="center" wrapText="1"/>
    </xf>
    <xf numFmtId="43" fontId="22" fillId="9" borderId="9" xfId="1" applyFont="1" applyFill="1" applyBorder="1"/>
    <xf numFmtId="164" fontId="22" fillId="0" borderId="14" xfId="1" applyNumberFormat="1" applyFont="1" applyFill="1" applyBorder="1" applyAlignment="1">
      <alignment horizontal="center"/>
    </xf>
    <xf numFmtId="164" fontId="22" fillId="0" borderId="9" xfId="1" applyNumberFormat="1" applyFont="1" applyFill="1" applyBorder="1" applyAlignment="1">
      <alignment horizontal="center"/>
    </xf>
    <xf numFmtId="43" fontId="22" fillId="0" borderId="10" xfId="1" applyFont="1" applyFill="1" applyBorder="1"/>
    <xf numFmtId="0" fontId="19" fillId="0" borderId="1" xfId="0" applyFont="1" applyFill="1" applyBorder="1"/>
    <xf numFmtId="14" fontId="19" fillId="0" borderId="1" xfId="1" applyNumberFormat="1" applyFont="1" applyFill="1" applyBorder="1" applyAlignment="1">
      <alignment horizontal="center" vertical="center"/>
    </xf>
    <xf numFmtId="164" fontId="37" fillId="8" borderId="2" xfId="1" applyNumberFormat="1" applyFont="1" applyFill="1" applyBorder="1" applyAlignment="1">
      <alignment horizontal="center" vertical="center"/>
    </xf>
    <xf numFmtId="43" fontId="22" fillId="4" borderId="1" xfId="1" applyFont="1" applyFill="1" applyBorder="1"/>
    <xf numFmtId="14" fontId="43" fillId="0" borderId="1" xfId="0" applyNumberFormat="1" applyFont="1" applyFill="1" applyBorder="1" applyAlignment="1">
      <alignment horizontal="center"/>
    </xf>
    <xf numFmtId="164" fontId="19" fillId="0" borderId="14" xfId="1" applyNumberFormat="1" applyFont="1" applyFill="1" applyBorder="1" applyAlignment="1">
      <alignment horizontal="center" vertical="center"/>
    </xf>
    <xf numFmtId="164" fontId="19" fillId="0" borderId="1" xfId="1" applyNumberFormat="1" applyFont="1" applyFill="1" applyBorder="1" applyAlignment="1">
      <alignment horizontal="center" vertical="center"/>
    </xf>
    <xf numFmtId="43" fontId="22" fillId="0" borderId="14" xfId="1" applyFont="1" applyBorder="1"/>
    <xf numFmtId="43" fontId="22" fillId="0" borderId="15" xfId="1" applyFont="1" applyFill="1" applyBorder="1"/>
    <xf numFmtId="43" fontId="22" fillId="0" borderId="14" xfId="0" applyNumberFormat="1" applyFont="1" applyBorder="1"/>
    <xf numFmtId="0" fontId="43" fillId="0" borderId="6" xfId="0" applyFont="1" applyFill="1" applyBorder="1" applyAlignment="1">
      <alignment horizontal="center"/>
    </xf>
    <xf numFmtId="164" fontId="24" fillId="2" borderId="18" xfId="1" applyNumberFormat="1" applyFont="1" applyFill="1" applyBorder="1" applyAlignment="1">
      <alignment horizontal="center" vertical="center"/>
    </xf>
    <xf numFmtId="43" fontId="19" fillId="3" borderId="14" xfId="1" applyFont="1" applyFill="1" applyBorder="1"/>
    <xf numFmtId="164" fontId="22" fillId="5" borderId="14" xfId="1" applyNumberFormat="1" applyFont="1" applyFill="1" applyBorder="1"/>
    <xf numFmtId="43" fontId="19" fillId="5" borderId="14" xfId="1" applyFont="1" applyFill="1" applyBorder="1" applyAlignment="1">
      <alignment horizontal="right" vertical="center"/>
    </xf>
    <xf numFmtId="14" fontId="19" fillId="0" borderId="14" xfId="0" applyNumberFormat="1" applyFont="1" applyFill="1" applyBorder="1"/>
    <xf numFmtId="43" fontId="22" fillId="4" borderId="0" xfId="1" applyFont="1" applyFill="1"/>
    <xf numFmtId="43" fontId="22" fillId="2" borderId="14" xfId="1" applyFont="1" applyFill="1" applyBorder="1"/>
    <xf numFmtId="43" fontId="22" fillId="2" borderId="1" xfId="1" applyFont="1" applyFill="1" applyBorder="1"/>
    <xf numFmtId="0" fontId="51" fillId="0" borderId="0" xfId="0" applyFont="1" applyAlignment="1">
      <alignment horizontal="left"/>
    </xf>
    <xf numFmtId="14" fontId="21" fillId="0" borderId="24" xfId="1" applyNumberFormat="1" applyFont="1" applyFill="1" applyBorder="1" applyAlignment="1">
      <alignment horizontal="right"/>
    </xf>
    <xf numFmtId="0" fontId="22" fillId="0" borderId="1" xfId="1" applyNumberFormat="1" applyFont="1" applyFill="1" applyBorder="1" applyAlignment="1">
      <alignment horizontal="left" wrapText="1"/>
    </xf>
    <xf numFmtId="164" fontId="22" fillId="0" borderId="14" xfId="1" applyNumberFormat="1" applyFont="1" applyFill="1" applyBorder="1" applyAlignment="1">
      <alignment wrapText="1"/>
    </xf>
    <xf numFmtId="0" fontId="51" fillId="0" borderId="0" xfId="0" applyFont="1" applyAlignment="1">
      <alignment horizontal="center"/>
    </xf>
    <xf numFmtId="164" fontId="40" fillId="0" borderId="14" xfId="1" applyNumberFormat="1" applyFont="1" applyFill="1" applyBorder="1" applyAlignment="1">
      <alignment horizontal="center" vertical="center"/>
    </xf>
    <xf numFmtId="164" fontId="40" fillId="0" borderId="1" xfId="1" applyNumberFormat="1" applyFont="1" applyFill="1" applyBorder="1" applyAlignment="1">
      <alignment horizontal="center" vertical="center"/>
    </xf>
    <xf numFmtId="164" fontId="40" fillId="8" borderId="2" xfId="1" applyNumberFormat="1" applyFont="1" applyFill="1" applyBorder="1" applyAlignment="1">
      <alignment horizontal="center" vertical="center"/>
    </xf>
    <xf numFmtId="164" fontId="22" fillId="0" borderId="1" xfId="0" applyNumberFormat="1" applyFont="1" applyFill="1" applyBorder="1" applyAlignment="1">
      <alignment horizontal="center" wrapText="1"/>
    </xf>
    <xf numFmtId="43" fontId="22" fillId="0" borderId="1" xfId="0" applyNumberFormat="1" applyFont="1" applyFill="1" applyBorder="1" applyAlignment="1">
      <alignment horizontal="center" wrapText="1"/>
    </xf>
    <xf numFmtId="164" fontId="22" fillId="0" borderId="0" xfId="0" applyNumberFormat="1" applyFont="1"/>
    <xf numFmtId="14" fontId="19" fillId="0" borderId="9" xfId="0" applyNumberFormat="1" applyFont="1" applyFill="1" applyBorder="1"/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43" fontId="43" fillId="7" borderId="0" xfId="1" applyFont="1" applyFill="1" applyAlignment="1">
      <alignment horizont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164" fontId="22" fillId="2" borderId="22" xfId="1" applyNumberFormat="1" applyFont="1" applyFill="1" applyBorder="1" applyAlignment="1">
      <alignment horizontal="right"/>
    </xf>
    <xf numFmtId="164" fontId="22" fillId="2" borderId="23" xfId="1" applyNumberFormat="1" applyFont="1" applyFill="1" applyBorder="1" applyAlignment="1">
      <alignment horizontal="right"/>
    </xf>
    <xf numFmtId="164" fontId="22" fillId="2" borderId="24" xfId="1" applyNumberFormat="1" applyFont="1" applyFill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22" xfId="0" applyFont="1" applyFill="1" applyBorder="1" applyAlignment="1">
      <alignment horizontal="right"/>
    </xf>
    <xf numFmtId="0" fontId="29" fillId="2" borderId="23" xfId="0" applyFont="1" applyFill="1" applyBorder="1" applyAlignment="1">
      <alignment horizontal="right"/>
    </xf>
    <xf numFmtId="0" fontId="29" fillId="2" borderId="24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14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43" fontId="21" fillId="2" borderId="22" xfId="1" applyFont="1" applyFill="1" applyBorder="1" applyAlignment="1">
      <alignment horizontal="right"/>
    </xf>
    <xf numFmtId="43" fontId="21" fillId="2" borderId="23" xfId="1" applyFont="1" applyFill="1" applyBorder="1" applyAlignment="1">
      <alignment horizontal="right"/>
    </xf>
    <xf numFmtId="43" fontId="21" fillId="2" borderId="24" xfId="1" applyFont="1" applyFill="1" applyBorder="1" applyAlignment="1">
      <alignment horizontal="right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2" borderId="14" xfId="0" applyFont="1" applyFill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164" fontId="21" fillId="0" borderId="4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4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8" fillId="7" borderId="0" xfId="1" applyFont="1" applyFill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164" fontId="50" fillId="13" borderId="3" xfId="1" applyNumberFormat="1" applyFont="1" applyFill="1" applyBorder="1" applyAlignment="1">
      <alignment horizontal="center" vertical="center" wrapText="1"/>
    </xf>
    <xf numFmtId="164" fontId="50" fillId="13" borderId="12" xfId="1" applyNumberFormat="1" applyFont="1" applyFill="1" applyBorder="1" applyAlignment="1">
      <alignment horizontal="center" vertical="center" wrapText="1"/>
    </xf>
    <xf numFmtId="164" fontId="50" fillId="13" borderId="13" xfId="1" applyNumberFormat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46"/>
  <sheetViews>
    <sheetView tabSelected="1"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9.28515625" style="8" customWidth="1"/>
    <col min="2" max="2" width="9" style="130" customWidth="1"/>
    <col min="3" max="3" width="60.140625" style="3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11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42578125" style="2" customWidth="1"/>
    <col min="17" max="17" width="11.140625" style="3" bestFit="1" customWidth="1"/>
    <col min="18" max="18" width="7.28515625" style="3" customWidth="1"/>
    <col min="19" max="19" width="10" style="3" customWidth="1"/>
    <col min="20" max="20" width="5.7109375" style="3" customWidth="1"/>
    <col min="21" max="21" width="8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86" t="s">
        <v>1</v>
      </c>
      <c r="B1" s="588" t="s">
        <v>2</v>
      </c>
      <c r="C1" s="590" t="s">
        <v>0</v>
      </c>
      <c r="D1" s="592" t="s">
        <v>62</v>
      </c>
      <c r="E1" s="596" t="s">
        <v>83</v>
      </c>
      <c r="F1" s="597"/>
      <c r="G1" s="597"/>
      <c r="H1" s="597"/>
      <c r="I1" s="597"/>
      <c r="J1" s="597"/>
      <c r="K1" s="597"/>
      <c r="L1" s="601" t="s">
        <v>363</v>
      </c>
      <c r="M1" s="601"/>
      <c r="N1" s="599" t="s">
        <v>63</v>
      </c>
      <c r="O1" s="600"/>
      <c r="P1" s="602" t="s">
        <v>29</v>
      </c>
      <c r="Q1" s="603"/>
      <c r="R1" s="603"/>
      <c r="S1" s="603"/>
      <c r="T1" s="603"/>
      <c r="U1" s="603"/>
      <c r="V1" s="603"/>
      <c r="W1" s="603"/>
      <c r="X1" s="603"/>
      <c r="Y1" s="604"/>
    </row>
    <row r="2" spans="1:25" ht="12" thickBot="1">
      <c r="A2" s="587"/>
      <c r="B2" s="589"/>
      <c r="C2" s="591"/>
      <c r="D2" s="593"/>
      <c r="E2" s="86" t="s">
        <v>92</v>
      </c>
      <c r="F2" s="86" t="s">
        <v>3</v>
      </c>
      <c r="G2" s="86" t="s">
        <v>143</v>
      </c>
      <c r="H2" s="86" t="s">
        <v>93</v>
      </c>
      <c r="I2" s="86" t="s">
        <v>94</v>
      </c>
      <c r="J2" s="86" t="s">
        <v>95</v>
      </c>
      <c r="K2" s="96" t="s">
        <v>141</v>
      </c>
      <c r="L2" s="64" t="s">
        <v>23</v>
      </c>
      <c r="M2" s="148" t="s">
        <v>69</v>
      </c>
      <c r="N2" s="140" t="s">
        <v>23</v>
      </c>
      <c r="O2" s="95" t="s">
        <v>142</v>
      </c>
      <c r="P2" s="364">
        <v>1</v>
      </c>
      <c r="Q2" s="149" t="s">
        <v>221</v>
      </c>
      <c r="R2" s="149" t="s">
        <v>222</v>
      </c>
      <c r="S2" s="149" t="s">
        <v>223</v>
      </c>
      <c r="T2" s="149" t="s">
        <v>224</v>
      </c>
      <c r="U2" s="149" t="s">
        <v>370</v>
      </c>
      <c r="V2" s="149" t="s">
        <v>371</v>
      </c>
      <c r="W2" s="149"/>
      <c r="X2" s="149"/>
      <c r="Y2" s="150"/>
    </row>
    <row r="3" spans="1:25" s="5" customFormat="1">
      <c r="A3" s="397" t="s">
        <v>568</v>
      </c>
      <c r="B3" s="356">
        <v>38525</v>
      </c>
      <c r="C3" s="376" t="s">
        <v>585</v>
      </c>
      <c r="D3" s="323">
        <v>1874.74</v>
      </c>
      <c r="E3" s="314">
        <f>'2-δικαιώμ'!L3</f>
        <v>29.802348000000002</v>
      </c>
      <c r="F3" s="315">
        <f>'3-φύλλα2α'!F3</f>
        <v>16</v>
      </c>
      <c r="G3" s="315">
        <f>'4-πολλυπρ'!P3</f>
        <v>0</v>
      </c>
      <c r="H3" s="313">
        <f>'5-αντίγρ'!M3</f>
        <v>35.6</v>
      </c>
      <c r="I3" s="313">
        <f>'6-μεταγρ'!J3</f>
        <v>12</v>
      </c>
      <c r="J3" s="313">
        <f>'7-προςΔΟΥ'!F3</f>
        <v>10</v>
      </c>
      <c r="K3" s="313">
        <f>6*18.4</f>
        <v>110.39999999999999</v>
      </c>
      <c r="L3" s="314">
        <f t="shared" ref="L3" si="0">E3+F3+G3+H3+I3+J3+K3</f>
        <v>213.80234799999999</v>
      </c>
      <c r="M3" s="314">
        <v>96.03</v>
      </c>
      <c r="N3" s="316">
        <f>M3-P3-'8-κ-15-17'!AF3-'14-βιβλΕσ'!M3-3</f>
        <v>70.28</v>
      </c>
      <c r="O3" s="316">
        <f t="shared" ref="O3" si="1">L3-N3</f>
        <v>143.52234799999999</v>
      </c>
      <c r="P3" s="365">
        <f>'1β-ΤΑΧΔΙΚκλπ'!D2</f>
        <v>0</v>
      </c>
      <c r="Q3" s="317"/>
      <c r="R3" s="317"/>
      <c r="S3" s="317"/>
      <c r="T3" s="317"/>
      <c r="U3" s="317"/>
      <c r="V3" s="317"/>
      <c r="W3" s="317"/>
      <c r="X3" s="73"/>
      <c r="Y3" s="73"/>
    </row>
    <row r="4" spans="1:25" s="5" customFormat="1" ht="12" thickBot="1">
      <c r="A4" s="398"/>
      <c r="B4" s="387"/>
      <c r="C4" s="441" t="s">
        <v>551</v>
      </c>
      <c r="D4" s="444">
        <v>1111</v>
      </c>
      <c r="E4" s="442">
        <f>'2-δικαιώμ'!L4</f>
        <v>22.0122</v>
      </c>
      <c r="F4" s="442">
        <f>'3-φύλλα2α'!F4</f>
        <v>16</v>
      </c>
      <c r="G4" s="442">
        <f>'4-πολλυπρ'!P4</f>
        <v>0</v>
      </c>
      <c r="H4" s="388">
        <f>'5-αντίγρ'!M4</f>
        <v>0</v>
      </c>
      <c r="I4" s="388">
        <f>'6-μεταγρ'!J4</f>
        <v>0</v>
      </c>
      <c r="J4" s="388">
        <f>'7-προςΔΟΥ'!F4</f>
        <v>10</v>
      </c>
      <c r="K4" s="388">
        <f>6*18.4</f>
        <v>110.39999999999999</v>
      </c>
      <c r="L4" s="442">
        <f t="shared" ref="L4:L13" si="2">E4+F4+G4+H4+I4+J4+K4</f>
        <v>158.41219999999998</v>
      </c>
      <c r="M4" s="442"/>
      <c r="N4" s="391"/>
      <c r="O4" s="391">
        <f t="shared" ref="O4:O13" si="3">L4-N4</f>
        <v>158.41219999999998</v>
      </c>
      <c r="P4" s="516">
        <f>'1β-ΤΑΧΔΙΚκλπ'!D3</f>
        <v>0</v>
      </c>
      <c r="Q4" s="531"/>
      <c r="R4" s="531"/>
      <c r="S4" s="317"/>
      <c r="T4" s="317"/>
      <c r="U4" s="317"/>
      <c r="V4" s="317"/>
      <c r="W4" s="317"/>
      <c r="X4" s="73"/>
      <c r="Y4" s="73"/>
    </row>
    <row r="5" spans="1:25" s="5" customFormat="1">
      <c r="A5" s="566" t="s">
        <v>569</v>
      </c>
      <c r="B5" s="356">
        <v>39548</v>
      </c>
      <c r="C5" s="376" t="s">
        <v>552</v>
      </c>
      <c r="D5" s="323"/>
      <c r="E5" s="315">
        <f>'2-δικαιώμ'!L5</f>
        <v>32.663000000000004</v>
      </c>
      <c r="F5" s="315">
        <f>'3-φύλλα2α'!F5</f>
        <v>12</v>
      </c>
      <c r="G5" s="315">
        <f>'4-πολλυπρ'!P5</f>
        <v>97.4</v>
      </c>
      <c r="H5" s="323">
        <f>'5-αντίγρ'!M5</f>
        <v>42.72</v>
      </c>
      <c r="I5" s="323">
        <f>'6-μεταγρ'!J5</f>
        <v>28</v>
      </c>
      <c r="J5" s="323">
        <f>'7-προςΔΟΥ'!F5</f>
        <v>30</v>
      </c>
      <c r="K5" s="323">
        <f>2*18.4</f>
        <v>36.799999999999997</v>
      </c>
      <c r="L5" s="315">
        <f t="shared" si="2"/>
        <v>279.58300000000003</v>
      </c>
      <c r="M5" s="315">
        <v>96.7</v>
      </c>
      <c r="N5" s="316">
        <f>M5-P5-'8-κ-15-17'!AF5-'14-βιβλΕσ'!M5</f>
        <v>86.88</v>
      </c>
      <c r="O5" s="316">
        <f t="shared" si="3"/>
        <v>192.70300000000003</v>
      </c>
      <c r="P5" s="342">
        <f>'1β-ΤΑΧΔΙΚκλπ'!D4</f>
        <v>0.5</v>
      </c>
      <c r="Q5" s="526"/>
      <c r="R5" s="526"/>
      <c r="S5" s="317"/>
      <c r="T5" s="317"/>
      <c r="U5" s="317"/>
      <c r="V5" s="317"/>
      <c r="W5" s="317"/>
      <c r="X5" s="73"/>
      <c r="Y5" s="73"/>
    </row>
    <row r="6" spans="1:25" s="5" customFormat="1">
      <c r="A6" s="566"/>
      <c r="B6" s="356"/>
      <c r="C6" s="376" t="s">
        <v>560</v>
      </c>
      <c r="D6" s="323">
        <v>28896.59</v>
      </c>
      <c r="E6" s="314">
        <f>'2-δικαιώμ'!L6</f>
        <v>305.42521799999997</v>
      </c>
      <c r="F6" s="315">
        <f>'3-φύλλα2α'!F6</f>
        <v>12</v>
      </c>
      <c r="G6" s="315">
        <f>'4-πολλυπρ'!P6</f>
        <v>0</v>
      </c>
      <c r="H6" s="313">
        <f>'5-αντίγρ'!M6</f>
        <v>0</v>
      </c>
      <c r="I6" s="313">
        <f>'6-μεταγρ'!J6</f>
        <v>12</v>
      </c>
      <c r="J6" s="313">
        <f>'7-προςΔΟΥ'!F6</f>
        <v>10</v>
      </c>
      <c r="K6" s="313">
        <f>5*18.4</f>
        <v>92</v>
      </c>
      <c r="L6" s="314">
        <f t="shared" si="2"/>
        <v>431.42521799999997</v>
      </c>
      <c r="M6" s="314"/>
      <c r="N6" s="316"/>
      <c r="O6" s="316">
        <f t="shared" si="3"/>
        <v>431.42521799999997</v>
      </c>
      <c r="P6" s="365">
        <f>'1β-ΤΑΧΔΙΚκλπ'!D5</f>
        <v>0</v>
      </c>
      <c r="Q6" s="317"/>
      <c r="R6" s="317"/>
      <c r="S6" s="317"/>
      <c r="T6" s="317"/>
      <c r="U6" s="317"/>
      <c r="V6" s="317"/>
      <c r="W6" s="317"/>
      <c r="X6" s="73"/>
      <c r="Y6" s="73"/>
    </row>
    <row r="7" spans="1:25" s="5" customFormat="1">
      <c r="A7" s="566"/>
      <c r="B7" s="356"/>
      <c r="C7" s="376" t="s">
        <v>558</v>
      </c>
      <c r="D7" s="567">
        <v>666.66</v>
      </c>
      <c r="E7" s="314">
        <f>'2-δικαιώμ'!L7</f>
        <v>17.479931999999998</v>
      </c>
      <c r="F7" s="315">
        <f>'3-φύλλα2α'!F7</f>
        <v>12</v>
      </c>
      <c r="G7" s="315">
        <f>'4-πολλυπρ'!P7</f>
        <v>24</v>
      </c>
      <c r="H7" s="313">
        <f>'5-αντίγρ'!M7</f>
        <v>0</v>
      </c>
      <c r="I7" s="313">
        <f>'6-μεταγρ'!J7</f>
        <v>0</v>
      </c>
      <c r="J7" s="313">
        <f>'7-προςΔΟΥ'!F7</f>
        <v>20</v>
      </c>
      <c r="K7" s="313">
        <f>5*18.4</f>
        <v>92</v>
      </c>
      <c r="L7" s="314">
        <f t="shared" si="2"/>
        <v>165.47993199999999</v>
      </c>
      <c r="M7" s="314"/>
      <c r="N7" s="316"/>
      <c r="O7" s="316">
        <f t="shared" si="3"/>
        <v>165.47993199999999</v>
      </c>
      <c r="P7" s="365">
        <f>'1β-ΤΑΧΔΙΚκλπ'!D6</f>
        <v>0</v>
      </c>
      <c r="Q7" s="317"/>
      <c r="R7" s="317"/>
      <c r="S7" s="317"/>
      <c r="T7" s="317"/>
      <c r="U7" s="317"/>
      <c r="V7" s="317"/>
      <c r="W7" s="317"/>
      <c r="X7" s="73"/>
      <c r="Y7" s="73"/>
    </row>
    <row r="8" spans="1:25" s="5" customFormat="1">
      <c r="A8" s="566"/>
      <c r="B8" s="356"/>
      <c r="C8" s="376" t="s">
        <v>553</v>
      </c>
      <c r="D8" s="567">
        <v>333.33</v>
      </c>
      <c r="E8" s="314">
        <f>'2-δικαιώμ'!L8</f>
        <v>14.079965999999999</v>
      </c>
      <c r="F8" s="315">
        <f>'3-φύλλα2α'!F8</f>
        <v>12</v>
      </c>
      <c r="G8" s="315">
        <f>'4-πολλυπρ'!P8</f>
        <v>0</v>
      </c>
      <c r="H8" s="313">
        <f>'5-αντίγρ'!M8</f>
        <v>0</v>
      </c>
      <c r="I8" s="313">
        <f>'6-μεταγρ'!J8</f>
        <v>8</v>
      </c>
      <c r="J8" s="313">
        <f>'7-προςΔΟΥ'!F8</f>
        <v>10</v>
      </c>
      <c r="K8" s="313">
        <f>5*18.4</f>
        <v>92</v>
      </c>
      <c r="L8" s="314">
        <f t="shared" si="2"/>
        <v>136.07996600000001</v>
      </c>
      <c r="M8" s="314"/>
      <c r="N8" s="316"/>
      <c r="O8" s="316">
        <f t="shared" si="3"/>
        <v>136.07996600000001</v>
      </c>
      <c r="P8" s="365">
        <f>'1β-ΤΑΧΔΙΚκλπ'!D7</f>
        <v>0</v>
      </c>
      <c r="Q8" s="317"/>
      <c r="R8" s="317"/>
      <c r="S8" s="317"/>
      <c r="T8" s="317"/>
      <c r="U8" s="317"/>
      <c r="V8" s="317"/>
      <c r="W8" s="317"/>
      <c r="X8" s="73"/>
      <c r="Y8" s="73"/>
    </row>
    <row r="9" spans="1:25" s="5" customFormat="1" ht="12" thickBot="1">
      <c r="A9" s="443"/>
      <c r="B9" s="387"/>
      <c r="C9" s="441" t="s">
        <v>559</v>
      </c>
      <c r="D9" s="444">
        <v>2222.2199999999998</v>
      </c>
      <c r="E9" s="442">
        <f>'2-δικαιώμ'!L9</f>
        <v>33.346643999999998</v>
      </c>
      <c r="F9" s="442">
        <f>'3-φύλλα2α'!F9</f>
        <v>12</v>
      </c>
      <c r="G9" s="442">
        <f>'4-πολλυπρ'!P9</f>
        <v>0</v>
      </c>
      <c r="H9" s="388">
        <f>'5-αντίγρ'!M9</f>
        <v>0</v>
      </c>
      <c r="I9" s="388">
        <f>'6-μεταγρ'!J9</f>
        <v>12</v>
      </c>
      <c r="J9" s="388">
        <f>'7-προςΔΟΥ'!F9</f>
        <v>10</v>
      </c>
      <c r="K9" s="388">
        <f>3*18.4</f>
        <v>55.199999999999996</v>
      </c>
      <c r="L9" s="442">
        <f t="shared" si="2"/>
        <v>122.54664399999999</v>
      </c>
      <c r="M9" s="442"/>
      <c r="N9" s="391"/>
      <c r="O9" s="391">
        <f t="shared" si="3"/>
        <v>122.54664399999999</v>
      </c>
      <c r="P9" s="516">
        <f>'1β-ΤΑΧΔΙΚκλπ'!D8</f>
        <v>0</v>
      </c>
      <c r="Q9" s="531"/>
      <c r="R9" s="531"/>
      <c r="S9" s="531"/>
      <c r="T9" s="317"/>
      <c r="U9" s="317"/>
      <c r="V9" s="317"/>
      <c r="W9" s="317"/>
      <c r="X9" s="73"/>
      <c r="Y9" s="73"/>
    </row>
    <row r="10" spans="1:25" s="5" customFormat="1">
      <c r="A10" s="427" t="s">
        <v>570</v>
      </c>
      <c r="B10" s="356">
        <v>40009</v>
      </c>
      <c r="C10" s="376" t="s">
        <v>532</v>
      </c>
      <c r="D10" s="323">
        <v>1292.5</v>
      </c>
      <c r="E10" s="315">
        <f>'2-δικαιώμ'!L10</f>
        <v>23.863499999999998</v>
      </c>
      <c r="F10" s="315">
        <f>'3-φύλλα2α'!F10</f>
        <v>16</v>
      </c>
      <c r="G10" s="315">
        <f>'4-πολλυπρ'!P10</f>
        <v>0</v>
      </c>
      <c r="H10" s="323">
        <f>'5-αντίγρ'!M10</f>
        <v>35.6</v>
      </c>
      <c r="I10" s="323">
        <f>'6-μεταγρ'!J10</f>
        <v>12</v>
      </c>
      <c r="J10" s="323">
        <f>'7-προςΔΟΥ'!F10</f>
        <v>10</v>
      </c>
      <c r="K10" s="323">
        <f>2*18.4</f>
        <v>36.799999999999997</v>
      </c>
      <c r="L10" s="315">
        <f t="shared" si="2"/>
        <v>134.26350000000002</v>
      </c>
      <c r="M10" s="315">
        <v>92.53</v>
      </c>
      <c r="N10" s="316">
        <f>M10-P10-'8-κ-15-17'!AF10-'14-βιβλΕσ'!M10-3</f>
        <v>69.23</v>
      </c>
      <c r="O10" s="316">
        <f t="shared" si="3"/>
        <v>65.033500000000018</v>
      </c>
      <c r="P10" s="342">
        <f>'1β-ΤΑΧΔΙΚκλπ'!D9</f>
        <v>3</v>
      </c>
      <c r="Q10" s="526"/>
      <c r="R10" s="526"/>
      <c r="S10" s="526"/>
      <c r="T10" s="317"/>
      <c r="U10" s="317"/>
      <c r="V10" s="317"/>
      <c r="W10" s="317"/>
      <c r="X10" s="73"/>
      <c r="Y10" s="73"/>
    </row>
    <row r="11" spans="1:25" s="5" customFormat="1">
      <c r="A11" s="427" t="s">
        <v>571</v>
      </c>
      <c r="B11" s="356">
        <v>40009</v>
      </c>
      <c r="C11" s="376" t="s">
        <v>533</v>
      </c>
      <c r="D11" s="323">
        <v>1938.73</v>
      </c>
      <c r="E11" s="314">
        <f>'2-δικαιώμ'!L11</f>
        <v>30.455045999999996</v>
      </c>
      <c r="F11" s="315">
        <f>'3-φύλλα2α'!F11</f>
        <v>16</v>
      </c>
      <c r="G11" s="315">
        <f>'4-πολλυπρ'!P11</f>
        <v>0</v>
      </c>
      <c r="H11" s="313">
        <f>'5-αντίγρ'!M11</f>
        <v>35.6</v>
      </c>
      <c r="I11" s="313">
        <f>'6-μεταγρ'!J11</f>
        <v>12</v>
      </c>
      <c r="J11" s="313">
        <f>'7-προςΔΟΥ'!F11</f>
        <v>10</v>
      </c>
      <c r="K11" s="313">
        <f>5*18.4</f>
        <v>92</v>
      </c>
      <c r="L11" s="314">
        <f t="shared" si="2"/>
        <v>196.055046</v>
      </c>
      <c r="M11" s="314">
        <v>105.29</v>
      </c>
      <c r="N11" s="316">
        <f>M11-P11-'8-κ-15-17'!AF11-'14-βιβλΕσ'!M11-3</f>
        <v>75.050000000000011</v>
      </c>
      <c r="O11" s="316">
        <f t="shared" si="3"/>
        <v>121.00504599999999</v>
      </c>
      <c r="P11" s="365">
        <f>'1β-ΤΑΧΔΙΚκλπ'!D10</f>
        <v>3</v>
      </c>
      <c r="Q11" s="317"/>
      <c r="R11" s="317"/>
      <c r="S11" s="317"/>
      <c r="T11" s="317"/>
      <c r="U11" s="317"/>
      <c r="V11" s="317"/>
      <c r="W11" s="317"/>
      <c r="X11" s="73"/>
      <c r="Y11" s="73"/>
    </row>
    <row r="12" spans="1:25" s="5" customFormat="1">
      <c r="A12" s="427" t="s">
        <v>572</v>
      </c>
      <c r="B12" s="356">
        <v>40009</v>
      </c>
      <c r="C12" s="376" t="s">
        <v>532</v>
      </c>
      <c r="D12" s="323">
        <v>8416.32</v>
      </c>
      <c r="E12" s="314">
        <f>'2-δικαιώμ'!L12</f>
        <v>96.526464000000004</v>
      </c>
      <c r="F12" s="315">
        <f>'3-φύλλα2α'!F12</f>
        <v>20</v>
      </c>
      <c r="G12" s="315">
        <f>'4-πολλυπρ'!P12</f>
        <v>0</v>
      </c>
      <c r="H12" s="313">
        <f>'5-αντίγρ'!M12</f>
        <v>42.72</v>
      </c>
      <c r="I12" s="313">
        <f>'6-μεταγρ'!J12</f>
        <v>16</v>
      </c>
      <c r="J12" s="313">
        <f>'7-προςΔΟΥ'!F12</f>
        <v>10</v>
      </c>
      <c r="K12" s="313">
        <f>5*18.4</f>
        <v>92</v>
      </c>
      <c r="L12" s="314">
        <f t="shared" si="2"/>
        <v>277.246464</v>
      </c>
      <c r="M12" s="314">
        <v>245.23</v>
      </c>
      <c r="N12" s="316">
        <f>M12-P12-'8-κ-15-17'!AF12-'14-βιβλΕσ'!M12-3</f>
        <v>152.71</v>
      </c>
      <c r="O12" s="316">
        <f t="shared" si="3"/>
        <v>124.536464</v>
      </c>
      <c r="P12" s="365">
        <f>'1β-ΤΑΧΔΙΚκλπ'!D11</f>
        <v>3</v>
      </c>
      <c r="Q12" s="317"/>
      <c r="R12" s="317"/>
      <c r="S12" s="317"/>
      <c r="T12" s="317"/>
      <c r="U12" s="317"/>
      <c r="V12" s="317"/>
      <c r="W12" s="317"/>
      <c r="X12" s="73"/>
      <c r="Y12" s="73"/>
    </row>
    <row r="13" spans="1:25" s="5" customFormat="1">
      <c r="A13" s="428" t="s">
        <v>573</v>
      </c>
      <c r="B13" s="556">
        <v>40009</v>
      </c>
      <c r="C13" s="555" t="s">
        <v>533</v>
      </c>
      <c r="D13" s="313">
        <v>12624.63</v>
      </c>
      <c r="E13" s="314">
        <f>'2-δικαιώμ'!L13</f>
        <v>139.45122599999999</v>
      </c>
      <c r="F13" s="314">
        <f>'3-φύλλα2α'!F13</f>
        <v>20</v>
      </c>
      <c r="G13" s="314">
        <f>'4-πολλυπρ'!P13</f>
        <v>0</v>
      </c>
      <c r="H13" s="313">
        <f>'5-αντίγρ'!M13</f>
        <v>42.72</v>
      </c>
      <c r="I13" s="313">
        <f>'6-μεταγρ'!J13</f>
        <v>16</v>
      </c>
      <c r="J13" s="313">
        <f>'7-προςΔΟΥ'!F13</f>
        <v>10</v>
      </c>
      <c r="K13" s="313">
        <f>3*18.4</f>
        <v>55.199999999999996</v>
      </c>
      <c r="L13" s="314">
        <f t="shared" si="2"/>
        <v>283.37122599999998</v>
      </c>
      <c r="M13" s="314">
        <v>328.1</v>
      </c>
      <c r="N13" s="316">
        <f>M13-P13-'8-κ-15-17'!AF13-'14-βιβλΕσ'!M13-3</f>
        <v>195.10000000000002</v>
      </c>
      <c r="O13" s="330">
        <f t="shared" si="3"/>
        <v>88.271225999999956</v>
      </c>
      <c r="P13" s="365">
        <f>'1β-ΤΑΧΔΙΚκλπ'!D12</f>
        <v>3</v>
      </c>
      <c r="Q13" s="317"/>
      <c r="R13" s="317"/>
      <c r="S13" s="317"/>
      <c r="T13" s="317"/>
      <c r="U13" s="317"/>
      <c r="V13" s="317"/>
      <c r="W13" s="317"/>
      <c r="X13" s="73"/>
      <c r="Y13" s="73"/>
    </row>
    <row r="14" spans="1:25">
      <c r="A14" s="594" t="s">
        <v>47</v>
      </c>
      <c r="B14" s="595"/>
      <c r="C14" s="595"/>
      <c r="D14" s="595"/>
      <c r="E14" s="400">
        <f t="shared" ref="E14:O14" si="4">SUM(E3:E13)</f>
        <v>745.10554400000001</v>
      </c>
      <c r="F14" s="400">
        <f t="shared" si="4"/>
        <v>164</v>
      </c>
      <c r="G14" s="400">
        <f t="shared" si="4"/>
        <v>121.4</v>
      </c>
      <c r="H14" s="400">
        <f t="shared" si="4"/>
        <v>234.95999999999998</v>
      </c>
      <c r="I14" s="400">
        <f t="shared" si="4"/>
        <v>128</v>
      </c>
      <c r="J14" s="400">
        <f t="shared" si="4"/>
        <v>140</v>
      </c>
      <c r="K14" s="400">
        <f t="shared" si="4"/>
        <v>864.8</v>
      </c>
      <c r="L14" s="400">
        <f t="shared" si="4"/>
        <v>2398.2655439999999</v>
      </c>
      <c r="M14" s="400">
        <f t="shared" si="4"/>
        <v>963.88</v>
      </c>
      <c r="N14" s="400">
        <f t="shared" si="4"/>
        <v>649.25</v>
      </c>
      <c r="O14" s="400">
        <f t="shared" si="4"/>
        <v>1749.0155439999999</v>
      </c>
    </row>
    <row r="16" spans="1:25">
      <c r="C16" s="574" t="s">
        <v>567</v>
      </c>
      <c r="P16" s="160" t="s">
        <v>98</v>
      </c>
      <c r="Q16" s="123"/>
      <c r="R16" s="123"/>
      <c r="S16" s="123"/>
      <c r="T16" s="132"/>
      <c r="U16" s="132"/>
      <c r="V16" s="132"/>
      <c r="X16" s="123"/>
      <c r="Y16" s="123"/>
    </row>
    <row r="17" spans="3:25">
      <c r="K17" s="204" t="s">
        <v>494</v>
      </c>
      <c r="L17" s="8"/>
      <c r="M17" s="8"/>
      <c r="Q17" s="112" t="s">
        <v>366</v>
      </c>
      <c r="R17" s="112"/>
      <c r="S17" s="112"/>
      <c r="T17" s="125"/>
      <c r="U17" s="132"/>
      <c r="V17" s="132"/>
      <c r="X17" s="124"/>
      <c r="Y17" s="112"/>
    </row>
    <row r="18" spans="3:25">
      <c r="C18" s="578" t="s">
        <v>584</v>
      </c>
      <c r="K18" s="374" t="s">
        <v>225</v>
      </c>
      <c r="L18" s="113"/>
      <c r="M18" s="113"/>
      <c r="Q18" s="112"/>
      <c r="R18" s="112" t="s">
        <v>138</v>
      </c>
      <c r="S18" s="112"/>
      <c r="T18" s="132"/>
      <c r="U18" s="132"/>
      <c r="V18" s="132"/>
      <c r="X18" s="112"/>
    </row>
    <row r="19" spans="3:25">
      <c r="K19" s="203" t="s">
        <v>226</v>
      </c>
      <c r="S19" s="112" t="s">
        <v>365</v>
      </c>
      <c r="T19" s="90"/>
      <c r="U19" s="90"/>
      <c r="V19" s="90"/>
    </row>
    <row r="20" spans="3: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T20" s="112" t="s">
        <v>367</v>
      </c>
      <c r="U20" s="132"/>
      <c r="V20" s="132"/>
    </row>
    <row r="21" spans="3:25">
      <c r="T21" s="90"/>
      <c r="U21" s="132" t="s">
        <v>368</v>
      </c>
      <c r="V21" s="132"/>
    </row>
    <row r="22" spans="3:25">
      <c r="T22" s="90"/>
      <c r="U22" s="90"/>
      <c r="V22" s="132" t="s">
        <v>369</v>
      </c>
    </row>
    <row r="24" spans="3:25">
      <c r="H24" s="166" t="s">
        <v>513</v>
      </c>
      <c r="I24" s="360" t="s">
        <v>254</v>
      </c>
      <c r="J24" s="125" t="s">
        <v>510</v>
      </c>
      <c r="L24" s="598" t="s">
        <v>511</v>
      </c>
      <c r="M24" s="598"/>
      <c r="N24" s="598"/>
    </row>
    <row r="25" spans="3:25">
      <c r="E25" s="361" t="s">
        <v>568</v>
      </c>
      <c r="F25" s="2">
        <v>96.03</v>
      </c>
      <c r="G25" s="2" t="s">
        <v>319</v>
      </c>
      <c r="H25" s="4">
        <v>3</v>
      </c>
      <c r="I25" s="4"/>
      <c r="J25" s="4">
        <v>3</v>
      </c>
      <c r="K25" s="4"/>
      <c r="L25" s="4">
        <v>3</v>
      </c>
      <c r="M25" s="4">
        <v>3</v>
      </c>
      <c r="N25" s="4"/>
      <c r="R25" s="2"/>
    </row>
    <row r="26" spans="3:25">
      <c r="E26" s="361"/>
      <c r="G26" s="2" t="s">
        <v>359</v>
      </c>
      <c r="H26" s="4">
        <v>14.53</v>
      </c>
      <c r="I26" s="4"/>
      <c r="J26" s="4">
        <v>14.53</v>
      </c>
      <c r="K26" s="4"/>
      <c r="L26" s="4">
        <v>14.53</v>
      </c>
      <c r="M26" s="4">
        <v>8.61</v>
      </c>
      <c r="N26" s="4"/>
      <c r="R26" s="2"/>
    </row>
    <row r="27" spans="3:25">
      <c r="E27" s="361"/>
      <c r="G27" s="2" t="s">
        <v>78</v>
      </c>
      <c r="H27" s="4"/>
      <c r="I27" s="4"/>
      <c r="J27" s="4"/>
      <c r="K27" s="4"/>
      <c r="L27" s="4"/>
      <c r="M27" s="4"/>
      <c r="N27" s="4"/>
      <c r="Q27" s="2"/>
      <c r="R27" s="2"/>
    </row>
    <row r="28" spans="3:25">
      <c r="G28" s="128" t="s">
        <v>499</v>
      </c>
      <c r="H28" s="4">
        <v>12</v>
      </c>
      <c r="I28" s="4"/>
      <c r="J28" s="4">
        <v>12</v>
      </c>
      <c r="K28" s="4"/>
      <c r="L28" s="4">
        <v>12</v>
      </c>
      <c r="M28" s="4">
        <v>12</v>
      </c>
      <c r="N28" s="4"/>
      <c r="R28" s="2"/>
      <c r="U28" s="2"/>
    </row>
    <row r="29" spans="3:25">
      <c r="G29" s="128" t="s">
        <v>500</v>
      </c>
      <c r="H29" s="439">
        <v>18.27</v>
      </c>
      <c r="I29" s="4">
        <v>4.22</v>
      </c>
      <c r="J29" s="4">
        <v>22.5</v>
      </c>
      <c r="K29" s="4"/>
      <c r="L29" s="4">
        <v>22.5</v>
      </c>
      <c r="M29" s="4">
        <v>13.33</v>
      </c>
      <c r="N29" s="4"/>
      <c r="R29" s="2"/>
      <c r="U29" s="2"/>
    </row>
    <row r="30" spans="3:25">
      <c r="G30" s="128" t="s">
        <v>501</v>
      </c>
      <c r="H30" s="4">
        <v>16</v>
      </c>
      <c r="I30" s="4"/>
      <c r="J30" s="4">
        <v>16</v>
      </c>
      <c r="K30" s="4"/>
      <c r="L30" s="4">
        <v>16</v>
      </c>
      <c r="M30" s="4">
        <v>16</v>
      </c>
      <c r="N30" s="4"/>
      <c r="R30" s="2"/>
      <c r="U30" s="2"/>
    </row>
    <row r="31" spans="3:25">
      <c r="G31" s="128" t="s">
        <v>93</v>
      </c>
      <c r="H31" s="439">
        <v>32</v>
      </c>
      <c r="I31" s="4">
        <v>4.4000000000000004</v>
      </c>
      <c r="J31" s="4">
        <v>40</v>
      </c>
      <c r="K31" s="4"/>
      <c r="L31" s="4">
        <v>40</v>
      </c>
      <c r="M31" s="4"/>
      <c r="N31" s="4"/>
      <c r="R31" s="2"/>
      <c r="U31" s="2"/>
    </row>
    <row r="32" spans="3:25">
      <c r="G32" s="193" t="s">
        <v>502</v>
      </c>
      <c r="H32" s="193">
        <v>0.23</v>
      </c>
      <c r="I32" s="4"/>
      <c r="J32" s="4"/>
      <c r="K32" s="4"/>
      <c r="L32" s="4"/>
      <c r="M32" s="4"/>
      <c r="N32" s="4"/>
      <c r="R32" s="2"/>
    </row>
    <row r="33" spans="3:19">
      <c r="H33" s="166">
        <f>SUM(H25:H32)</f>
        <v>96.03</v>
      </c>
      <c r="I33" s="166">
        <f>SUM(I25:I32)</f>
        <v>8.620000000000001</v>
      </c>
      <c r="J33" s="166">
        <f>SUM(J25:J32)</f>
        <v>108.03</v>
      </c>
      <c r="L33" s="166">
        <f>SUM(L25:L32)</f>
        <v>108.03</v>
      </c>
      <c r="M33" s="166">
        <f t="shared" ref="M33:N33" si="5">SUM(M25:M32)</f>
        <v>52.94</v>
      </c>
      <c r="N33" s="166">
        <f t="shared" si="5"/>
        <v>0</v>
      </c>
      <c r="O33" s="193">
        <f>SUM(L33:N33)</f>
        <v>160.97</v>
      </c>
      <c r="R33" s="2"/>
    </row>
    <row r="34" spans="3:19">
      <c r="H34" s="2">
        <f>F25-H33</f>
        <v>0</v>
      </c>
      <c r="R34" s="2"/>
    </row>
    <row r="37" spans="3:19">
      <c r="D37" s="360" t="s">
        <v>561</v>
      </c>
      <c r="H37" s="166" t="s">
        <v>513</v>
      </c>
      <c r="I37" s="360" t="s">
        <v>254</v>
      </c>
      <c r="J37" s="125" t="s">
        <v>510</v>
      </c>
      <c r="L37" s="598" t="s">
        <v>511</v>
      </c>
      <c r="M37" s="598"/>
      <c r="N37" s="598"/>
    </row>
    <row r="38" spans="3:19">
      <c r="C38" s="90" t="s">
        <v>574</v>
      </c>
      <c r="D38" s="2">
        <v>3098.09</v>
      </c>
      <c r="E38" s="361" t="s">
        <v>569</v>
      </c>
      <c r="F38" s="2">
        <v>96.7</v>
      </c>
      <c r="G38" s="2" t="s">
        <v>319</v>
      </c>
      <c r="H38" s="571"/>
      <c r="I38" s="4"/>
      <c r="J38" s="4">
        <v>0.5</v>
      </c>
      <c r="K38" s="4"/>
      <c r="L38" s="4">
        <v>0.5</v>
      </c>
      <c r="M38" s="4">
        <v>3</v>
      </c>
      <c r="N38" s="4">
        <v>3</v>
      </c>
      <c r="O38" s="4">
        <v>3</v>
      </c>
      <c r="P38" s="4">
        <v>3</v>
      </c>
      <c r="Q38" s="4"/>
      <c r="S38" s="2"/>
    </row>
    <row r="39" spans="3:19">
      <c r="C39" s="90" t="s">
        <v>575</v>
      </c>
      <c r="D39" s="2">
        <v>3402</v>
      </c>
      <c r="E39" s="361"/>
      <c r="G39" s="2" t="s">
        <v>359</v>
      </c>
      <c r="H39" s="4"/>
      <c r="I39" s="4"/>
      <c r="J39" s="4"/>
      <c r="K39" s="4"/>
      <c r="L39" s="4"/>
      <c r="M39" s="4"/>
      <c r="N39" s="4">
        <v>8.67</v>
      </c>
      <c r="O39" s="4">
        <v>2.58</v>
      </c>
      <c r="P39" s="4">
        <v>17.22</v>
      </c>
      <c r="Q39" s="4"/>
      <c r="S39" s="2"/>
    </row>
    <row r="40" spans="3:19">
      <c r="C40" s="90" t="s">
        <v>576</v>
      </c>
      <c r="D40" s="2">
        <v>567</v>
      </c>
      <c r="E40" s="361"/>
      <c r="G40" s="2" t="s">
        <v>78</v>
      </c>
      <c r="H40" s="4">
        <v>36.700000000000003</v>
      </c>
      <c r="I40" s="4">
        <v>4.04</v>
      </c>
      <c r="J40" s="4">
        <v>36.700000000000003</v>
      </c>
      <c r="K40" s="4"/>
      <c r="L40" s="4">
        <v>36.700000000000003</v>
      </c>
      <c r="M40" s="4"/>
      <c r="N40" s="4"/>
      <c r="O40" s="4"/>
      <c r="P40" s="4"/>
      <c r="Q40" s="4"/>
      <c r="S40" s="2"/>
    </row>
    <row r="41" spans="3:19">
      <c r="C41" s="90" t="s">
        <v>577</v>
      </c>
      <c r="D41" s="2">
        <v>4536</v>
      </c>
      <c r="G41" s="128" t="s">
        <v>499</v>
      </c>
      <c r="H41" s="4"/>
      <c r="I41" s="4"/>
      <c r="J41" s="4"/>
      <c r="K41" s="4"/>
      <c r="L41" s="4"/>
      <c r="M41" s="4">
        <v>12</v>
      </c>
      <c r="N41" s="4">
        <v>12</v>
      </c>
      <c r="O41" s="4">
        <v>12</v>
      </c>
      <c r="P41" s="4">
        <v>12</v>
      </c>
      <c r="Q41" s="4"/>
      <c r="S41" s="2"/>
    </row>
    <row r="42" spans="3:19">
      <c r="C42" s="90" t="s">
        <v>578</v>
      </c>
      <c r="D42" s="2">
        <v>3402</v>
      </c>
      <c r="G42" s="128" t="s">
        <v>500</v>
      </c>
      <c r="H42" s="4"/>
      <c r="I42" s="4"/>
      <c r="J42" s="4"/>
      <c r="K42" s="4"/>
      <c r="L42" s="4"/>
      <c r="M42" s="4">
        <v>346.7</v>
      </c>
      <c r="N42" s="4">
        <v>8</v>
      </c>
      <c r="O42" s="4">
        <v>4</v>
      </c>
      <c r="P42" s="4">
        <v>26.67</v>
      </c>
      <c r="Q42" s="4"/>
    </row>
    <row r="43" spans="3:19">
      <c r="C43" s="90" t="s">
        <v>579</v>
      </c>
      <c r="D43" s="2">
        <v>3402</v>
      </c>
      <c r="G43" s="128" t="s">
        <v>501</v>
      </c>
      <c r="H43" s="4">
        <v>12</v>
      </c>
      <c r="I43" s="4"/>
      <c r="J43" s="4">
        <v>12</v>
      </c>
      <c r="K43" s="4"/>
      <c r="L43" s="4">
        <v>12</v>
      </c>
      <c r="M43" s="4">
        <v>12</v>
      </c>
      <c r="N43" s="4">
        <v>12</v>
      </c>
      <c r="O43" s="4">
        <v>12</v>
      </c>
      <c r="P43" s="4">
        <v>12</v>
      </c>
      <c r="Q43" s="4"/>
    </row>
    <row r="44" spans="3:19">
      <c r="C44" s="90" t="s">
        <v>580</v>
      </c>
      <c r="D44" s="2">
        <v>7938</v>
      </c>
      <c r="G44" s="128" t="s">
        <v>93</v>
      </c>
      <c r="H44" s="197">
        <v>48</v>
      </c>
      <c r="I44" s="4">
        <v>3.52</v>
      </c>
      <c r="J44" s="4">
        <v>32</v>
      </c>
      <c r="K44" s="4"/>
      <c r="L44" s="4">
        <v>32</v>
      </c>
      <c r="M44" s="4"/>
      <c r="N44" s="4"/>
      <c r="O44" s="4"/>
      <c r="P44" s="4"/>
      <c r="Q44" s="4"/>
    </row>
    <row r="45" spans="3:19">
      <c r="C45" s="90" t="s">
        <v>581</v>
      </c>
      <c r="D45" s="2">
        <v>1620</v>
      </c>
      <c r="G45" s="193" t="s">
        <v>502</v>
      </c>
      <c r="H45" s="193"/>
      <c r="I45" s="4"/>
      <c r="J45" s="4"/>
      <c r="K45" s="4"/>
      <c r="L45" s="4"/>
      <c r="M45" s="4"/>
      <c r="N45" s="4"/>
      <c r="O45" s="4"/>
      <c r="P45" s="4"/>
      <c r="Q45" s="4"/>
    </row>
    <row r="46" spans="3:19">
      <c r="C46" s="90" t="s">
        <v>582</v>
      </c>
      <c r="D46" s="2">
        <v>364.5</v>
      </c>
      <c r="H46" s="166">
        <f>SUM(H38:H45)</f>
        <v>96.7</v>
      </c>
      <c r="I46" s="166">
        <f>SUM(I38:I45)</f>
        <v>7.5600000000000005</v>
      </c>
      <c r="J46" s="166">
        <f>SUM(J38:J45)</f>
        <v>81.2</v>
      </c>
      <c r="L46" s="166">
        <f>SUM(L38:L45)</f>
        <v>81.2</v>
      </c>
      <c r="M46" s="166">
        <f t="shared" ref="M46:N46" si="6">SUM(M38:M45)</f>
        <v>373.7</v>
      </c>
      <c r="N46" s="166">
        <f t="shared" si="6"/>
        <v>43.67</v>
      </c>
      <c r="O46" s="166">
        <f t="shared" ref="O46:P46" si="7">SUM(O38:O45)</f>
        <v>33.58</v>
      </c>
      <c r="P46" s="166">
        <f t="shared" si="7"/>
        <v>70.89</v>
      </c>
      <c r="Q46" s="192">
        <f>SUM(L46:P46)</f>
        <v>603.04</v>
      </c>
    </row>
    <row r="47" spans="3:19">
      <c r="C47" s="90" t="s">
        <v>583</v>
      </c>
      <c r="D47" s="2">
        <v>567</v>
      </c>
      <c r="H47" s="2">
        <f>F38-H46</f>
        <v>0</v>
      </c>
    </row>
    <row r="48" spans="3:19">
      <c r="C48" s="90"/>
      <c r="D48" s="2">
        <f>SUM(D38:D47)</f>
        <v>28896.59</v>
      </c>
    </row>
    <row r="49" spans="3:19">
      <c r="C49" s="90"/>
    </row>
    <row r="50" spans="3:19">
      <c r="H50" s="166" t="s">
        <v>513</v>
      </c>
      <c r="I50" s="360" t="s">
        <v>254</v>
      </c>
      <c r="J50" s="125" t="s">
        <v>510</v>
      </c>
      <c r="L50" s="598" t="s">
        <v>511</v>
      </c>
      <c r="M50" s="598"/>
      <c r="N50" s="598"/>
    </row>
    <row r="51" spans="3:19">
      <c r="C51" s="3" t="s">
        <v>563</v>
      </c>
      <c r="E51" s="361" t="s">
        <v>570</v>
      </c>
      <c r="F51" s="2">
        <v>92.53</v>
      </c>
      <c r="G51" s="2" t="s">
        <v>319</v>
      </c>
      <c r="H51" s="4">
        <v>3</v>
      </c>
      <c r="I51" s="4"/>
      <c r="J51" s="4">
        <v>3</v>
      </c>
      <c r="K51" s="4"/>
      <c r="L51" s="4">
        <v>3</v>
      </c>
      <c r="M51" s="4"/>
      <c r="N51" s="4"/>
    </row>
    <row r="52" spans="3:19">
      <c r="C52" s="90" t="s">
        <v>579</v>
      </c>
      <c r="E52" s="361"/>
      <c r="G52" s="2" t="s">
        <v>359</v>
      </c>
      <c r="H52" s="4">
        <v>10.02</v>
      </c>
      <c r="I52" s="4"/>
      <c r="J52" s="4">
        <v>10.02</v>
      </c>
      <c r="K52" s="4"/>
      <c r="L52" s="4">
        <v>10.02</v>
      </c>
      <c r="M52" s="4"/>
      <c r="N52" s="4"/>
    </row>
    <row r="53" spans="3:19">
      <c r="C53" s="90" t="s">
        <v>582</v>
      </c>
      <c r="E53" s="361"/>
      <c r="G53" s="2" t="s">
        <v>78</v>
      </c>
      <c r="H53" s="4"/>
      <c r="I53" s="4"/>
      <c r="J53" s="4"/>
      <c r="K53" s="4"/>
      <c r="L53" s="4"/>
      <c r="M53" s="4"/>
      <c r="N53" s="4"/>
    </row>
    <row r="54" spans="3:19">
      <c r="G54" s="128" t="s">
        <v>499</v>
      </c>
      <c r="H54" s="4">
        <v>12</v>
      </c>
      <c r="I54" s="4"/>
      <c r="J54" s="4">
        <v>12</v>
      </c>
      <c r="K54" s="4"/>
      <c r="L54" s="4">
        <v>12</v>
      </c>
      <c r="M54" s="4"/>
      <c r="N54" s="4"/>
    </row>
    <row r="55" spans="3:19">
      <c r="G55" s="128" t="s">
        <v>500</v>
      </c>
      <c r="H55" s="439">
        <v>11.28</v>
      </c>
      <c r="I55" s="4">
        <v>2.88</v>
      </c>
      <c r="J55" s="4">
        <v>15.51</v>
      </c>
      <c r="K55" s="4"/>
      <c r="L55" s="4">
        <v>15.51</v>
      </c>
      <c r="M55" s="4"/>
      <c r="N55" s="4"/>
    </row>
    <row r="56" spans="3:19">
      <c r="G56" s="128" t="s">
        <v>501</v>
      </c>
      <c r="H56" s="4">
        <v>16</v>
      </c>
      <c r="I56" s="4"/>
      <c r="J56" s="4">
        <v>16</v>
      </c>
      <c r="K56" s="4"/>
      <c r="L56" s="4">
        <v>16</v>
      </c>
      <c r="M56" s="4"/>
      <c r="N56" s="4"/>
      <c r="S56" s="2"/>
    </row>
    <row r="57" spans="3:19">
      <c r="G57" s="128" t="s">
        <v>93</v>
      </c>
      <c r="H57" s="4">
        <v>40</v>
      </c>
      <c r="I57" s="4">
        <v>4.4000000000000004</v>
      </c>
      <c r="J57" s="4">
        <v>40</v>
      </c>
      <c r="K57" s="4"/>
      <c r="L57" s="4">
        <v>40</v>
      </c>
      <c r="M57" s="4"/>
      <c r="N57" s="4"/>
      <c r="S57" s="2"/>
    </row>
    <row r="58" spans="3:19">
      <c r="G58" s="193" t="s">
        <v>502</v>
      </c>
      <c r="H58" s="193">
        <v>0.23</v>
      </c>
      <c r="I58" s="4"/>
      <c r="J58" s="4"/>
      <c r="K58" s="4"/>
      <c r="L58" s="4"/>
      <c r="M58" s="4"/>
      <c r="N58" s="4"/>
      <c r="S58" s="2"/>
    </row>
    <row r="59" spans="3:19">
      <c r="H59" s="166">
        <f>SUM(H51:H58)</f>
        <v>92.53</v>
      </c>
      <c r="I59" s="166">
        <f>SUM(I51:I58)</f>
        <v>7.28</v>
      </c>
      <c r="J59" s="166">
        <f>SUM(J51:J58)</f>
        <v>96.53</v>
      </c>
      <c r="L59" s="166">
        <f>SUM(L51:L58)</f>
        <v>96.53</v>
      </c>
      <c r="M59" s="166">
        <f t="shared" ref="M59:N59" si="8">SUM(M51:M58)</f>
        <v>0</v>
      </c>
      <c r="N59" s="166">
        <f t="shared" si="8"/>
        <v>0</v>
      </c>
      <c r="O59" s="193">
        <f>SUM(L59:N59)</f>
        <v>96.53</v>
      </c>
      <c r="S59" s="2"/>
    </row>
    <row r="60" spans="3:19">
      <c r="H60" s="2">
        <f>F51-H59</f>
        <v>0</v>
      </c>
    </row>
    <row r="62" spans="3:19">
      <c r="H62" s="166" t="s">
        <v>513</v>
      </c>
      <c r="I62" s="360" t="s">
        <v>254</v>
      </c>
      <c r="J62" s="125" t="s">
        <v>510</v>
      </c>
      <c r="L62" s="598" t="s">
        <v>511</v>
      </c>
      <c r="M62" s="598"/>
      <c r="N62" s="598"/>
    </row>
    <row r="63" spans="3:19">
      <c r="C63" s="3" t="s">
        <v>565</v>
      </c>
      <c r="E63" s="361" t="s">
        <v>571</v>
      </c>
      <c r="F63" s="2">
        <v>105.29</v>
      </c>
      <c r="G63" s="2" t="s">
        <v>319</v>
      </c>
      <c r="H63" s="4">
        <v>3</v>
      </c>
      <c r="I63" s="4"/>
      <c r="J63" s="4">
        <v>3</v>
      </c>
      <c r="K63" s="4"/>
      <c r="L63" s="4">
        <v>3</v>
      </c>
      <c r="M63" s="4"/>
      <c r="N63" s="4"/>
    </row>
    <row r="64" spans="3:19">
      <c r="C64" s="90" t="s">
        <v>579</v>
      </c>
      <c r="E64" s="361"/>
      <c r="G64" s="2" t="s">
        <v>359</v>
      </c>
      <c r="H64" s="4">
        <v>15.02</v>
      </c>
      <c r="I64" s="4"/>
      <c r="J64" s="4">
        <v>15.03</v>
      </c>
      <c r="K64" s="4"/>
      <c r="L64" s="4">
        <v>15.03</v>
      </c>
      <c r="M64" s="4"/>
      <c r="N64" s="4"/>
    </row>
    <row r="65" spans="3:15">
      <c r="C65" s="90" t="s">
        <v>582</v>
      </c>
      <c r="E65" s="361"/>
      <c r="G65" s="2" t="s">
        <v>78</v>
      </c>
      <c r="H65" s="4"/>
      <c r="I65" s="4"/>
      <c r="J65" s="4"/>
      <c r="K65" s="4"/>
      <c r="L65" s="4"/>
      <c r="M65" s="4"/>
      <c r="N65" s="4"/>
    </row>
    <row r="66" spans="3:15">
      <c r="G66" s="128" t="s">
        <v>499</v>
      </c>
      <c r="H66" s="4">
        <v>12</v>
      </c>
      <c r="I66" s="4"/>
      <c r="J66" s="4">
        <v>12</v>
      </c>
      <c r="K66" s="4"/>
      <c r="L66" s="4">
        <v>12</v>
      </c>
      <c r="M66" s="4"/>
      <c r="N66" s="4"/>
    </row>
    <row r="67" spans="3:15">
      <c r="G67" s="128" t="s">
        <v>500</v>
      </c>
      <c r="H67" s="439">
        <v>19.04</v>
      </c>
      <c r="I67" s="4">
        <v>4.1100000000000003</v>
      </c>
      <c r="J67" s="4">
        <v>23.26</v>
      </c>
      <c r="K67" s="4"/>
      <c r="L67" s="4">
        <v>23.26</v>
      </c>
      <c r="M67" s="4"/>
      <c r="N67" s="4"/>
    </row>
    <row r="68" spans="3:15">
      <c r="G68" s="128" t="s">
        <v>501</v>
      </c>
      <c r="H68" s="4">
        <v>16</v>
      </c>
      <c r="I68" s="4"/>
      <c r="J68" s="4">
        <v>16</v>
      </c>
      <c r="K68" s="4"/>
      <c r="L68" s="4">
        <v>16</v>
      </c>
      <c r="M68" s="4"/>
      <c r="N68" s="4"/>
    </row>
    <row r="69" spans="3:15">
      <c r="G69" s="128" t="s">
        <v>93</v>
      </c>
      <c r="H69" s="4">
        <v>40</v>
      </c>
      <c r="I69" s="4">
        <v>4.4000000000000004</v>
      </c>
      <c r="J69" s="4">
        <v>40</v>
      </c>
      <c r="K69" s="4"/>
      <c r="L69" s="4">
        <v>40</v>
      </c>
      <c r="M69" s="4"/>
      <c r="N69" s="4"/>
    </row>
    <row r="70" spans="3:15">
      <c r="G70" s="193" t="s">
        <v>502</v>
      </c>
      <c r="H70" s="193">
        <v>0.23</v>
      </c>
      <c r="I70" s="4"/>
      <c r="J70" s="4"/>
      <c r="K70" s="4"/>
      <c r="L70" s="4"/>
      <c r="M70" s="4"/>
      <c r="N70" s="4"/>
    </row>
    <row r="71" spans="3:15">
      <c r="H71" s="166">
        <f>SUM(H63:H70)</f>
        <v>105.29</v>
      </c>
      <c r="I71" s="166">
        <f>SUM(I63:I70)</f>
        <v>8.5100000000000016</v>
      </c>
      <c r="J71" s="166">
        <f>SUM(J63:J70)</f>
        <v>109.29</v>
      </c>
      <c r="L71" s="166">
        <f>SUM(L63:L70)</f>
        <v>109.29</v>
      </c>
      <c r="M71" s="166">
        <f t="shared" ref="M71:N71" si="9">SUM(M63:M70)</f>
        <v>0</v>
      </c>
      <c r="N71" s="166">
        <f t="shared" si="9"/>
        <v>0</v>
      </c>
      <c r="O71" s="193">
        <f>SUM(L71:N71)</f>
        <v>109.29</v>
      </c>
    </row>
    <row r="72" spans="3:15">
      <c r="H72" s="2">
        <f>F63-H71</f>
        <v>0</v>
      </c>
    </row>
    <row r="74" spans="3:15">
      <c r="H74" s="166" t="s">
        <v>513</v>
      </c>
      <c r="I74" s="360" t="s">
        <v>254</v>
      </c>
      <c r="J74" s="125" t="s">
        <v>510</v>
      </c>
      <c r="L74" s="598" t="s">
        <v>511</v>
      </c>
      <c r="M74" s="598"/>
      <c r="N74" s="598"/>
    </row>
    <row r="75" spans="3:15">
      <c r="C75" s="90" t="s">
        <v>563</v>
      </c>
      <c r="E75" s="361" t="s">
        <v>572</v>
      </c>
      <c r="F75" s="2">
        <v>245.23</v>
      </c>
      <c r="G75" s="2" t="s">
        <v>319</v>
      </c>
      <c r="H75" s="4">
        <v>3</v>
      </c>
      <c r="I75" s="4"/>
      <c r="J75" s="4">
        <v>3</v>
      </c>
      <c r="K75" s="4"/>
      <c r="L75" s="4">
        <v>3</v>
      </c>
      <c r="M75" s="4"/>
      <c r="N75" s="4"/>
    </row>
    <row r="76" spans="3:15">
      <c r="C76" s="90" t="s">
        <v>574</v>
      </c>
      <c r="E76" s="361"/>
      <c r="G76" s="2" t="s">
        <v>359</v>
      </c>
      <c r="H76" s="4">
        <v>65.23</v>
      </c>
      <c r="I76" s="4"/>
      <c r="J76" s="4">
        <v>65.23</v>
      </c>
      <c r="K76" s="4"/>
      <c r="L76" s="4">
        <v>65.23</v>
      </c>
      <c r="M76" s="4"/>
      <c r="N76" s="4"/>
    </row>
    <row r="77" spans="3:15">
      <c r="C77" s="90" t="s">
        <v>575</v>
      </c>
      <c r="E77" s="361"/>
      <c r="G77" s="2" t="s">
        <v>78</v>
      </c>
      <c r="H77" s="4"/>
      <c r="I77" s="4"/>
      <c r="J77" s="4"/>
      <c r="K77" s="4"/>
      <c r="L77" s="4"/>
      <c r="M77" s="4"/>
      <c r="N77" s="4"/>
    </row>
    <row r="78" spans="3:15">
      <c r="C78" s="90" t="s">
        <v>576</v>
      </c>
      <c r="G78" s="128" t="s">
        <v>499</v>
      </c>
      <c r="H78" s="4">
        <v>12</v>
      </c>
      <c r="I78" s="4"/>
      <c r="J78" s="4">
        <v>12</v>
      </c>
      <c r="K78" s="4"/>
      <c r="L78" s="4">
        <v>12</v>
      </c>
      <c r="M78" s="4"/>
      <c r="N78" s="4"/>
    </row>
    <row r="79" spans="3:15">
      <c r="C79" s="90" t="s">
        <v>577</v>
      </c>
      <c r="G79" s="128" t="s">
        <v>500</v>
      </c>
      <c r="H79" s="439">
        <v>96.77</v>
      </c>
      <c r="I79" s="4">
        <v>16.010000000000002</v>
      </c>
      <c r="J79" s="4">
        <v>101</v>
      </c>
      <c r="K79" s="4"/>
      <c r="L79" s="4">
        <v>101</v>
      </c>
      <c r="M79" s="4"/>
      <c r="N79" s="4"/>
    </row>
    <row r="80" spans="3:15">
      <c r="C80" s="90" t="s">
        <v>578</v>
      </c>
      <c r="G80" s="128" t="s">
        <v>501</v>
      </c>
      <c r="H80" s="4">
        <v>20</v>
      </c>
      <c r="I80" s="4"/>
      <c r="J80" s="4">
        <v>20</v>
      </c>
      <c r="K80" s="4"/>
      <c r="L80" s="4">
        <v>20</v>
      </c>
      <c r="M80" s="4"/>
      <c r="N80" s="4"/>
    </row>
    <row r="81" spans="3:15">
      <c r="C81" s="90" t="s">
        <v>580</v>
      </c>
      <c r="G81" s="128" t="s">
        <v>93</v>
      </c>
      <c r="H81" s="4">
        <v>48</v>
      </c>
      <c r="I81" s="4">
        <v>5.28</v>
      </c>
      <c r="J81" s="4">
        <v>48</v>
      </c>
      <c r="K81" s="4"/>
      <c r="L81" s="4">
        <v>48</v>
      </c>
      <c r="M81" s="4"/>
      <c r="N81" s="4"/>
    </row>
    <row r="82" spans="3:15">
      <c r="C82" s="90" t="s">
        <v>581</v>
      </c>
      <c r="G82" s="193" t="s">
        <v>502</v>
      </c>
      <c r="H82" s="193">
        <v>0.23</v>
      </c>
      <c r="I82" s="4"/>
      <c r="J82" s="4"/>
      <c r="K82" s="4"/>
      <c r="L82" s="4"/>
      <c r="M82" s="4"/>
      <c r="N82" s="4"/>
    </row>
    <row r="83" spans="3:15">
      <c r="H83" s="166">
        <f>SUM(H75:H82)</f>
        <v>245.23</v>
      </c>
      <c r="I83" s="166">
        <f>SUM(I75:I82)</f>
        <v>21.290000000000003</v>
      </c>
      <c r="J83" s="166">
        <f>SUM(J75:J82)</f>
        <v>249.23000000000002</v>
      </c>
      <c r="L83" s="166">
        <f>SUM(L75:L82)</f>
        <v>249.23000000000002</v>
      </c>
      <c r="M83" s="166">
        <f t="shared" ref="M83:N83" si="10">SUM(M75:M82)</f>
        <v>0</v>
      </c>
      <c r="N83" s="166">
        <f t="shared" si="10"/>
        <v>0</v>
      </c>
      <c r="O83" s="193">
        <f>SUM(L83:N83)</f>
        <v>249.23000000000002</v>
      </c>
    </row>
    <row r="84" spans="3:15">
      <c r="H84" s="2">
        <f>F75-H83</f>
        <v>0</v>
      </c>
    </row>
    <row r="86" spans="3:15">
      <c r="H86" s="166" t="s">
        <v>513</v>
      </c>
      <c r="I86" s="360" t="s">
        <v>254</v>
      </c>
      <c r="J86" s="125" t="s">
        <v>510</v>
      </c>
      <c r="L86" s="598" t="s">
        <v>511</v>
      </c>
      <c r="M86" s="598"/>
      <c r="N86" s="598"/>
    </row>
    <row r="87" spans="3:15">
      <c r="C87" s="3" t="s">
        <v>565</v>
      </c>
      <c r="E87" s="361" t="s">
        <v>573</v>
      </c>
      <c r="F87" s="2">
        <v>328.1</v>
      </c>
      <c r="G87" s="2" t="s">
        <v>319</v>
      </c>
      <c r="H87" s="4">
        <v>3</v>
      </c>
      <c r="I87" s="4"/>
      <c r="J87" s="4">
        <v>3</v>
      </c>
      <c r="K87" s="4"/>
      <c r="L87" s="4">
        <v>3</v>
      </c>
      <c r="M87" s="4"/>
      <c r="N87" s="4"/>
    </row>
    <row r="88" spans="3:15">
      <c r="C88" s="90" t="s">
        <v>574</v>
      </c>
      <c r="E88" s="361"/>
      <c r="G88" s="2" t="s">
        <v>359</v>
      </c>
      <c r="H88" s="4">
        <v>97.84</v>
      </c>
      <c r="I88" s="4"/>
      <c r="J88" s="4">
        <v>97.84</v>
      </c>
      <c r="K88" s="4"/>
      <c r="L88" s="4">
        <v>97.84</v>
      </c>
      <c r="M88" s="4"/>
      <c r="N88" s="4"/>
    </row>
    <row r="89" spans="3:15">
      <c r="C89" s="90" t="s">
        <v>575</v>
      </c>
      <c r="E89" s="361"/>
      <c r="G89" s="2" t="s">
        <v>78</v>
      </c>
      <c r="H89" s="4"/>
      <c r="I89" s="4"/>
      <c r="J89" s="4"/>
      <c r="K89" s="4"/>
      <c r="L89" s="4"/>
      <c r="M89" s="4"/>
      <c r="N89" s="4"/>
    </row>
    <row r="90" spans="3:15">
      <c r="C90" s="90" t="s">
        <v>576</v>
      </c>
      <c r="G90" s="128" t="s">
        <v>499</v>
      </c>
      <c r="H90" s="4">
        <v>12</v>
      </c>
      <c r="I90" s="4"/>
      <c r="J90" s="4">
        <v>12</v>
      </c>
      <c r="K90" s="4"/>
      <c r="L90" s="4">
        <v>12</v>
      </c>
      <c r="M90" s="4"/>
      <c r="N90" s="4"/>
    </row>
    <row r="91" spans="3:15">
      <c r="C91" s="90" t="s">
        <v>577</v>
      </c>
      <c r="G91" s="128" t="s">
        <v>500</v>
      </c>
      <c r="H91" s="439">
        <v>147.26</v>
      </c>
      <c r="I91" s="4">
        <v>23.88</v>
      </c>
      <c r="J91" s="4">
        <v>151.5</v>
      </c>
      <c r="K91" s="4"/>
      <c r="L91" s="4">
        <v>151.5</v>
      </c>
      <c r="M91" s="4"/>
      <c r="N91" s="4"/>
    </row>
    <row r="92" spans="3:15">
      <c r="C92" s="90" t="s">
        <v>578</v>
      </c>
      <c r="G92" s="128" t="s">
        <v>501</v>
      </c>
      <c r="H92" s="4">
        <v>20</v>
      </c>
      <c r="I92" s="4"/>
      <c r="J92" s="4">
        <v>20</v>
      </c>
      <c r="K92" s="4"/>
      <c r="L92" s="4">
        <v>20</v>
      </c>
      <c r="M92" s="4"/>
      <c r="N92" s="4"/>
    </row>
    <row r="93" spans="3:15">
      <c r="C93" s="90" t="s">
        <v>580</v>
      </c>
      <c r="G93" s="128" t="s">
        <v>93</v>
      </c>
      <c r="H93" s="4">
        <v>48</v>
      </c>
      <c r="I93" s="4">
        <v>5.28</v>
      </c>
      <c r="J93" s="4">
        <v>48</v>
      </c>
      <c r="K93" s="4"/>
      <c r="L93" s="4">
        <v>48</v>
      </c>
      <c r="M93" s="4"/>
      <c r="N93" s="4"/>
    </row>
    <row r="94" spans="3:15">
      <c r="C94" s="90" t="s">
        <v>581</v>
      </c>
      <c r="G94" s="193" t="s">
        <v>502</v>
      </c>
      <c r="H94" s="193"/>
      <c r="I94" s="4"/>
      <c r="J94" s="4"/>
      <c r="K94" s="4"/>
      <c r="L94" s="4"/>
      <c r="M94" s="4"/>
      <c r="N94" s="4"/>
    </row>
    <row r="95" spans="3:15">
      <c r="C95" s="90" t="s">
        <v>583</v>
      </c>
      <c r="H95" s="166">
        <f>SUM(H87:H94)</f>
        <v>328.1</v>
      </c>
      <c r="I95" s="166">
        <f>SUM(I87:I94)</f>
        <v>29.16</v>
      </c>
      <c r="J95" s="166">
        <f>SUM(J87:J94)</f>
        <v>332.34000000000003</v>
      </c>
      <c r="L95" s="166">
        <f>SUM(L87:L94)</f>
        <v>332.34000000000003</v>
      </c>
      <c r="M95" s="166">
        <f t="shared" ref="M95:N95" si="11">SUM(M87:M94)</f>
        <v>0</v>
      </c>
      <c r="N95" s="166">
        <f t="shared" si="11"/>
        <v>0</v>
      </c>
      <c r="O95" s="193">
        <f>SUM(L95:N95)</f>
        <v>332.34000000000003</v>
      </c>
    </row>
    <row r="96" spans="3:15">
      <c r="H96" s="2">
        <f>F87-H95</f>
        <v>0</v>
      </c>
    </row>
    <row r="99" spans="3:4">
      <c r="D99" s="8"/>
    </row>
    <row r="100" spans="3:4">
      <c r="C100" s="386"/>
      <c r="D100" s="360"/>
    </row>
    <row r="101" spans="3:4">
      <c r="C101" s="386"/>
      <c r="D101" s="360"/>
    </row>
    <row r="102" spans="3:4">
      <c r="C102" s="440"/>
      <c r="D102" s="360"/>
    </row>
    <row r="103" spans="3:4">
      <c r="C103" s="440"/>
      <c r="D103" s="360"/>
    </row>
    <row r="104" spans="3:4">
      <c r="C104" s="90"/>
      <c r="D104" s="76"/>
    </row>
    <row r="105" spans="3:4">
      <c r="C105" s="90"/>
      <c r="D105" s="360"/>
    </row>
    <row r="106" spans="3:4">
      <c r="C106" s="90"/>
      <c r="D106" s="360"/>
    </row>
    <row r="107" spans="3:4">
      <c r="C107" s="90"/>
      <c r="D107" s="76"/>
    </row>
    <row r="108" spans="3:4">
      <c r="C108" s="90"/>
      <c r="D108" s="360"/>
    </row>
    <row r="109" spans="3:4">
      <c r="C109" s="90"/>
      <c r="D109" s="76"/>
    </row>
    <row r="110" spans="3:4">
      <c r="C110" s="90"/>
      <c r="D110" s="360"/>
    </row>
    <row r="111" spans="3:4">
      <c r="C111" s="90"/>
      <c r="D111" s="360"/>
    </row>
    <row r="112" spans="3:4">
      <c r="C112" s="90"/>
      <c r="D112" s="360"/>
    </row>
    <row r="113" spans="3:4">
      <c r="C113" s="90"/>
      <c r="D113" s="360"/>
    </row>
    <row r="114" spans="3:4">
      <c r="D114" s="76"/>
    </row>
    <row r="115" spans="3:4">
      <c r="D115" s="76"/>
    </row>
    <row r="116" spans="3:4">
      <c r="C116" s="90"/>
      <c r="D116" s="360"/>
    </row>
    <row r="117" spans="3:4">
      <c r="C117" s="90"/>
      <c r="D117" s="360"/>
    </row>
    <row r="118" spans="3:4">
      <c r="D118" s="360"/>
    </row>
    <row r="119" spans="3:4">
      <c r="D119" s="76"/>
    </row>
    <row r="120" spans="3:4">
      <c r="D120" s="76"/>
    </row>
    <row r="121" spans="3:4">
      <c r="C121" s="90"/>
      <c r="D121" s="360"/>
    </row>
    <row r="122" spans="3:4">
      <c r="C122" s="90"/>
      <c r="D122" s="360"/>
    </row>
    <row r="123" spans="3:4">
      <c r="C123" s="440"/>
      <c r="D123" s="360"/>
    </row>
    <row r="125" spans="3:4">
      <c r="C125" s="90"/>
      <c r="D125" s="76"/>
    </row>
    <row r="126" spans="3:4">
      <c r="C126" s="90"/>
      <c r="D126" s="360"/>
    </row>
    <row r="127" spans="3:4">
      <c r="C127" s="90"/>
      <c r="D127" s="360"/>
    </row>
    <row r="128" spans="3:4">
      <c r="C128" s="90"/>
      <c r="D128" s="360"/>
    </row>
    <row r="129" spans="3:4">
      <c r="C129" s="90"/>
    </row>
    <row r="130" spans="3:4">
      <c r="C130" s="90"/>
      <c r="D130" s="76"/>
    </row>
    <row r="131" spans="3:4">
      <c r="C131" s="90"/>
      <c r="D131" s="360"/>
    </row>
    <row r="132" spans="3:4">
      <c r="C132" s="90"/>
    </row>
    <row r="133" spans="3:4">
      <c r="C133" s="440"/>
    </row>
    <row r="135" spans="3:4">
      <c r="D135" s="76"/>
    </row>
    <row r="136" spans="3:4">
      <c r="C136" s="90"/>
      <c r="D136" s="360"/>
    </row>
    <row r="137" spans="3:4">
      <c r="C137" s="90"/>
      <c r="D137" s="360"/>
    </row>
    <row r="138" spans="3:4">
      <c r="C138" s="90"/>
      <c r="D138" s="76"/>
    </row>
    <row r="139" spans="3:4">
      <c r="C139" s="90"/>
      <c r="D139" s="360"/>
    </row>
    <row r="140" spans="3:4">
      <c r="C140" s="90"/>
    </row>
    <row r="141" spans="3:4">
      <c r="C141" s="90"/>
      <c r="D141" s="76"/>
    </row>
    <row r="142" spans="3:4">
      <c r="C142" s="90"/>
      <c r="D142" s="360"/>
    </row>
    <row r="143" spans="3:4">
      <c r="C143" s="90"/>
    </row>
    <row r="144" spans="3:4">
      <c r="D144" s="76"/>
    </row>
    <row r="145" spans="3:4">
      <c r="C145" s="386"/>
      <c r="D145" s="360"/>
    </row>
    <row r="146" spans="3:4">
      <c r="C146" s="90"/>
    </row>
  </sheetData>
  <mergeCells count="15">
    <mergeCell ref="L50:N50"/>
    <mergeCell ref="L62:N62"/>
    <mergeCell ref="L74:N74"/>
    <mergeCell ref="L86:N86"/>
    <mergeCell ref="P1:Y1"/>
    <mergeCell ref="E1:K1"/>
    <mergeCell ref="L24:N24"/>
    <mergeCell ref="N1:O1"/>
    <mergeCell ref="L1:M1"/>
    <mergeCell ref="L37:N37"/>
    <mergeCell ref="A1:A2"/>
    <mergeCell ref="B1:B2"/>
    <mergeCell ref="C1:C2"/>
    <mergeCell ref="D1:D2"/>
    <mergeCell ref="A14:D14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B31" sqref="B31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35" t="s">
        <v>19</v>
      </c>
      <c r="B1" s="737" t="s">
        <v>347</v>
      </c>
      <c r="C1" s="737" t="s">
        <v>85</v>
      </c>
      <c r="D1" s="739" t="s">
        <v>348</v>
      </c>
      <c r="E1" s="740"/>
      <c r="F1" s="740"/>
      <c r="G1" s="741" t="s">
        <v>320</v>
      </c>
      <c r="H1" s="742"/>
      <c r="I1" s="731" t="s">
        <v>321</v>
      </c>
      <c r="J1" s="731"/>
      <c r="K1" s="244"/>
      <c r="L1" s="245"/>
      <c r="M1" s="732" t="s">
        <v>349</v>
      </c>
      <c r="N1" s="732"/>
      <c r="O1" s="732"/>
      <c r="P1" s="245"/>
      <c r="Q1" s="732" t="s">
        <v>350</v>
      </c>
      <c r="R1" s="732"/>
      <c r="S1" s="732"/>
      <c r="T1" s="732"/>
      <c r="U1" s="246"/>
      <c r="V1" s="733" t="s">
        <v>320</v>
      </c>
      <c r="W1" s="733" t="s">
        <v>351</v>
      </c>
      <c r="X1" s="733" t="s">
        <v>352</v>
      </c>
      <c r="Y1" s="246"/>
      <c r="Z1" s="725" t="s">
        <v>353</v>
      </c>
      <c r="AA1" s="726"/>
      <c r="AB1" s="726"/>
      <c r="AC1" s="726"/>
      <c r="AD1" s="727"/>
    </row>
    <row r="2" spans="1:30" ht="12" thickBot="1">
      <c r="A2" s="736"/>
      <c r="B2" s="738"/>
      <c r="C2" s="738"/>
      <c r="D2" s="198" t="s">
        <v>325</v>
      </c>
      <c r="E2" s="198" t="s">
        <v>331</v>
      </c>
      <c r="F2" s="143" t="s">
        <v>332</v>
      </c>
      <c r="G2" s="199" t="s">
        <v>354</v>
      </c>
      <c r="H2" s="200" t="s">
        <v>355</v>
      </c>
      <c r="I2" s="199" t="s">
        <v>356</v>
      </c>
      <c r="J2" s="201" t="s">
        <v>357</v>
      </c>
      <c r="K2" s="247" t="s">
        <v>358</v>
      </c>
      <c r="L2" s="248"/>
      <c r="M2" s="249" t="s">
        <v>361</v>
      </c>
      <c r="N2" s="249" t="s">
        <v>359</v>
      </c>
      <c r="O2" s="249" t="s">
        <v>360</v>
      </c>
      <c r="P2" s="248"/>
      <c r="Q2" s="250" t="s">
        <v>361</v>
      </c>
      <c r="R2" s="251">
        <v>1.2999999999999999E-2</v>
      </c>
      <c r="S2" s="251">
        <v>6.4999999999999997E-3</v>
      </c>
      <c r="T2" s="252">
        <v>1.25E-3</v>
      </c>
      <c r="U2" s="253"/>
      <c r="V2" s="734"/>
      <c r="W2" s="734"/>
      <c r="X2" s="734"/>
      <c r="Y2" s="253"/>
      <c r="Z2" s="254" t="s">
        <v>361</v>
      </c>
      <c r="AA2" s="254" t="s">
        <v>359</v>
      </c>
      <c r="AB2" s="255" t="s">
        <v>360</v>
      </c>
      <c r="AC2" s="254" t="s">
        <v>351</v>
      </c>
      <c r="AD2" s="254" t="s">
        <v>352</v>
      </c>
    </row>
    <row r="3" spans="1:30" s="17" customFormat="1">
      <c r="A3" s="118" t="str">
        <f>'1-συμβολαια'!A3</f>
        <v>7ο</v>
      </c>
      <c r="B3" s="118" t="str">
        <f>'1-συμβολαια'!C3</f>
        <v>*γονική ΨΙΛΗΣ ΚΥΡΙΟΤΗΤΑΣ [αγροτεμάχιο ;;;??? Πρίνος -'';;;???'' 580μ2</v>
      </c>
      <c r="C3" s="202">
        <f>'1-συμβολαια'!D3</f>
        <v>1874.74</v>
      </c>
      <c r="D3" s="27">
        <f>'8-κ-15-17'!D3</f>
        <v>0</v>
      </c>
      <c r="E3" s="27">
        <f>'8-κ-15-17'!M3</f>
        <v>12.185810000000002</v>
      </c>
      <c r="F3" s="27">
        <f>'8-κ-15-17'!V3</f>
        <v>2.3434249999999999</v>
      </c>
      <c r="G3" s="27">
        <f>'2-δικαιώμ'!H3</f>
        <v>2.0247191999999998</v>
      </c>
      <c r="H3" s="27">
        <f>'2-δικαιώμ'!I3</f>
        <v>0.60000000000000009</v>
      </c>
      <c r="I3" s="27">
        <f>'2-δικαιώμ'!J3</f>
        <v>1.7248440000000003</v>
      </c>
      <c r="J3" s="27">
        <f>'2-δικαιώμ'!K3</f>
        <v>0.34496880000000008</v>
      </c>
      <c r="K3" s="147"/>
      <c r="L3" s="147"/>
      <c r="M3" s="34"/>
      <c r="N3" s="34"/>
      <c r="O3" s="34"/>
      <c r="P3" s="147"/>
      <c r="Q3" s="34"/>
      <c r="R3" s="34"/>
      <c r="S3" s="34"/>
      <c r="T3" s="34"/>
      <c r="U3" s="147"/>
      <c r="V3" s="34">
        <f>'2-δικαιώμ'!H3+'2-δικαιώμ'!I3</f>
        <v>2.6247191999999999</v>
      </c>
      <c r="W3" s="34">
        <f>'2-δικαιώμ'!J3</f>
        <v>1.7248440000000003</v>
      </c>
      <c r="X3" s="34">
        <f>'2-δικαιώμ'!K3</f>
        <v>0.34496880000000008</v>
      </c>
      <c r="Y3" s="147"/>
      <c r="Z3" s="34"/>
      <c r="AA3" s="34"/>
      <c r="AB3" s="34"/>
      <c r="AC3" s="34"/>
      <c r="AD3" s="34"/>
    </row>
    <row r="4" spans="1:30" s="17" customFormat="1">
      <c r="A4" s="118"/>
      <c r="B4" s="118" t="str">
        <f>'1-συμβολαια'!C4</f>
        <v>ΧΡΗΣΙΚΤΗΣΙΑ αγροτεμαχίου = 1961 μητρος ΔΩΡΕΑ άτυπη</v>
      </c>
      <c r="C4" s="202">
        <f>'1-συμβολαια'!D4</f>
        <v>1111</v>
      </c>
      <c r="D4" s="27">
        <f>'8-κ-15-17'!D4</f>
        <v>0</v>
      </c>
      <c r="E4" s="27">
        <f>'8-κ-15-17'!M4</f>
        <v>7.2215000000000007</v>
      </c>
      <c r="F4" s="27">
        <f>'8-κ-15-17'!V4</f>
        <v>1.3887499999999999</v>
      </c>
      <c r="G4" s="27">
        <f>'2-δικαιώμ'!H4</f>
        <v>1.1998800000000001</v>
      </c>
      <c r="H4" s="27">
        <f>'2-δικαιώμ'!I4</f>
        <v>0.60000000000000009</v>
      </c>
      <c r="I4" s="27">
        <f>'2-δικαιώμ'!J4</f>
        <v>1.2666000000000002</v>
      </c>
      <c r="J4" s="27">
        <f>'2-δικαιώμ'!K4</f>
        <v>0.25331999999999999</v>
      </c>
      <c r="K4" s="147"/>
      <c r="L4" s="147"/>
      <c r="M4" s="34"/>
      <c r="N4" s="34"/>
      <c r="O4" s="34"/>
      <c r="P4" s="147"/>
      <c r="Q4" s="34"/>
      <c r="R4" s="34"/>
      <c r="S4" s="34"/>
      <c r="T4" s="34"/>
      <c r="U4" s="147"/>
      <c r="V4" s="34">
        <f>'2-δικαιώμ'!H4+'2-δικαιώμ'!I4</f>
        <v>1.7998800000000001</v>
      </c>
      <c r="W4" s="34">
        <f>'2-δικαιώμ'!J4</f>
        <v>1.2666000000000002</v>
      </c>
      <c r="X4" s="34">
        <f>'2-δικαιώμ'!K4</f>
        <v>0.25331999999999999</v>
      </c>
      <c r="Y4" s="147"/>
      <c r="Z4" s="34"/>
      <c r="AA4" s="34"/>
      <c r="AB4" s="34"/>
      <c r="AC4" s="34"/>
      <c r="AD4" s="34"/>
    </row>
    <row r="5" spans="1:30" s="17" customFormat="1">
      <c r="A5" s="118" t="str">
        <f>'1-συμβολαια'!A5</f>
        <v>8ο</v>
      </c>
      <c r="B5" s="118" t="str">
        <f>'1-συμβολαια'!C5</f>
        <v>κληρονομιάς ΑΠΟΔΟΧΗ</v>
      </c>
      <c r="C5" s="202">
        <f>'1-συμβολαια'!D5</f>
        <v>0</v>
      </c>
      <c r="D5" s="27">
        <f>'8-κ-15-17'!D5</f>
        <v>0</v>
      </c>
      <c r="E5" s="27">
        <f>'8-κ-15-17'!M5</f>
        <v>0</v>
      </c>
      <c r="F5" s="27">
        <f>'8-κ-15-17'!V5</f>
        <v>0</v>
      </c>
      <c r="G5" s="27">
        <f>'2-δικαιώμ'!H5</f>
        <v>0</v>
      </c>
      <c r="H5" s="27">
        <f>'2-δικαιώμ'!I5</f>
        <v>1.8350000000000002</v>
      </c>
      <c r="I5" s="27">
        <f>'2-δικαιώμ'!J5</f>
        <v>1.8350000000000002</v>
      </c>
      <c r="J5" s="27">
        <f>'2-δικαιώμ'!K5</f>
        <v>0.36700000000000005</v>
      </c>
      <c r="K5" s="147"/>
      <c r="L5" s="147"/>
      <c r="M5" s="34"/>
      <c r="N5" s="34"/>
      <c r="O5" s="34"/>
      <c r="P5" s="147"/>
      <c r="Q5" s="34"/>
      <c r="R5" s="34"/>
      <c r="S5" s="34"/>
      <c r="T5" s="34"/>
      <c r="U5" s="147"/>
      <c r="V5" s="34">
        <f>'2-δικαιώμ'!H5+'2-δικαιώμ'!I5</f>
        <v>1.8350000000000002</v>
      </c>
      <c r="W5" s="34">
        <f>'2-δικαιώμ'!J5</f>
        <v>1.8350000000000002</v>
      </c>
      <c r="X5" s="34">
        <f>'2-δικαιώμ'!K5</f>
        <v>0.36700000000000005</v>
      </c>
      <c r="Y5" s="147"/>
      <c r="Z5" s="34"/>
      <c r="AA5" s="34"/>
      <c r="AB5" s="34"/>
      <c r="AC5" s="34"/>
      <c r="AD5" s="34"/>
    </row>
    <row r="6" spans="1:30" s="17" customFormat="1">
      <c r="A6" s="118"/>
      <c r="B6" s="118" t="str">
        <f>'1-συμβολαια'!C6</f>
        <v>διανομή [ = 2/8 μήτηρ &amp; από 3/8 τέκνα</v>
      </c>
      <c r="C6" s="202">
        <f>'1-συμβολαια'!D6</f>
        <v>28896.59</v>
      </c>
      <c r="D6" s="27">
        <f>'8-κ-15-17'!D6</f>
        <v>0</v>
      </c>
      <c r="E6" s="27">
        <f>'8-κ-15-17'!M6</f>
        <v>0</v>
      </c>
      <c r="F6" s="27">
        <f>'8-κ-15-17'!V6</f>
        <v>0</v>
      </c>
      <c r="G6" s="27">
        <f>'2-δικαιώμ'!H6</f>
        <v>31.208317199999996</v>
      </c>
      <c r="H6" s="27">
        <f>'2-δικαιώμ'!I6</f>
        <v>0.60000000000000009</v>
      </c>
      <c r="I6" s="27">
        <f>'2-δικαιώμ'!J6</f>
        <v>17.937954000000001</v>
      </c>
      <c r="J6" s="27">
        <f>'2-δικαιώμ'!K6</f>
        <v>3.5875908000000001</v>
      </c>
      <c r="K6" s="147"/>
      <c r="L6" s="147"/>
      <c r="M6" s="34"/>
      <c r="N6" s="34"/>
      <c r="O6" s="34"/>
      <c r="P6" s="147"/>
      <c r="Q6" s="34"/>
      <c r="R6" s="34"/>
      <c r="S6" s="34"/>
      <c r="T6" s="34"/>
      <c r="U6" s="147"/>
      <c r="V6" s="34">
        <f>'2-δικαιώμ'!H6+'2-δικαιώμ'!I6</f>
        <v>31.808317199999998</v>
      </c>
      <c r="W6" s="34">
        <f>'2-δικαιώμ'!J6</f>
        <v>17.937954000000001</v>
      </c>
      <c r="X6" s="34">
        <f>'2-δικαιώμ'!K6</f>
        <v>3.5875908000000001</v>
      </c>
      <c r="Y6" s="147"/>
      <c r="Z6" s="34"/>
      <c r="AA6" s="34"/>
      <c r="AB6" s="34"/>
      <c r="AC6" s="34"/>
      <c r="AD6" s="34"/>
    </row>
    <row r="7" spans="1:30" s="17" customFormat="1">
      <c r="A7" s="118"/>
      <c r="B7" s="118" t="str">
        <f>'1-συμβολαια'!C7</f>
        <v>εξισορρόπηση διαφοράς διανεμομένων μεριδίων</v>
      </c>
      <c r="C7" s="202">
        <f>'1-συμβολαια'!D7</f>
        <v>666.66</v>
      </c>
      <c r="D7" s="27">
        <f>'8-κ-15-17'!D7</f>
        <v>8.6665799999999997</v>
      </c>
      <c r="E7" s="27">
        <f>'8-κ-15-17'!M7</f>
        <v>0</v>
      </c>
      <c r="F7" s="27">
        <f>'8-κ-15-17'!V7</f>
        <v>0</v>
      </c>
      <c r="G7" s="27">
        <f>'2-δικαιώμ'!H7</f>
        <v>0.71999279999999988</v>
      </c>
      <c r="H7" s="27">
        <f>'2-δικαιώμ'!I7</f>
        <v>0.60000000000000009</v>
      </c>
      <c r="I7" s="27">
        <f>'2-δικαιώμ'!J7</f>
        <v>0.999996</v>
      </c>
      <c r="J7" s="27">
        <f>'2-δικαιώμ'!K7</f>
        <v>0.19999919999999999</v>
      </c>
      <c r="K7" s="147"/>
      <c r="L7" s="147"/>
      <c r="M7" s="34"/>
      <c r="N7" s="34"/>
      <c r="O7" s="34"/>
      <c r="P7" s="147"/>
      <c r="Q7" s="34"/>
      <c r="R7" s="34"/>
      <c r="S7" s="34"/>
      <c r="T7" s="34"/>
      <c r="U7" s="147"/>
      <c r="V7" s="34">
        <f>'2-δικαιώμ'!H7+'2-δικαιώμ'!I7</f>
        <v>1.3199928000000001</v>
      </c>
      <c r="W7" s="34">
        <f>'2-δικαιώμ'!J7</f>
        <v>0.999996</v>
      </c>
      <c r="X7" s="34">
        <f>'2-δικαιώμ'!K7</f>
        <v>0.19999919999999999</v>
      </c>
      <c r="Y7" s="147"/>
      <c r="Z7" s="34"/>
      <c r="AA7" s="34"/>
      <c r="AB7" s="34"/>
      <c r="AC7" s="34"/>
      <c r="AD7" s="34"/>
    </row>
    <row r="8" spans="1:30" s="17" customFormat="1">
      <c r="A8" s="118"/>
      <c r="B8" s="118" t="str">
        <f>'1-συμβολαια'!C8</f>
        <v>χρησικτησία αγροτεμάχιο 1' = 1968 ΑΝΑΔΑΣΜΟΣ</v>
      </c>
      <c r="C8" s="202">
        <f>'1-συμβολαια'!D8</f>
        <v>333.33</v>
      </c>
      <c r="D8" s="27">
        <f>'8-κ-15-17'!D8</f>
        <v>0</v>
      </c>
      <c r="E8" s="27">
        <f>'8-κ-15-17'!M8</f>
        <v>2.1666449999999999</v>
      </c>
      <c r="F8" s="27">
        <f>'8-κ-15-17'!V8</f>
        <v>0.41666249999999999</v>
      </c>
      <c r="G8" s="27">
        <f>'2-δικαιώμ'!H8</f>
        <v>0.35999639999999994</v>
      </c>
      <c r="H8" s="27">
        <f>'2-δικαιώμ'!I8</f>
        <v>0.60000000000000009</v>
      </c>
      <c r="I8" s="27">
        <f>'2-δικαιώμ'!J8</f>
        <v>0.79999799999999999</v>
      </c>
      <c r="J8" s="27">
        <f>'2-δικαιώμ'!K8</f>
        <v>0.15999959999999999</v>
      </c>
      <c r="K8" s="147"/>
      <c r="L8" s="147"/>
      <c r="M8" s="34"/>
      <c r="N8" s="34"/>
      <c r="O8" s="34"/>
      <c r="P8" s="147"/>
      <c r="Q8" s="34"/>
      <c r="R8" s="34"/>
      <c r="S8" s="34"/>
      <c r="T8" s="34"/>
      <c r="U8" s="147"/>
      <c r="V8" s="34">
        <f>'2-δικαιώμ'!H8+'2-δικαιώμ'!I8</f>
        <v>0.95999640000000008</v>
      </c>
      <c r="W8" s="34">
        <f>'2-δικαιώμ'!J8</f>
        <v>0.79999799999999999</v>
      </c>
      <c r="X8" s="34">
        <f>'2-δικαιώμ'!K8</f>
        <v>0.15999959999999999</v>
      </c>
      <c r="Y8" s="147"/>
      <c r="Z8" s="34"/>
      <c r="AA8" s="34"/>
      <c r="AB8" s="34"/>
      <c r="AC8" s="34"/>
      <c r="AD8" s="34"/>
    </row>
    <row r="9" spans="1:30" s="17" customFormat="1">
      <c r="A9" s="118"/>
      <c r="B9" s="118" t="str">
        <f>'1-συμβολαια'!C9</f>
        <v xml:space="preserve">χρησικτησία αγροτεμαχίων 2' έως 10' = 1961 πατρός ΔΩΡΕΑ άτυπος </v>
      </c>
      <c r="C9" s="202">
        <f>'1-συμβολαια'!D9</f>
        <v>2222.2199999999998</v>
      </c>
      <c r="D9" s="27">
        <f>'8-κ-15-17'!D9</f>
        <v>0</v>
      </c>
      <c r="E9" s="27">
        <f>'8-κ-15-17'!M9</f>
        <v>14.444430000000001</v>
      </c>
      <c r="F9" s="27">
        <f>'8-κ-15-17'!V9</f>
        <v>2.7777749999999997</v>
      </c>
      <c r="G9" s="27">
        <f>'2-δικαιώμ'!H9</f>
        <v>2.3999975999999998</v>
      </c>
      <c r="H9" s="27">
        <f>'2-δικαιώμ'!I9</f>
        <v>0.60000000000000009</v>
      </c>
      <c r="I9" s="27">
        <f>'2-δικαιώμ'!J9</f>
        <v>1.9333320000000001</v>
      </c>
      <c r="J9" s="27">
        <f>'2-δικαιώμ'!K9</f>
        <v>0.38666640000000002</v>
      </c>
      <c r="K9" s="147"/>
      <c r="L9" s="147"/>
      <c r="M9" s="34"/>
      <c r="N9" s="34"/>
      <c r="O9" s="34"/>
      <c r="P9" s="147"/>
      <c r="Q9" s="34"/>
      <c r="R9" s="34"/>
      <c r="S9" s="34"/>
      <c r="T9" s="34"/>
      <c r="U9" s="147"/>
      <c r="V9" s="34">
        <f>'2-δικαιώμ'!H9+'2-δικαιώμ'!I9</f>
        <v>2.9999975999999999</v>
      </c>
      <c r="W9" s="34">
        <f>'2-δικαιώμ'!J9</f>
        <v>1.9333320000000001</v>
      </c>
      <c r="X9" s="34">
        <f>'2-δικαιώμ'!K9</f>
        <v>0.38666640000000002</v>
      </c>
      <c r="Y9" s="147"/>
      <c r="Z9" s="34"/>
      <c r="AA9" s="34"/>
      <c r="AB9" s="34"/>
      <c r="AC9" s="34"/>
      <c r="AD9" s="34"/>
    </row>
    <row r="10" spans="1:30" s="17" customFormat="1">
      <c r="A10" s="118" t="str">
        <f>'1-συμβολαια'!A10</f>
        <v>9ο</v>
      </c>
      <c r="B10" s="118" t="str">
        <f>'1-συμβολαια'!C10</f>
        <v>γονική</v>
      </c>
      <c r="C10" s="202">
        <f>'1-συμβολαια'!D10</f>
        <v>1292.5</v>
      </c>
      <c r="D10" s="27">
        <f>'8-κ-15-17'!D10</f>
        <v>0</v>
      </c>
      <c r="E10" s="27">
        <f>'8-κ-15-17'!M10</f>
        <v>8.401250000000001</v>
      </c>
      <c r="F10" s="27">
        <f>'8-κ-15-17'!V10</f>
        <v>1.6156250000000001</v>
      </c>
      <c r="G10" s="27">
        <f>'2-δικαιώμ'!H10</f>
        <v>1.3958999999999999</v>
      </c>
      <c r="H10" s="27">
        <f>'2-δικαιώμ'!I10</f>
        <v>0.60000000000000009</v>
      </c>
      <c r="I10" s="27">
        <f>'2-δικαιώμ'!J10</f>
        <v>1.3754999999999999</v>
      </c>
      <c r="J10" s="27">
        <f>'2-δικαιώμ'!K10</f>
        <v>0.27510000000000001</v>
      </c>
      <c r="K10" s="147"/>
      <c r="L10" s="147"/>
      <c r="M10" s="34"/>
      <c r="N10" s="34"/>
      <c r="O10" s="34"/>
      <c r="P10" s="147"/>
      <c r="Q10" s="34"/>
      <c r="R10" s="34"/>
      <c r="S10" s="34"/>
      <c r="T10" s="34"/>
      <c r="U10" s="147"/>
      <c r="V10" s="34">
        <f>'2-δικαιώμ'!H10+'2-δικαιώμ'!I10</f>
        <v>1.9959</v>
      </c>
      <c r="W10" s="34">
        <f>'2-δικαιώμ'!J10</f>
        <v>1.3754999999999999</v>
      </c>
      <c r="X10" s="34">
        <f>'2-δικαιώμ'!K10</f>
        <v>0.27510000000000001</v>
      </c>
      <c r="Y10" s="147"/>
      <c r="Z10" s="34"/>
      <c r="AA10" s="34"/>
      <c r="AB10" s="34"/>
      <c r="AC10" s="34"/>
      <c r="AD10" s="34"/>
    </row>
    <row r="11" spans="1:30" s="17" customFormat="1">
      <c r="A11" s="118" t="str">
        <f>'1-συμβολαια'!A11</f>
        <v>10ο</v>
      </c>
      <c r="B11" s="118" t="str">
        <f>'1-συμβολαια'!C11</f>
        <v>δωρεά</v>
      </c>
      <c r="C11" s="202">
        <f>'1-συμβολαια'!D11</f>
        <v>1938.73</v>
      </c>
      <c r="D11" s="27">
        <f>'8-κ-15-17'!D11</f>
        <v>0</v>
      </c>
      <c r="E11" s="27">
        <f>'8-κ-15-17'!M11</f>
        <v>12.601745000000001</v>
      </c>
      <c r="F11" s="27">
        <f>'8-κ-15-17'!V11</f>
        <v>2.4234125</v>
      </c>
      <c r="G11" s="27">
        <f>'2-δικαιώμ'!H11</f>
        <v>2.0938284</v>
      </c>
      <c r="H11" s="27">
        <f>'2-δικαιώμ'!I11</f>
        <v>0.60000000000000009</v>
      </c>
      <c r="I11" s="27">
        <f>'2-δικαιώμ'!J11</f>
        <v>1.7632379999999999</v>
      </c>
      <c r="J11" s="27">
        <f>'2-δικαιώμ'!K11</f>
        <v>0.35264759999999995</v>
      </c>
      <c r="K11" s="147"/>
      <c r="L11" s="147"/>
      <c r="M11" s="34"/>
      <c r="N11" s="34"/>
      <c r="O11" s="34"/>
      <c r="P11" s="147"/>
      <c r="Q11" s="34"/>
      <c r="R11" s="34"/>
      <c r="S11" s="34"/>
      <c r="T11" s="34"/>
      <c r="U11" s="147"/>
      <c r="V11" s="34">
        <f>'2-δικαιώμ'!H11+'2-δικαιώμ'!I11</f>
        <v>2.6938284000000001</v>
      </c>
      <c r="W11" s="34">
        <f>'2-δικαιώμ'!J11</f>
        <v>1.7632379999999999</v>
      </c>
      <c r="X11" s="34">
        <f>'2-δικαιώμ'!K11</f>
        <v>0.35264759999999995</v>
      </c>
      <c r="Y11" s="147"/>
      <c r="Z11" s="34"/>
      <c r="AA11" s="34"/>
      <c r="AB11" s="34"/>
      <c r="AC11" s="34"/>
      <c r="AD11" s="34"/>
    </row>
    <row r="12" spans="1:30" s="17" customFormat="1">
      <c r="A12" s="118" t="str">
        <f>'1-συμβολαια'!A12</f>
        <v>11ο</v>
      </c>
      <c r="B12" s="118" t="str">
        <f>'1-συμβολαια'!C12</f>
        <v>γονική</v>
      </c>
      <c r="C12" s="202">
        <f>'1-συμβολαια'!D12</f>
        <v>8416.32</v>
      </c>
      <c r="D12" s="27">
        <f>'8-κ-15-17'!D12</f>
        <v>0</v>
      </c>
      <c r="E12" s="27">
        <f>'8-κ-15-17'!M12</f>
        <v>54.70608</v>
      </c>
      <c r="F12" s="27">
        <f>'8-κ-15-17'!V12</f>
        <v>10.5204</v>
      </c>
      <c r="G12" s="27">
        <f>'2-δικαιώμ'!H12</f>
        <v>9.0896255999999997</v>
      </c>
      <c r="H12" s="27">
        <f>'2-δικαιώμ'!I12</f>
        <v>0.60000000000000009</v>
      </c>
      <c r="I12" s="27">
        <f>'2-δικαιώμ'!J12</f>
        <v>5.6497920000000006</v>
      </c>
      <c r="J12" s="27">
        <f>'2-δικαιώμ'!K12</f>
        <v>1.1299584</v>
      </c>
      <c r="K12" s="147"/>
      <c r="L12" s="147"/>
      <c r="M12" s="34"/>
      <c r="N12" s="34"/>
      <c r="O12" s="34"/>
      <c r="P12" s="147"/>
      <c r="Q12" s="34"/>
      <c r="R12" s="34"/>
      <c r="S12" s="34"/>
      <c r="T12" s="34"/>
      <c r="U12" s="147"/>
      <c r="V12" s="34">
        <f>'2-δικαιώμ'!H12+'2-δικαιώμ'!I12</f>
        <v>9.6896255999999994</v>
      </c>
      <c r="W12" s="34">
        <f>'2-δικαιώμ'!J12</f>
        <v>5.6497920000000006</v>
      </c>
      <c r="X12" s="34">
        <f>'2-δικαιώμ'!K12</f>
        <v>1.1299584</v>
      </c>
      <c r="Y12" s="147"/>
      <c r="Z12" s="34"/>
      <c r="AA12" s="34"/>
      <c r="AB12" s="34"/>
      <c r="AC12" s="34"/>
      <c r="AD12" s="34"/>
    </row>
    <row r="13" spans="1:30" s="17" customFormat="1">
      <c r="A13" s="118" t="str">
        <f>'1-συμβολαια'!A13</f>
        <v>12ο</v>
      </c>
      <c r="B13" s="118" t="str">
        <f>'1-συμβολαια'!C13</f>
        <v>δωρεά</v>
      </c>
      <c r="C13" s="202">
        <f>'1-συμβολαια'!D13</f>
        <v>12624.63</v>
      </c>
      <c r="D13" s="27">
        <f>'8-κ-15-17'!D13</f>
        <v>0</v>
      </c>
      <c r="E13" s="27">
        <f>'8-κ-15-17'!M13</f>
        <v>82.060095000000004</v>
      </c>
      <c r="F13" s="27">
        <f>'8-κ-15-17'!V13</f>
        <v>15.780787499999999</v>
      </c>
      <c r="G13" s="27">
        <f>'2-δικαιώμ'!H13</f>
        <v>13.634600399999998</v>
      </c>
      <c r="H13" s="27">
        <f>'2-δικαιώμ'!I13</f>
        <v>0.60000000000000009</v>
      </c>
      <c r="I13" s="27">
        <f>'2-δικαιώμ'!J13</f>
        <v>8.1747779999999999</v>
      </c>
      <c r="J13" s="27">
        <f>'2-δικαιώμ'!K13</f>
        <v>1.6349555999999998</v>
      </c>
      <c r="K13" s="147"/>
      <c r="L13" s="147"/>
      <c r="M13" s="34"/>
      <c r="N13" s="34"/>
      <c r="O13" s="34"/>
      <c r="P13" s="147"/>
      <c r="Q13" s="34"/>
      <c r="R13" s="34"/>
      <c r="S13" s="34"/>
      <c r="T13" s="34"/>
      <c r="U13" s="147"/>
      <c r="V13" s="34">
        <f>'2-δικαιώμ'!H13+'2-δικαιώμ'!I13</f>
        <v>14.234600399999998</v>
      </c>
      <c r="W13" s="34">
        <f>'2-δικαιώμ'!J13</f>
        <v>8.1747779999999999</v>
      </c>
      <c r="X13" s="34">
        <f>'2-δικαιώμ'!K13</f>
        <v>1.6349555999999998</v>
      </c>
      <c r="Y13" s="147"/>
      <c r="Z13" s="34"/>
      <c r="AA13" s="34"/>
      <c r="AB13" s="34"/>
      <c r="AC13" s="34"/>
      <c r="AD13" s="34"/>
    </row>
    <row r="14" spans="1:30">
      <c r="A14" s="728" t="str">
        <f>'1-συμβολαια'!A14</f>
        <v>σύνολο</v>
      </c>
      <c r="B14" s="729"/>
      <c r="C14" s="730"/>
      <c r="D14" s="299">
        <f t="shared" ref="D14:J14" si="0">SUM(D3:D13)</f>
        <v>8.6665799999999997</v>
      </c>
      <c r="E14" s="299">
        <f t="shared" si="0"/>
        <v>193.787555</v>
      </c>
      <c r="F14" s="299">
        <f t="shared" si="0"/>
        <v>37.266837499999994</v>
      </c>
      <c r="G14" s="299">
        <f t="shared" si="0"/>
        <v>64.126857599999994</v>
      </c>
      <c r="H14" s="299">
        <f t="shared" si="0"/>
        <v>7.8349999999999991</v>
      </c>
      <c r="I14" s="299">
        <f t="shared" si="0"/>
        <v>43.461032000000003</v>
      </c>
      <c r="J14" s="299">
        <f t="shared" si="0"/>
        <v>8.6922063999999999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7" spans="2:12">
      <c r="B17" s="90"/>
      <c r="D17" s="2"/>
      <c r="E17" s="2"/>
      <c r="F17" s="2"/>
      <c r="G17" s="2"/>
      <c r="H17" s="2"/>
      <c r="I17" s="2"/>
      <c r="J17" s="2"/>
    </row>
    <row r="18" spans="2:12" ht="15.75">
      <c r="B18" s="209" t="s">
        <v>380</v>
      </c>
      <c r="D18" s="2"/>
      <c r="E18" s="2"/>
      <c r="F18" s="2"/>
      <c r="G18" s="134"/>
      <c r="H18" s="282">
        <v>0.15</v>
      </c>
      <c r="I18" s="283">
        <v>2.93</v>
      </c>
      <c r="J18" s="5" t="s">
        <v>384</v>
      </c>
      <c r="L18" s="284">
        <f>I18-H18</f>
        <v>2.7800000000000002</v>
      </c>
    </row>
    <row r="19" spans="2:12" ht="12.75">
      <c r="B19" s="210" t="s">
        <v>381</v>
      </c>
      <c r="D19" s="2"/>
      <c r="E19" s="2"/>
      <c r="F19" s="2"/>
      <c r="G19" s="2"/>
      <c r="H19" s="166">
        <v>0.44</v>
      </c>
      <c r="I19" s="280">
        <v>0.56000000000000005</v>
      </c>
      <c r="J19" s="3" t="s">
        <v>385</v>
      </c>
      <c r="L19" s="284">
        <f>I19-H19</f>
        <v>0.12000000000000005</v>
      </c>
    </row>
    <row r="20" spans="2:12" ht="15.75">
      <c r="B20" s="224" t="s">
        <v>382</v>
      </c>
      <c r="D20" s="2"/>
      <c r="E20" s="2"/>
      <c r="F20" s="2"/>
      <c r="G20" s="291">
        <v>0.05</v>
      </c>
      <c r="H20" s="8"/>
      <c r="I20" s="4">
        <v>0.73</v>
      </c>
      <c r="J20" s="5" t="s">
        <v>133</v>
      </c>
      <c r="L20" s="5"/>
    </row>
    <row r="21" spans="2:12">
      <c r="B21" s="90"/>
      <c r="D21" s="2"/>
      <c r="E21" s="2"/>
      <c r="F21" s="2"/>
      <c r="G21" s="291">
        <v>0.05</v>
      </c>
      <c r="H21" s="8"/>
      <c r="I21" s="4">
        <v>1.47</v>
      </c>
      <c r="J21" s="3" t="s">
        <v>386</v>
      </c>
    </row>
    <row r="22" spans="2:12">
      <c r="B22" s="90"/>
      <c r="D22" s="2"/>
      <c r="E22" s="2"/>
      <c r="F22" s="2"/>
      <c r="G22" s="291">
        <v>0.05</v>
      </c>
      <c r="H22" s="8"/>
      <c r="I22" s="4">
        <v>3.99</v>
      </c>
      <c r="J22" s="5" t="s">
        <v>387</v>
      </c>
      <c r="K22" s="5"/>
      <c r="L22" s="5"/>
    </row>
    <row r="23" spans="2:12">
      <c r="B23" s="90"/>
      <c r="D23" s="2"/>
      <c r="E23" s="2"/>
      <c r="F23" s="2"/>
      <c r="G23" s="291">
        <v>0.05</v>
      </c>
      <c r="H23" s="8"/>
      <c r="I23" s="4"/>
      <c r="J23" s="5" t="s">
        <v>437</v>
      </c>
      <c r="K23" s="5"/>
      <c r="L23" s="5"/>
    </row>
    <row r="24" spans="2:12">
      <c r="B24" s="90"/>
      <c r="D24" s="2"/>
      <c r="E24" s="2"/>
      <c r="F24" s="2"/>
      <c r="G24" s="291">
        <v>0.05</v>
      </c>
      <c r="H24" s="8"/>
      <c r="I24" s="4"/>
      <c r="J24" s="5" t="s">
        <v>438</v>
      </c>
      <c r="K24" s="5"/>
      <c r="L24" s="5"/>
    </row>
    <row r="25" spans="2:12">
      <c r="B25" s="90"/>
      <c r="D25" s="2"/>
      <c r="E25" s="2"/>
      <c r="F25" s="2"/>
      <c r="G25" s="291"/>
      <c r="H25" s="8"/>
      <c r="I25" s="4"/>
      <c r="J25" s="5"/>
      <c r="K25" s="5"/>
      <c r="L25" s="5"/>
    </row>
    <row r="26" spans="2:12">
      <c r="B26" s="90"/>
      <c r="D26" s="2"/>
      <c r="E26" s="2"/>
      <c r="F26" s="2"/>
      <c r="G26" s="2"/>
      <c r="H26" s="5" t="s">
        <v>439</v>
      </c>
      <c r="I26" s="5"/>
      <c r="J26" s="5" t="s">
        <v>133</v>
      </c>
      <c r="K26" s="5"/>
      <c r="L26" s="5"/>
    </row>
    <row r="27" spans="2:12">
      <c r="G27" s="2"/>
      <c r="H27" s="5" t="s">
        <v>440</v>
      </c>
      <c r="I27" s="5"/>
      <c r="J27" s="5" t="s">
        <v>134</v>
      </c>
      <c r="K27" s="5"/>
      <c r="L27" s="5"/>
    </row>
    <row r="28" spans="2:12">
      <c r="G28" s="2"/>
      <c r="H28" s="5" t="s">
        <v>441</v>
      </c>
      <c r="I28" s="5"/>
      <c r="J28" s="5" t="s">
        <v>135</v>
      </c>
      <c r="K28" s="5"/>
      <c r="L28" s="5"/>
    </row>
    <row r="29" spans="2:12" ht="15">
      <c r="G29" s="2"/>
      <c r="H29" s="4">
        <v>2.2000000000000002</v>
      </c>
      <c r="I29" s="296"/>
      <c r="J29" s="5" t="s">
        <v>388</v>
      </c>
      <c r="K29" s="5"/>
      <c r="L29" s="5"/>
    </row>
    <row r="30" spans="2:12" ht="15">
      <c r="G30" s="2"/>
      <c r="H30" s="2">
        <v>2.93</v>
      </c>
      <c r="I30" s="297"/>
      <c r="J30" s="3" t="s">
        <v>389</v>
      </c>
      <c r="K30" s="5"/>
      <c r="L30" s="5"/>
    </row>
  </sheetData>
  <mergeCells count="13">
    <mergeCell ref="Z1:AD1"/>
    <mergeCell ref="A14:C1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23"/>
  <sheetViews>
    <sheetView workbookViewId="0">
      <pane ySplit="2" topLeftCell="A3" activePane="bottomLeft" state="frozen"/>
      <selection pane="bottomLeft" activeCell="G21" sqref="G21"/>
    </sheetView>
  </sheetViews>
  <sheetFormatPr defaultRowHeight="11.25"/>
  <cols>
    <col min="1" max="1" width="10.42578125" style="8" bestFit="1" customWidth="1"/>
    <col min="2" max="2" width="88.85546875" style="90" customWidth="1"/>
    <col min="3" max="3" width="11.5703125" style="8" customWidth="1"/>
    <col min="4" max="4" width="8.140625" style="2" customWidth="1"/>
    <col min="5" max="5" width="13.140625" style="2" customWidth="1"/>
    <col min="6" max="6" width="8.140625" style="2" customWidth="1"/>
    <col min="7" max="7" width="9.140625" style="2" customWidth="1"/>
    <col min="8" max="8" width="9.7109375" style="2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618" t="s">
        <v>1</v>
      </c>
      <c r="B1" s="620" t="s">
        <v>0</v>
      </c>
      <c r="C1" s="657" t="s">
        <v>7</v>
      </c>
      <c r="D1" s="748" t="s">
        <v>45</v>
      </c>
      <c r="E1" s="749"/>
      <c r="F1" s="750" t="s">
        <v>396</v>
      </c>
      <c r="G1" s="751"/>
      <c r="H1" s="746" t="s">
        <v>57</v>
      </c>
      <c r="I1" s="743" t="s">
        <v>29</v>
      </c>
      <c r="J1" s="744"/>
      <c r="K1" s="745"/>
    </row>
    <row r="2" spans="1:17" ht="12.75" thickBot="1">
      <c r="A2" s="619"/>
      <c r="B2" s="621"/>
      <c r="C2" s="658"/>
      <c r="D2" s="222" t="s">
        <v>319</v>
      </c>
      <c r="E2" s="226" t="s">
        <v>90</v>
      </c>
      <c r="F2" s="225" t="s">
        <v>319</v>
      </c>
      <c r="G2" s="223" t="s">
        <v>33</v>
      </c>
      <c r="H2" s="747"/>
      <c r="I2" s="648"/>
      <c r="J2" s="614"/>
      <c r="K2" s="615"/>
    </row>
    <row r="3" spans="1:17" s="415" customFormat="1" ht="14.25">
      <c r="A3" s="581" t="str">
        <f>'1-συμβολαια'!A3</f>
        <v>7ο</v>
      </c>
      <c r="B3" s="411" t="str">
        <f>'1-συμβολαια'!C3</f>
        <v>*γονική ΨΙΛΗΣ ΚΥΡΙΟΤΗΤΑΣ [αγροτεμάχιο ;;;??? Πρίνος -'';;;???'' 580μ2</v>
      </c>
      <c r="C3" s="412">
        <f>'1-συμβολαια'!D3</f>
        <v>1874.74</v>
      </c>
      <c r="D3" s="416"/>
      <c r="E3" s="416"/>
      <c r="F3" s="413">
        <v>3</v>
      </c>
      <c r="G3" s="414"/>
      <c r="H3" s="414"/>
      <c r="I3" s="317"/>
      <c r="J3" s="317"/>
      <c r="K3" s="73"/>
    </row>
    <row r="4" spans="1:17" s="415" customFormat="1" ht="15" thickBot="1">
      <c r="A4" s="534">
        <f>'1-συμβολαια'!A4</f>
        <v>0</v>
      </c>
      <c r="B4" s="527" t="str">
        <f>'1-συμβολαια'!C4</f>
        <v>ΧΡΗΣΙΚΤΗΣΙΑ αγροτεμαχίου = 1961 μητρος ΔΩΡΕΑ άτυπη</v>
      </c>
      <c r="C4" s="528">
        <f>'1-συμβολαια'!D4</f>
        <v>1111</v>
      </c>
      <c r="D4" s="529"/>
      <c r="E4" s="529"/>
      <c r="F4" s="529"/>
      <c r="G4" s="530"/>
      <c r="H4" s="530">
        <v>3</v>
      </c>
      <c r="I4" s="531" t="s">
        <v>137</v>
      </c>
      <c r="J4" s="531" t="s">
        <v>132</v>
      </c>
      <c r="K4" s="446"/>
    </row>
    <row r="5" spans="1:17" s="415" customFormat="1" ht="14.25">
      <c r="A5" s="522" t="str">
        <f>'1-συμβολαια'!A5</f>
        <v>8ο</v>
      </c>
      <c r="B5" s="523" t="str">
        <f>'1-συμβολαια'!C5</f>
        <v>κληρονομιάς ΑΠΟΔΟΧΗ</v>
      </c>
      <c r="C5" s="412">
        <f>'1-συμβολαια'!D5</f>
        <v>0</v>
      </c>
      <c r="D5" s="524"/>
      <c r="E5" s="525"/>
      <c r="F5" s="414">
        <v>0.5</v>
      </c>
      <c r="G5" s="414"/>
      <c r="H5" s="414">
        <v>0.5</v>
      </c>
      <c r="I5" s="317" t="s">
        <v>137</v>
      </c>
      <c r="J5" s="317" t="s">
        <v>132</v>
      </c>
      <c r="K5" s="445"/>
    </row>
    <row r="6" spans="1:17" s="415" customFormat="1" ht="14.25">
      <c r="A6" s="521">
        <f>'1-συμβολαια'!A6</f>
        <v>0</v>
      </c>
      <c r="B6" s="411" t="str">
        <f>'1-συμβολαια'!C6</f>
        <v>διανομή [ = 2/8 μήτηρ &amp; από 3/8 τέκνα</v>
      </c>
      <c r="C6" s="434">
        <f>'1-συμβολαια'!D6</f>
        <v>28896.59</v>
      </c>
      <c r="D6" s="435"/>
      <c r="E6" s="416"/>
      <c r="F6" s="416"/>
      <c r="G6" s="413"/>
      <c r="H6" s="413">
        <v>3</v>
      </c>
      <c r="I6" s="317" t="s">
        <v>137</v>
      </c>
      <c r="J6" s="317" t="s">
        <v>132</v>
      </c>
      <c r="K6" s="73"/>
    </row>
    <row r="7" spans="1:17" s="415" customFormat="1" ht="14.25">
      <c r="A7" s="521">
        <f>'1-συμβολαια'!A7</f>
        <v>0</v>
      </c>
      <c r="B7" s="411" t="str">
        <f>'1-συμβολαια'!C7</f>
        <v>εξισορρόπηση διαφοράς διανεμομένων μεριδίων</v>
      </c>
      <c r="C7" s="434">
        <f>'1-συμβολαια'!D7</f>
        <v>666.66</v>
      </c>
      <c r="D7" s="435"/>
      <c r="E7" s="416"/>
      <c r="F7" s="416"/>
      <c r="G7" s="413"/>
      <c r="H7" s="413">
        <v>3</v>
      </c>
      <c r="I7" s="317" t="s">
        <v>137</v>
      </c>
      <c r="J7" s="317" t="s">
        <v>132</v>
      </c>
      <c r="K7" s="73"/>
    </row>
    <row r="8" spans="1:17" s="415" customFormat="1" ht="14.25">
      <c r="A8" s="521">
        <f>'1-συμβολαια'!A8</f>
        <v>0</v>
      </c>
      <c r="B8" s="411" t="str">
        <f>'1-συμβολαια'!C8</f>
        <v>χρησικτησία αγροτεμάχιο 1' = 1968 ΑΝΑΔΑΣΜΟΣ</v>
      </c>
      <c r="C8" s="434">
        <f>'1-συμβολαια'!D8</f>
        <v>333.33</v>
      </c>
      <c r="D8" s="435"/>
      <c r="E8" s="416"/>
      <c r="F8" s="416"/>
      <c r="G8" s="413"/>
      <c r="H8" s="413">
        <v>3</v>
      </c>
      <c r="I8" s="317" t="s">
        <v>137</v>
      </c>
      <c r="J8" s="317" t="s">
        <v>132</v>
      </c>
      <c r="K8" s="73"/>
    </row>
    <row r="9" spans="1:17" s="415" customFormat="1" ht="15" thickBot="1">
      <c r="A9" s="532">
        <f>'1-συμβολαια'!A9</f>
        <v>0</v>
      </c>
      <c r="B9" s="527" t="str">
        <f>'1-συμβολαια'!C9</f>
        <v xml:space="preserve">χρησικτησία αγροτεμαχίων 2' έως 10' = 1961 πατρός ΔΩΡΕΑ άτυπος </v>
      </c>
      <c r="C9" s="528">
        <f>'1-συμβολαια'!D9</f>
        <v>2222.2199999999998</v>
      </c>
      <c r="D9" s="533"/>
      <c r="E9" s="529"/>
      <c r="F9" s="529"/>
      <c r="G9" s="530"/>
      <c r="H9" s="530">
        <v>3</v>
      </c>
      <c r="I9" s="531" t="s">
        <v>137</v>
      </c>
      <c r="J9" s="531" t="s">
        <v>132</v>
      </c>
      <c r="K9" s="446"/>
    </row>
    <row r="10" spans="1:17" s="415" customFormat="1" ht="14.25">
      <c r="A10" s="579" t="str">
        <f>'1-συμβολαια'!A10</f>
        <v>9ο</v>
      </c>
      <c r="B10" s="523" t="str">
        <f>'1-συμβολαια'!C10</f>
        <v>γονική</v>
      </c>
      <c r="C10" s="412">
        <f>'1-συμβολαια'!D10</f>
        <v>1292.5</v>
      </c>
      <c r="D10" s="524"/>
      <c r="E10" s="525"/>
      <c r="F10" s="414">
        <v>3</v>
      </c>
      <c r="G10" s="414"/>
      <c r="H10" s="414"/>
      <c r="I10" s="526"/>
      <c r="J10" s="526"/>
      <c r="K10" s="445"/>
    </row>
    <row r="11" spans="1:17" s="415" customFormat="1" ht="14.25">
      <c r="A11" s="580" t="str">
        <f>'1-συμβολαια'!A11</f>
        <v>10ο</v>
      </c>
      <c r="B11" s="411" t="str">
        <f>'1-συμβολαια'!C11</f>
        <v>δωρεά</v>
      </c>
      <c r="C11" s="434">
        <f>'1-συμβολαια'!D11</f>
        <v>1938.73</v>
      </c>
      <c r="D11" s="435"/>
      <c r="E11" s="416"/>
      <c r="F11" s="414">
        <v>3</v>
      </c>
      <c r="G11" s="413"/>
      <c r="H11" s="413"/>
      <c r="I11" s="317"/>
      <c r="J11" s="317"/>
      <c r="K11" s="73"/>
    </row>
    <row r="12" spans="1:17" s="415" customFormat="1" ht="14.25">
      <c r="A12" s="580" t="str">
        <f>'1-συμβολαια'!A12</f>
        <v>11ο</v>
      </c>
      <c r="B12" s="411" t="str">
        <f>'1-συμβολαια'!C12</f>
        <v>γονική</v>
      </c>
      <c r="C12" s="434">
        <f>'1-συμβολαια'!D12</f>
        <v>8416.32</v>
      </c>
      <c r="D12" s="435"/>
      <c r="E12" s="416"/>
      <c r="F12" s="414">
        <v>3</v>
      </c>
      <c r="G12" s="413"/>
      <c r="H12" s="413"/>
      <c r="I12" s="317"/>
      <c r="J12" s="317"/>
      <c r="K12" s="73"/>
    </row>
    <row r="13" spans="1:17" s="415" customFormat="1" ht="14.25">
      <c r="A13" s="580" t="str">
        <f>'1-συμβολαια'!A13</f>
        <v>12ο</v>
      </c>
      <c r="B13" s="411" t="str">
        <f>'1-συμβολαια'!C13</f>
        <v>δωρεά</v>
      </c>
      <c r="C13" s="434">
        <f>'1-συμβολαια'!D13</f>
        <v>12624.63</v>
      </c>
      <c r="D13" s="435"/>
      <c r="E13" s="416"/>
      <c r="F13" s="414">
        <v>3</v>
      </c>
      <c r="G13" s="413"/>
      <c r="H13" s="413"/>
      <c r="I13" s="317"/>
      <c r="J13" s="317"/>
      <c r="K13" s="73"/>
    </row>
    <row r="14" spans="1:17" ht="15.75">
      <c r="A14" s="634" t="s">
        <v>56</v>
      </c>
      <c r="B14" s="635"/>
      <c r="C14" s="635"/>
      <c r="D14" s="417">
        <f>SUM(D3:D13)</f>
        <v>0</v>
      </c>
      <c r="E14" s="417">
        <f>SUM(E3:E13)</f>
        <v>0</v>
      </c>
      <c r="F14" s="418">
        <f>SUM(F3:F13)</f>
        <v>15.5</v>
      </c>
      <c r="G14" s="418">
        <f>SUM(G3:G13)</f>
        <v>0</v>
      </c>
      <c r="H14" s="418">
        <f>SUM(H3:H13)</f>
        <v>15.5</v>
      </c>
    </row>
    <row r="15" spans="1:17" ht="15.75">
      <c r="I15" s="121" t="s">
        <v>102</v>
      </c>
      <c r="J15" s="134"/>
      <c r="K15" s="134"/>
      <c r="L15" s="116"/>
      <c r="M15" s="116"/>
      <c r="N15" s="116"/>
      <c r="O15" s="116"/>
      <c r="P15" s="5"/>
    </row>
    <row r="16" spans="1:17" ht="15.75">
      <c r="I16" s="228"/>
      <c r="J16" s="134" t="s">
        <v>103</v>
      </c>
      <c r="K16" s="134"/>
      <c r="L16" s="134"/>
      <c r="M16" s="134"/>
      <c r="N16" s="134"/>
      <c r="O16" s="134"/>
      <c r="P16" s="228"/>
      <c r="Q16" s="227"/>
    </row>
    <row r="17" spans="9:17" ht="15.75">
      <c r="I17" s="228"/>
      <c r="J17" s="228"/>
      <c r="K17" s="229"/>
      <c r="L17" s="229"/>
      <c r="M17" s="229"/>
      <c r="N17" s="229"/>
      <c r="O17" s="229"/>
      <c r="P17" s="229"/>
      <c r="Q17" s="227"/>
    </row>
    <row r="18" spans="9:17" ht="15.75">
      <c r="I18" s="228"/>
      <c r="J18" s="228"/>
      <c r="K18" s="134"/>
      <c r="L18" s="229"/>
      <c r="M18" s="229"/>
      <c r="N18" s="134"/>
      <c r="O18" s="134"/>
      <c r="P18" s="134"/>
      <c r="Q18" s="227"/>
    </row>
    <row r="19" spans="9:17" ht="15.75">
      <c r="I19" s="228"/>
      <c r="J19" s="228"/>
      <c r="K19" s="229"/>
      <c r="L19" s="229"/>
      <c r="M19" s="229"/>
      <c r="N19" s="229"/>
      <c r="O19" s="229"/>
      <c r="P19" s="229"/>
      <c r="Q19" s="227"/>
    </row>
    <row r="20" spans="9:17" ht="15.75">
      <c r="L20" s="122"/>
      <c r="Q20" s="227"/>
    </row>
    <row r="21" spans="9:17" ht="15.75">
      <c r="L21" s="122"/>
    </row>
    <row r="22" spans="9:17" ht="15.75">
      <c r="L22" s="122"/>
    </row>
    <row r="23" spans="9:17" ht="15.75">
      <c r="L23" s="122"/>
    </row>
  </sheetData>
  <mergeCells count="8">
    <mergeCell ref="I1:K2"/>
    <mergeCell ref="H1:H2"/>
    <mergeCell ref="A14:C14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3"/>
  <sheetViews>
    <sheetView workbookViewId="0">
      <pane ySplit="2" topLeftCell="A3" activePane="bottomLeft" state="frozen"/>
      <selection pane="bottomLeft" activeCell="F25" sqref="F25"/>
    </sheetView>
  </sheetViews>
  <sheetFormatPr defaultRowHeight="15"/>
  <cols>
    <col min="1" max="1" width="11.5703125" style="102" bestFit="1" customWidth="1"/>
    <col min="2" max="2" width="73.8554687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618" t="s">
        <v>1</v>
      </c>
      <c r="B1" s="752" t="s">
        <v>0</v>
      </c>
      <c r="C1" s="754" t="s">
        <v>144</v>
      </c>
      <c r="D1" s="754"/>
      <c r="E1" s="754"/>
      <c r="F1" s="755" t="s">
        <v>29</v>
      </c>
      <c r="G1" s="756"/>
      <c r="H1" s="756"/>
      <c r="I1" s="756"/>
      <c r="J1" s="756"/>
      <c r="K1" s="756"/>
      <c r="L1" s="756"/>
      <c r="M1" s="756"/>
      <c r="N1" s="756"/>
      <c r="O1" s="756"/>
      <c r="P1" s="756"/>
      <c r="Q1" s="756"/>
      <c r="R1" s="756"/>
      <c r="S1" s="756"/>
      <c r="T1" s="756"/>
      <c r="U1" s="756"/>
      <c r="V1" s="757"/>
    </row>
    <row r="2" spans="1:22" ht="16.5" thickBot="1">
      <c r="A2" s="619"/>
      <c r="B2" s="753"/>
      <c r="C2" s="100" t="s">
        <v>23</v>
      </c>
      <c r="D2" s="105" t="s">
        <v>9</v>
      </c>
      <c r="E2" s="106" t="s">
        <v>33</v>
      </c>
      <c r="F2" s="271">
        <v>61</v>
      </c>
      <c r="G2" s="271">
        <v>62</v>
      </c>
      <c r="H2" s="271">
        <v>63</v>
      </c>
      <c r="I2" s="272">
        <v>64</v>
      </c>
      <c r="J2" s="273" t="s">
        <v>405</v>
      </c>
      <c r="K2" s="273" t="s">
        <v>406</v>
      </c>
      <c r="L2" s="273" t="s">
        <v>407</v>
      </c>
      <c r="M2" s="274">
        <v>65</v>
      </c>
      <c r="N2" s="275" t="s">
        <v>408</v>
      </c>
      <c r="O2" s="275" t="s">
        <v>409</v>
      </c>
      <c r="P2" s="275" t="s">
        <v>410</v>
      </c>
      <c r="Q2" s="275" t="s">
        <v>545</v>
      </c>
      <c r="R2" s="275" t="s">
        <v>411</v>
      </c>
      <c r="S2" s="271" t="s">
        <v>412</v>
      </c>
      <c r="T2" s="169">
        <v>67</v>
      </c>
      <c r="U2" s="169"/>
      <c r="V2" s="270"/>
    </row>
    <row r="3" spans="1:22" s="131" customFormat="1">
      <c r="A3" s="481" t="str">
        <f>'1-συμβολαια'!A3</f>
        <v>7ο</v>
      </c>
      <c r="B3" s="344" t="str">
        <f>'1-συμβολαια'!C3</f>
        <v>*γονική ΨΙΛΗΣ ΚΥΡΙΟΤΗΤΑΣ [αγροτεμάχιο ;;;??? Πρίνος -'';;;???'' 580μ2</v>
      </c>
      <c r="C3" s="327"/>
      <c r="D3" s="381"/>
      <c r="E3" s="327"/>
      <c r="F3" s="328"/>
      <c r="G3" s="328"/>
      <c r="H3" s="345"/>
      <c r="I3" s="346"/>
      <c r="J3" s="346"/>
      <c r="K3" s="346"/>
      <c r="L3" s="346"/>
      <c r="M3" s="346"/>
      <c r="N3" s="328"/>
      <c r="O3" s="328"/>
      <c r="P3" s="328"/>
      <c r="Q3" s="328"/>
      <c r="R3" s="348"/>
      <c r="S3" s="328"/>
      <c r="T3" s="328"/>
      <c r="U3" s="328"/>
      <c r="V3" s="328"/>
    </row>
    <row r="4" spans="1:22" s="131" customFormat="1" ht="15.75" thickBot="1">
      <c r="A4" s="483">
        <f>'1-συμβολαια'!A4</f>
        <v>0</v>
      </c>
      <c r="B4" s="461" t="str">
        <f>'1-συμβολαια'!C4</f>
        <v>ΧΡΗΣΙΚΤΗΣΙΑ αγροτεμαχίου = 1961 μητρος ΔΩΡΕΑ άτυπη</v>
      </c>
      <c r="C4" s="464">
        <f>'1-συμβολαια'!L4</f>
        <v>158.41219999999998</v>
      </c>
      <c r="D4" s="539">
        <f>'1-συμβολαια'!N4</f>
        <v>0</v>
      </c>
      <c r="E4" s="464">
        <f t="shared" ref="E4" si="0">C4-D4</f>
        <v>158.41219999999998</v>
      </c>
      <c r="F4" s="504">
        <v>61</v>
      </c>
      <c r="G4" s="504">
        <v>62</v>
      </c>
      <c r="H4" s="540"/>
      <c r="I4" s="541"/>
      <c r="J4" s="541"/>
      <c r="K4" s="541"/>
      <c r="L4" s="541"/>
      <c r="M4" s="541"/>
      <c r="N4" s="504"/>
      <c r="O4" s="504"/>
      <c r="P4" s="504"/>
      <c r="Q4" s="504"/>
      <c r="R4" s="542"/>
      <c r="S4" s="504"/>
      <c r="T4" s="504"/>
      <c r="U4" s="504"/>
      <c r="V4" s="504"/>
    </row>
    <row r="5" spans="1:22" s="131" customFormat="1">
      <c r="A5" s="465" t="str">
        <f>'1-συμβολαια'!A5</f>
        <v>8ο</v>
      </c>
      <c r="B5" s="456" t="str">
        <f>'1-συμβολαια'!C5</f>
        <v>κληρονομιάς ΑΠΟΔΟΧΗ</v>
      </c>
      <c r="C5" s="459"/>
      <c r="D5" s="535"/>
      <c r="E5" s="459"/>
      <c r="F5" s="505"/>
      <c r="G5" s="505"/>
      <c r="H5" s="536"/>
      <c r="I5" s="537"/>
      <c r="J5" s="537"/>
      <c r="K5" s="537"/>
      <c r="L5" s="537"/>
      <c r="M5" s="537"/>
      <c r="N5" s="505"/>
      <c r="O5" s="505"/>
      <c r="P5" s="505"/>
      <c r="Q5" s="505"/>
      <c r="R5" s="538"/>
      <c r="S5" s="505"/>
      <c r="T5" s="505"/>
      <c r="U5" s="505"/>
      <c r="V5" s="505"/>
    </row>
    <row r="6" spans="1:22" s="131" customFormat="1">
      <c r="A6" s="466">
        <f>'1-συμβολαια'!A6</f>
        <v>0</v>
      </c>
      <c r="B6" s="344" t="str">
        <f>'1-συμβολαια'!C6</f>
        <v>διανομή [ = 2/8 μήτηρ &amp; από 3/8 τέκνα</v>
      </c>
      <c r="C6" s="327">
        <f>'1-συμβολαια'!L6</f>
        <v>431.42521799999997</v>
      </c>
      <c r="D6" s="381">
        <f>'1-συμβολαια'!N6</f>
        <v>0</v>
      </c>
      <c r="E6" s="327">
        <f t="shared" ref="E6:E9" si="1">C6-D6</f>
        <v>431.42521799999997</v>
      </c>
      <c r="F6" s="328">
        <v>61</v>
      </c>
      <c r="G6" s="328">
        <v>62</v>
      </c>
      <c r="H6" s="345"/>
      <c r="I6" s="346"/>
      <c r="J6" s="346"/>
      <c r="K6" s="346"/>
      <c r="L6" s="346"/>
      <c r="M6" s="346"/>
      <c r="N6" s="328"/>
      <c r="O6" s="328"/>
      <c r="P6" s="328"/>
      <c r="Q6" s="328"/>
      <c r="R6" s="348"/>
      <c r="S6" s="328"/>
      <c r="T6" s="328"/>
      <c r="U6" s="328"/>
      <c r="V6" s="328"/>
    </row>
    <row r="7" spans="1:22" s="131" customFormat="1">
      <c r="A7" s="466">
        <f>'1-συμβολαια'!A7</f>
        <v>0</v>
      </c>
      <c r="B7" s="344" t="str">
        <f>'1-συμβολαια'!C7</f>
        <v>εξισορρόπηση διαφοράς διανεμομένων μεριδίων</v>
      </c>
      <c r="C7" s="327">
        <f>'1-συμβολαια'!L7</f>
        <v>165.47993199999999</v>
      </c>
      <c r="D7" s="381">
        <f>'1-συμβολαια'!N7</f>
        <v>0</v>
      </c>
      <c r="E7" s="327">
        <f t="shared" si="1"/>
        <v>165.47993199999999</v>
      </c>
      <c r="F7" s="328">
        <v>61</v>
      </c>
      <c r="G7" s="328">
        <v>62</v>
      </c>
      <c r="H7" s="345"/>
      <c r="I7" s="346"/>
      <c r="J7" s="346"/>
      <c r="K7" s="346"/>
      <c r="L7" s="346"/>
      <c r="M7" s="346"/>
      <c r="N7" s="328"/>
      <c r="O7" s="328"/>
      <c r="P7" s="328"/>
      <c r="Q7" s="328"/>
      <c r="R7" s="348"/>
      <c r="S7" s="328"/>
      <c r="T7" s="328"/>
      <c r="U7" s="328"/>
      <c r="V7" s="328"/>
    </row>
    <row r="8" spans="1:22" s="131" customFormat="1">
      <c r="A8" s="466">
        <f>'1-συμβολαια'!A8</f>
        <v>0</v>
      </c>
      <c r="B8" s="344" t="str">
        <f>'1-συμβολαια'!C8</f>
        <v>χρησικτησία αγροτεμάχιο 1' = 1968 ΑΝΑΔΑΣΜΟΣ</v>
      </c>
      <c r="C8" s="327">
        <f>'1-συμβολαια'!L8</f>
        <v>136.07996600000001</v>
      </c>
      <c r="D8" s="381">
        <f>'1-συμβολαια'!N8</f>
        <v>0</v>
      </c>
      <c r="E8" s="327">
        <f t="shared" si="1"/>
        <v>136.07996600000001</v>
      </c>
      <c r="F8" s="328">
        <v>61</v>
      </c>
      <c r="G8" s="328">
        <v>62</v>
      </c>
      <c r="H8" s="345"/>
      <c r="I8" s="346"/>
      <c r="J8" s="346"/>
      <c r="K8" s="346"/>
      <c r="L8" s="346"/>
      <c r="M8" s="346"/>
      <c r="N8" s="328"/>
      <c r="O8" s="328"/>
      <c r="P8" s="328"/>
      <c r="Q8" s="328"/>
      <c r="R8" s="348"/>
      <c r="S8" s="328"/>
      <c r="T8" s="328"/>
      <c r="U8" s="328"/>
      <c r="V8" s="328"/>
    </row>
    <row r="9" spans="1:22" s="131" customFormat="1" ht="15.75" thickBot="1">
      <c r="A9" s="467">
        <f>'1-συμβολαια'!A9</f>
        <v>0</v>
      </c>
      <c r="B9" s="461" t="str">
        <f>'1-συμβολαια'!C9</f>
        <v xml:space="preserve">χρησικτησία αγροτεμαχίων 2' έως 10' = 1961 πατρός ΔΩΡΕΑ άτυπος </v>
      </c>
      <c r="C9" s="464">
        <f>'1-συμβολαια'!L9</f>
        <v>122.54664399999999</v>
      </c>
      <c r="D9" s="539">
        <f>'1-συμβολαια'!N9</f>
        <v>0</v>
      </c>
      <c r="E9" s="464">
        <f t="shared" si="1"/>
        <v>122.54664399999999</v>
      </c>
      <c r="F9" s="504">
        <v>61</v>
      </c>
      <c r="G9" s="504">
        <v>62</v>
      </c>
      <c r="H9" s="540"/>
      <c r="I9" s="541"/>
      <c r="J9" s="541"/>
      <c r="K9" s="541"/>
      <c r="L9" s="541"/>
      <c r="M9" s="541"/>
      <c r="N9" s="504"/>
      <c r="O9" s="504"/>
      <c r="P9" s="504"/>
      <c r="Q9" s="504"/>
      <c r="R9" s="542"/>
      <c r="S9" s="504"/>
      <c r="T9" s="504"/>
      <c r="U9" s="504"/>
      <c r="V9" s="504"/>
    </row>
    <row r="10" spans="1:22" s="131" customFormat="1">
      <c r="A10" s="455" t="str">
        <f>'1-συμβολαια'!A10</f>
        <v>9ο</v>
      </c>
      <c r="B10" s="456" t="str">
        <f>'1-συμβολαια'!C10</f>
        <v>γονική</v>
      </c>
      <c r="C10" s="459"/>
      <c r="D10" s="535"/>
      <c r="E10" s="459"/>
      <c r="F10" s="505"/>
      <c r="G10" s="505"/>
      <c r="H10" s="536"/>
      <c r="I10" s="537"/>
      <c r="J10" s="537"/>
      <c r="K10" s="537"/>
      <c r="L10" s="537"/>
      <c r="M10" s="537"/>
      <c r="N10" s="505"/>
      <c r="O10" s="505"/>
      <c r="P10" s="505"/>
      <c r="Q10" s="505"/>
      <c r="R10" s="538"/>
      <c r="S10" s="505"/>
      <c r="T10" s="505"/>
      <c r="U10" s="505"/>
      <c r="V10" s="505"/>
    </row>
    <row r="11" spans="1:22" s="131" customFormat="1">
      <c r="A11" s="362" t="str">
        <f>'1-συμβολαια'!A11</f>
        <v>10ο</v>
      </c>
      <c r="B11" s="344" t="str">
        <f>'1-συμβολαια'!C11</f>
        <v>δωρεά</v>
      </c>
      <c r="C11" s="327"/>
      <c r="D11" s="381"/>
      <c r="E11" s="327"/>
      <c r="F11" s="328"/>
      <c r="G11" s="328"/>
      <c r="H11" s="345"/>
      <c r="I11" s="346"/>
      <c r="J11" s="346"/>
      <c r="K11" s="346"/>
      <c r="L11" s="346"/>
      <c r="M11" s="346"/>
      <c r="N11" s="328"/>
      <c r="O11" s="328"/>
      <c r="P11" s="328"/>
      <c r="Q11" s="328"/>
      <c r="R11" s="348"/>
      <c r="S11" s="328"/>
      <c r="T11" s="328"/>
      <c r="U11" s="328"/>
      <c r="V11" s="328"/>
    </row>
    <row r="12" spans="1:22" s="131" customFormat="1">
      <c r="A12" s="362" t="str">
        <f>'1-συμβολαια'!A12</f>
        <v>11ο</v>
      </c>
      <c r="B12" s="344" t="str">
        <f>'1-συμβολαια'!C12</f>
        <v>γονική</v>
      </c>
      <c r="C12" s="327"/>
      <c r="D12" s="381"/>
      <c r="E12" s="327"/>
      <c r="F12" s="328"/>
      <c r="G12" s="328"/>
      <c r="H12" s="345"/>
      <c r="I12" s="346"/>
      <c r="J12" s="346"/>
      <c r="K12" s="346"/>
      <c r="L12" s="346"/>
      <c r="M12" s="346"/>
      <c r="N12" s="328"/>
      <c r="O12" s="328"/>
      <c r="P12" s="328"/>
      <c r="Q12" s="328"/>
      <c r="R12" s="348"/>
      <c r="S12" s="328"/>
      <c r="T12" s="328"/>
      <c r="U12" s="328"/>
      <c r="V12" s="328"/>
    </row>
    <row r="13" spans="1:22" s="131" customFormat="1">
      <c r="A13" s="362" t="str">
        <f>'1-συμβολαια'!A13</f>
        <v>12ο</v>
      </c>
      <c r="B13" s="344" t="str">
        <f>'1-συμβολαια'!C13</f>
        <v>δωρεά</v>
      </c>
      <c r="C13" s="327"/>
      <c r="D13" s="381"/>
      <c r="E13" s="327"/>
      <c r="F13" s="328"/>
      <c r="G13" s="328"/>
      <c r="H13" s="345"/>
      <c r="I13" s="346"/>
      <c r="J13" s="346"/>
      <c r="K13" s="346"/>
      <c r="L13" s="346"/>
      <c r="M13" s="346"/>
      <c r="N13" s="328"/>
      <c r="O13" s="328"/>
      <c r="P13" s="328"/>
      <c r="Q13" s="328"/>
      <c r="R13" s="348"/>
      <c r="S13" s="328"/>
      <c r="T13" s="328"/>
      <c r="U13" s="328"/>
      <c r="V13" s="328"/>
    </row>
    <row r="14" spans="1:22" ht="15.75">
      <c r="A14" s="634" t="s">
        <v>47</v>
      </c>
      <c r="B14" s="635"/>
      <c r="C14" s="399">
        <f>SUM(C3:C13)</f>
        <v>1013.9439599999999</v>
      </c>
      <c r="D14" s="436">
        <f>SUM(D3:D13)</f>
        <v>0</v>
      </c>
      <c r="E14" s="399">
        <f>SUM(E3:E13)</f>
        <v>1013.9439599999999</v>
      </c>
      <c r="I14" s="437">
        <f t="shared" ref="I14:T14" si="2">SUM(I3:I13)</f>
        <v>0</v>
      </c>
      <c r="J14" s="437">
        <f t="shared" si="2"/>
        <v>0</v>
      </c>
      <c r="K14" s="437">
        <f t="shared" si="2"/>
        <v>0</v>
      </c>
      <c r="L14" s="437">
        <f t="shared" si="2"/>
        <v>0</v>
      </c>
      <c r="M14" s="437">
        <f t="shared" si="2"/>
        <v>0</v>
      </c>
      <c r="N14" s="437">
        <f t="shared" si="2"/>
        <v>0</v>
      </c>
      <c r="O14" s="437">
        <f t="shared" si="2"/>
        <v>0</v>
      </c>
      <c r="P14" s="437">
        <f t="shared" si="2"/>
        <v>0</v>
      </c>
      <c r="Q14" s="437">
        <f t="shared" si="2"/>
        <v>0</v>
      </c>
      <c r="R14" s="437">
        <f t="shared" si="2"/>
        <v>0</v>
      </c>
      <c r="S14" s="437">
        <f t="shared" si="2"/>
        <v>0</v>
      </c>
      <c r="T14" s="437">
        <f t="shared" si="2"/>
        <v>0</v>
      </c>
    </row>
    <row r="15" spans="1:22"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</row>
    <row r="16" spans="1:22" ht="15.75">
      <c r="F16" s="151" t="s">
        <v>240</v>
      </c>
      <c r="G16" s="121"/>
      <c r="H16" s="276"/>
      <c r="I16" s="276"/>
      <c r="J16" s="276"/>
      <c r="K16" s="276"/>
      <c r="L16" s="276"/>
      <c r="M16" s="276"/>
      <c r="N16" s="276"/>
      <c r="O16" s="276"/>
      <c r="P16" s="276"/>
      <c r="Q16" s="276"/>
      <c r="R16" s="276"/>
      <c r="S16" s="276"/>
      <c r="T16" s="276"/>
      <c r="U16" s="276"/>
      <c r="V16" s="277"/>
    </row>
    <row r="17" spans="2:22" ht="15.75">
      <c r="F17" s="278"/>
      <c r="G17" s="134" t="s">
        <v>241</v>
      </c>
      <c r="H17" s="276"/>
      <c r="I17" s="276"/>
      <c r="J17" s="276"/>
      <c r="K17" s="276"/>
      <c r="L17" s="276"/>
      <c r="M17" s="276"/>
      <c r="N17" s="276"/>
      <c r="O17" s="276"/>
      <c r="P17" s="276"/>
      <c r="Q17" s="276"/>
      <c r="R17" s="276"/>
      <c r="S17" s="276"/>
      <c r="T17" s="276"/>
      <c r="U17" s="276"/>
      <c r="V17" s="277"/>
    </row>
    <row r="18" spans="2:22" ht="15.75">
      <c r="F18" s="277"/>
      <c r="G18" s="277"/>
      <c r="H18" s="151" t="s">
        <v>242</v>
      </c>
      <c r="I18" s="121"/>
      <c r="J18" s="121"/>
      <c r="K18" s="121"/>
      <c r="L18" s="276"/>
      <c r="M18" s="276"/>
      <c r="N18" s="276"/>
      <c r="O18" s="276"/>
      <c r="P18" s="276"/>
      <c r="Q18" s="276"/>
      <c r="R18" s="276"/>
      <c r="S18" s="276"/>
      <c r="T18" s="276"/>
      <c r="U18" s="276"/>
      <c r="V18" s="277"/>
    </row>
    <row r="19" spans="2:22" ht="15.75">
      <c r="F19" s="277"/>
      <c r="G19" s="278"/>
      <c r="H19" s="277"/>
      <c r="I19" s="134" t="s">
        <v>267</v>
      </c>
      <c r="J19" s="134"/>
      <c r="K19" s="134"/>
      <c r="L19" s="279"/>
      <c r="M19" s="279"/>
      <c r="N19" s="279"/>
      <c r="O19" s="279"/>
      <c r="P19" s="279"/>
      <c r="Q19" s="279"/>
      <c r="R19" s="279"/>
      <c r="S19" s="279"/>
      <c r="T19" s="279"/>
      <c r="U19" s="276"/>
      <c r="V19" s="277"/>
    </row>
    <row r="20" spans="2:22" ht="15.75">
      <c r="F20" s="277"/>
      <c r="G20" s="278"/>
      <c r="H20" s="277"/>
      <c r="I20" s="134"/>
      <c r="J20" s="151" t="s">
        <v>413</v>
      </c>
      <c r="K20" s="134"/>
      <c r="L20" s="279"/>
      <c r="M20" s="279"/>
      <c r="N20" s="279"/>
      <c r="O20" s="279"/>
      <c r="P20" s="279"/>
      <c r="Q20" s="279"/>
      <c r="R20" s="279"/>
      <c r="S20" s="279"/>
      <c r="T20" s="279"/>
      <c r="U20" s="276"/>
      <c r="V20" s="277"/>
    </row>
    <row r="21" spans="2:22" ht="15.75">
      <c r="F21" s="277"/>
      <c r="G21" s="278"/>
      <c r="H21" s="277"/>
      <c r="I21" s="134"/>
      <c r="J21" s="134"/>
      <c r="K21" s="134" t="s">
        <v>414</v>
      </c>
      <c r="L21" s="279"/>
      <c r="M21" s="279"/>
      <c r="N21" s="279"/>
      <c r="O21" s="279"/>
      <c r="P21" s="279"/>
      <c r="Q21" s="279"/>
      <c r="R21" s="279"/>
      <c r="S21" s="279"/>
      <c r="T21" s="279"/>
      <c r="U21" s="276"/>
      <c r="V21" s="277"/>
    </row>
    <row r="22" spans="2:22" ht="15.75">
      <c r="F22" s="277"/>
      <c r="G22" s="277"/>
      <c r="H22" s="276"/>
      <c r="I22" s="279"/>
      <c r="J22" s="279"/>
      <c r="K22" s="279"/>
      <c r="L22" s="151" t="s">
        <v>415</v>
      </c>
      <c r="M22" s="279"/>
      <c r="N22" s="279"/>
      <c r="O22" s="279"/>
      <c r="P22" s="279"/>
      <c r="Q22" s="279"/>
      <c r="R22" s="279"/>
      <c r="S22" s="279"/>
      <c r="T22" s="279"/>
      <c r="U22" s="276"/>
      <c r="V22" s="277"/>
    </row>
    <row r="23" spans="2:22" ht="15.75">
      <c r="C23" s="104">
        <f>SUM(C15:C16)</f>
        <v>0</v>
      </c>
      <c r="F23" s="276"/>
      <c r="G23" s="276"/>
      <c r="H23" s="276"/>
      <c r="I23" s="279"/>
      <c r="J23" s="279"/>
      <c r="K23" s="279"/>
      <c r="L23" s="279"/>
      <c r="M23" s="134" t="s">
        <v>268</v>
      </c>
      <c r="N23" s="279"/>
      <c r="O23" s="279"/>
      <c r="P23" s="279"/>
      <c r="Q23" s="279"/>
      <c r="R23" s="279"/>
      <c r="S23" s="279"/>
      <c r="T23" s="279"/>
      <c r="U23" s="276"/>
      <c r="V23" s="277"/>
    </row>
    <row r="24" spans="2:22" ht="15.75">
      <c r="F24" s="277"/>
      <c r="G24" s="277"/>
      <c r="H24" s="276"/>
      <c r="I24" s="279"/>
      <c r="J24" s="279"/>
      <c r="K24" s="279"/>
      <c r="L24" s="279"/>
      <c r="M24" s="279"/>
      <c r="N24" s="151" t="s">
        <v>416</v>
      </c>
      <c r="O24" s="279"/>
      <c r="P24" s="279"/>
      <c r="Q24" s="279"/>
      <c r="R24" s="279"/>
      <c r="S24" s="279"/>
      <c r="T24" s="279"/>
      <c r="U24" s="276"/>
      <c r="V24" s="277"/>
    </row>
    <row r="25" spans="2:22" ht="15.75">
      <c r="F25" s="277"/>
      <c r="G25" s="277"/>
      <c r="H25" s="276"/>
      <c r="I25" s="279"/>
      <c r="J25" s="279"/>
      <c r="K25" s="279"/>
      <c r="L25" s="279"/>
      <c r="M25" s="279"/>
      <c r="N25" s="279"/>
      <c r="O25" s="134" t="s">
        <v>417</v>
      </c>
      <c r="P25" s="279"/>
      <c r="Q25" s="279"/>
      <c r="R25" s="279"/>
      <c r="S25" s="279"/>
      <c r="T25" s="279"/>
      <c r="U25" s="276"/>
      <c r="V25" s="277"/>
    </row>
    <row r="26" spans="2:22" ht="15.75">
      <c r="F26" s="277"/>
      <c r="G26" s="277"/>
      <c r="H26" s="276"/>
      <c r="I26" s="279"/>
      <c r="J26" s="279"/>
      <c r="K26" s="279"/>
      <c r="L26" s="279"/>
      <c r="M26" s="279"/>
      <c r="N26" s="279"/>
      <c r="O26" s="279"/>
      <c r="P26" s="151" t="s">
        <v>269</v>
      </c>
      <c r="Q26" s="279"/>
      <c r="R26" s="279"/>
      <c r="S26" s="279"/>
      <c r="T26" s="279"/>
      <c r="U26" s="276"/>
      <c r="V26" s="277"/>
    </row>
    <row r="27" spans="2:22" ht="15.75">
      <c r="F27" s="277"/>
      <c r="G27" s="277"/>
      <c r="H27" s="276"/>
      <c r="I27" s="279"/>
      <c r="J27" s="279"/>
      <c r="K27" s="279"/>
      <c r="L27" s="279"/>
      <c r="M27" s="279"/>
      <c r="N27" s="279"/>
      <c r="O27" s="279"/>
      <c r="P27" s="279"/>
      <c r="Q27" s="134" t="s">
        <v>270</v>
      </c>
      <c r="R27" s="134"/>
      <c r="S27" s="134"/>
      <c r="T27" s="279"/>
      <c r="U27" s="276"/>
      <c r="V27" s="277"/>
    </row>
    <row r="28" spans="2:22" ht="15.75">
      <c r="F28" s="277"/>
      <c r="G28" s="277"/>
      <c r="H28" s="276"/>
      <c r="I28" s="279"/>
      <c r="J28" s="279"/>
      <c r="K28" s="279"/>
      <c r="L28" s="279"/>
      <c r="M28" s="279"/>
      <c r="N28" s="279"/>
      <c r="O28" s="279"/>
      <c r="P28" s="279"/>
      <c r="Q28" s="279"/>
      <c r="R28" s="151" t="s">
        <v>271</v>
      </c>
      <c r="S28" s="279"/>
      <c r="T28" s="279"/>
      <c r="U28" s="276"/>
      <c r="V28" s="277"/>
    </row>
    <row r="29" spans="2:22" ht="15.75">
      <c r="F29" s="277"/>
      <c r="G29" s="277"/>
      <c r="H29" s="276"/>
      <c r="I29" s="279"/>
      <c r="J29" s="279"/>
      <c r="K29" s="279"/>
      <c r="L29" s="279"/>
      <c r="M29" s="279"/>
      <c r="N29" s="279"/>
      <c r="O29" s="279"/>
      <c r="P29" s="279"/>
      <c r="Q29" s="279"/>
      <c r="R29" s="279"/>
      <c r="S29" s="134" t="s">
        <v>272</v>
      </c>
      <c r="T29" s="279"/>
      <c r="U29" s="276"/>
      <c r="V29" s="277"/>
    </row>
    <row r="30" spans="2:22" ht="15.75">
      <c r="F30" s="277"/>
      <c r="G30" s="277"/>
      <c r="H30" s="276"/>
      <c r="I30" s="279"/>
      <c r="J30" s="279"/>
      <c r="K30" s="279"/>
      <c r="L30" s="279"/>
      <c r="M30" s="279"/>
      <c r="N30" s="279"/>
      <c r="O30" s="279"/>
      <c r="P30" s="279"/>
      <c r="Q30" s="279"/>
      <c r="R30" s="279"/>
      <c r="S30" s="279"/>
      <c r="T30" s="151" t="s">
        <v>418</v>
      </c>
      <c r="U30" s="276"/>
      <c r="V30" s="277"/>
    </row>
    <row r="31" spans="2:22">
      <c r="F31" s="277"/>
      <c r="G31" s="277"/>
      <c r="H31" s="276"/>
      <c r="I31" s="276"/>
      <c r="J31" s="276"/>
      <c r="K31" s="276"/>
      <c r="L31" s="276"/>
      <c r="M31" s="276"/>
      <c r="N31" s="276"/>
      <c r="O31" s="276"/>
      <c r="P31" s="276"/>
      <c r="Q31" s="276"/>
      <c r="R31" s="276"/>
      <c r="S31" s="276"/>
      <c r="T31" s="276"/>
      <c r="U31" s="276"/>
      <c r="V31" s="277"/>
    </row>
    <row r="32" spans="2:22" ht="15.75" customHeight="1">
      <c r="B32" s="216"/>
      <c r="C32" s="309"/>
      <c r="D32" s="311"/>
      <c r="E32" s="310"/>
      <c r="F32" s="310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</row>
    <row r="33" spans="2:21" ht="15.75" customHeight="1">
      <c r="B33" s="215"/>
      <c r="C33" s="107"/>
      <c r="D33" s="311"/>
      <c r="E33" s="310"/>
      <c r="F33" s="310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</row>
    <row r="34" spans="2:21"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</row>
    <row r="35" spans="2:21"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</row>
    <row r="36" spans="2:21"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</row>
    <row r="37" spans="2:21">
      <c r="D37" s="311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</row>
    <row r="38" spans="2:21"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</row>
    <row r="39" spans="2:21"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</row>
    <row r="40" spans="2:21"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</row>
    <row r="41" spans="2:21"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</row>
    <row r="42" spans="2:21"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</row>
    <row r="43" spans="2:21"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</row>
  </sheetData>
  <mergeCells count="5">
    <mergeCell ref="A1:A2"/>
    <mergeCell ref="B1:B2"/>
    <mergeCell ref="C1:E1"/>
    <mergeCell ref="A14:B1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F95"/>
  <sheetViews>
    <sheetView workbookViewId="0">
      <pane ySplit="2" topLeftCell="A19" activePane="bottomLeft" state="frozen"/>
      <selection pane="bottomLeft" activeCell="C16" sqref="C16:D63"/>
    </sheetView>
  </sheetViews>
  <sheetFormatPr defaultRowHeight="11.25"/>
  <cols>
    <col min="1" max="2" width="9" style="8" customWidth="1"/>
    <col min="3" max="3" width="51.140625" style="137" bestFit="1" customWidth="1"/>
    <col min="4" max="5" width="9.42578125" style="2" customWidth="1"/>
    <col min="6" max="6" width="9.42578125" style="80" customWidth="1"/>
    <col min="7" max="7" width="8.140625" style="80" customWidth="1"/>
    <col min="8" max="8" width="10.7109375" style="80" customWidth="1"/>
    <col min="9" max="9" width="9.42578125" style="80" customWidth="1"/>
    <col min="10" max="11" width="7.85546875" style="80" customWidth="1"/>
    <col min="12" max="12" width="9.85546875" style="80" customWidth="1"/>
    <col min="13" max="13" width="8.5703125" style="80" customWidth="1"/>
    <col min="14" max="21" width="7.140625" style="80" customWidth="1"/>
    <col min="22" max="22" width="8.28515625" style="80" customWidth="1"/>
    <col min="23" max="23" width="8.140625" style="80" customWidth="1"/>
    <col min="24" max="24" width="9.28515625" style="80" customWidth="1"/>
    <col min="25" max="27" width="7.140625" style="80" customWidth="1"/>
    <col min="28" max="28" width="10.28515625" style="80" customWidth="1"/>
    <col min="29" max="30" width="7.140625" style="80" customWidth="1"/>
    <col min="31" max="31" width="6.140625" style="350" customWidth="1"/>
    <col min="32" max="32" width="7.140625" style="80" customWidth="1"/>
    <col min="33" max="33" width="6.140625" style="80" customWidth="1"/>
    <col min="34" max="34" width="7" style="350" customWidth="1"/>
    <col min="35" max="36" width="6.140625" style="80" customWidth="1"/>
    <col min="37" max="37" width="7.85546875" style="80" customWidth="1"/>
    <col min="38" max="38" width="14.28515625" style="80" customWidth="1"/>
    <col min="39" max="40" width="8.28515625" style="80" customWidth="1"/>
    <col min="41" max="41" width="8.140625" style="80" customWidth="1"/>
    <col min="42" max="42" width="9.42578125" style="80" customWidth="1"/>
    <col min="43" max="43" width="7" style="80" customWidth="1"/>
    <col min="44" max="44" width="6.140625" style="80" customWidth="1"/>
    <col min="45" max="49" width="7.85546875" style="80" customWidth="1"/>
    <col min="50" max="52" width="6.140625" style="80" customWidth="1"/>
    <col min="53" max="53" width="10" style="80" customWidth="1"/>
    <col min="54" max="54" width="8.5703125" style="80" customWidth="1"/>
    <col min="55" max="55" width="6.140625" style="80" customWidth="1"/>
    <col min="56" max="56" width="8.7109375" style="80" customWidth="1"/>
    <col min="57" max="57" width="6.140625" style="80" customWidth="1"/>
    <col min="58" max="58" width="8.7109375" style="80" customWidth="1"/>
    <col min="59" max="59" width="8" style="80" customWidth="1"/>
    <col min="60" max="61" width="6.140625" style="80" customWidth="1"/>
    <col min="62" max="62" width="7.42578125" style="350" customWidth="1"/>
    <col min="63" max="63" width="8.5703125" style="350" customWidth="1"/>
    <col min="64" max="64" width="7.5703125" style="350" customWidth="1"/>
    <col min="65" max="70" width="6.140625" style="350" customWidth="1"/>
    <col min="71" max="71" width="8.28515625" style="350" customWidth="1"/>
    <col min="72" max="72" width="6.140625" style="350" customWidth="1"/>
    <col min="73" max="73" width="7.7109375" style="350" customWidth="1"/>
    <col min="74" max="74" width="5.5703125" style="350" customWidth="1"/>
    <col min="75" max="82" width="10.5703125" style="350" customWidth="1"/>
    <col min="83" max="84" width="12.42578125" style="350" customWidth="1"/>
    <col min="85" max="281" width="9.140625" style="3"/>
    <col min="282" max="282" width="9" style="3" bestFit="1" customWidth="1"/>
    <col min="283" max="283" width="9.85546875" style="3" bestFit="1" customWidth="1"/>
    <col min="284" max="284" width="9.140625" style="3" bestFit="1" customWidth="1"/>
    <col min="285" max="285" width="16" style="3" bestFit="1" customWidth="1"/>
    <col min="286" max="286" width="9" style="3" bestFit="1" customWidth="1"/>
    <col min="287" max="287" width="7.85546875" style="3" bestFit="1" customWidth="1"/>
    <col min="288" max="288" width="11.7109375" style="3" bestFit="1" customWidth="1"/>
    <col min="289" max="289" width="14.28515625" style="3" customWidth="1"/>
    <col min="290" max="290" width="11.7109375" style="3" bestFit="1" customWidth="1"/>
    <col min="291" max="291" width="14.140625" style="3" bestFit="1" customWidth="1"/>
    <col min="292" max="292" width="16.7109375" style="3" customWidth="1"/>
    <col min="293" max="293" width="16.5703125" style="3" customWidth="1"/>
    <col min="294" max="295" width="7.85546875" style="3" bestFit="1" customWidth="1"/>
    <col min="296" max="296" width="8" style="3" bestFit="1" customWidth="1"/>
    <col min="297" max="298" width="7.85546875" style="3" bestFit="1" customWidth="1"/>
    <col min="299" max="299" width="9.7109375" style="3" customWidth="1"/>
    <col min="300" max="300" width="12.85546875" style="3" customWidth="1"/>
    <col min="301" max="537" width="9.140625" style="3"/>
    <col min="538" max="538" width="9" style="3" bestFit="1" customWidth="1"/>
    <col min="539" max="539" width="9.85546875" style="3" bestFit="1" customWidth="1"/>
    <col min="540" max="540" width="9.140625" style="3" bestFit="1" customWidth="1"/>
    <col min="541" max="541" width="16" style="3" bestFit="1" customWidth="1"/>
    <col min="542" max="542" width="9" style="3" bestFit="1" customWidth="1"/>
    <col min="543" max="543" width="7.85546875" style="3" bestFit="1" customWidth="1"/>
    <col min="544" max="544" width="11.7109375" style="3" bestFit="1" customWidth="1"/>
    <col min="545" max="545" width="14.28515625" style="3" customWidth="1"/>
    <col min="546" max="546" width="11.7109375" style="3" bestFit="1" customWidth="1"/>
    <col min="547" max="547" width="14.140625" style="3" bestFit="1" customWidth="1"/>
    <col min="548" max="548" width="16.7109375" style="3" customWidth="1"/>
    <col min="549" max="549" width="16.5703125" style="3" customWidth="1"/>
    <col min="550" max="551" width="7.85546875" style="3" bestFit="1" customWidth="1"/>
    <col min="552" max="552" width="8" style="3" bestFit="1" customWidth="1"/>
    <col min="553" max="554" width="7.85546875" style="3" bestFit="1" customWidth="1"/>
    <col min="555" max="555" width="9.7109375" style="3" customWidth="1"/>
    <col min="556" max="556" width="12.85546875" style="3" customWidth="1"/>
    <col min="557" max="793" width="9.140625" style="3"/>
    <col min="794" max="794" width="9" style="3" bestFit="1" customWidth="1"/>
    <col min="795" max="795" width="9.85546875" style="3" bestFit="1" customWidth="1"/>
    <col min="796" max="796" width="9.140625" style="3" bestFit="1" customWidth="1"/>
    <col min="797" max="797" width="16" style="3" bestFit="1" customWidth="1"/>
    <col min="798" max="798" width="9" style="3" bestFit="1" customWidth="1"/>
    <col min="799" max="799" width="7.85546875" style="3" bestFit="1" customWidth="1"/>
    <col min="800" max="800" width="11.7109375" style="3" bestFit="1" customWidth="1"/>
    <col min="801" max="801" width="14.28515625" style="3" customWidth="1"/>
    <col min="802" max="802" width="11.7109375" style="3" bestFit="1" customWidth="1"/>
    <col min="803" max="803" width="14.140625" style="3" bestFit="1" customWidth="1"/>
    <col min="804" max="804" width="16.7109375" style="3" customWidth="1"/>
    <col min="805" max="805" width="16.5703125" style="3" customWidth="1"/>
    <col min="806" max="807" width="7.85546875" style="3" bestFit="1" customWidth="1"/>
    <col min="808" max="808" width="8" style="3" bestFit="1" customWidth="1"/>
    <col min="809" max="810" width="7.85546875" style="3" bestFit="1" customWidth="1"/>
    <col min="811" max="811" width="9.7109375" style="3" customWidth="1"/>
    <col min="812" max="812" width="12.85546875" style="3" customWidth="1"/>
    <col min="813" max="1049" width="9.140625" style="3"/>
    <col min="1050" max="1050" width="9" style="3" bestFit="1" customWidth="1"/>
    <col min="1051" max="1051" width="9.85546875" style="3" bestFit="1" customWidth="1"/>
    <col min="1052" max="1052" width="9.140625" style="3" bestFit="1" customWidth="1"/>
    <col min="1053" max="1053" width="16" style="3" bestFit="1" customWidth="1"/>
    <col min="1054" max="1054" width="9" style="3" bestFit="1" customWidth="1"/>
    <col min="1055" max="1055" width="7.85546875" style="3" bestFit="1" customWidth="1"/>
    <col min="1056" max="1056" width="11.7109375" style="3" bestFit="1" customWidth="1"/>
    <col min="1057" max="1057" width="14.28515625" style="3" customWidth="1"/>
    <col min="1058" max="1058" width="11.7109375" style="3" bestFit="1" customWidth="1"/>
    <col min="1059" max="1059" width="14.140625" style="3" bestFit="1" customWidth="1"/>
    <col min="1060" max="1060" width="16.7109375" style="3" customWidth="1"/>
    <col min="1061" max="1061" width="16.5703125" style="3" customWidth="1"/>
    <col min="1062" max="1063" width="7.85546875" style="3" bestFit="1" customWidth="1"/>
    <col min="1064" max="1064" width="8" style="3" bestFit="1" customWidth="1"/>
    <col min="1065" max="1066" width="7.85546875" style="3" bestFit="1" customWidth="1"/>
    <col min="1067" max="1067" width="9.7109375" style="3" customWidth="1"/>
    <col min="1068" max="1068" width="12.85546875" style="3" customWidth="1"/>
    <col min="1069" max="1305" width="9.140625" style="3"/>
    <col min="1306" max="1306" width="9" style="3" bestFit="1" customWidth="1"/>
    <col min="1307" max="1307" width="9.85546875" style="3" bestFit="1" customWidth="1"/>
    <col min="1308" max="1308" width="9.140625" style="3" bestFit="1" customWidth="1"/>
    <col min="1309" max="1309" width="16" style="3" bestFit="1" customWidth="1"/>
    <col min="1310" max="1310" width="9" style="3" bestFit="1" customWidth="1"/>
    <col min="1311" max="1311" width="7.85546875" style="3" bestFit="1" customWidth="1"/>
    <col min="1312" max="1312" width="11.7109375" style="3" bestFit="1" customWidth="1"/>
    <col min="1313" max="1313" width="14.28515625" style="3" customWidth="1"/>
    <col min="1314" max="1314" width="11.7109375" style="3" bestFit="1" customWidth="1"/>
    <col min="1315" max="1315" width="14.140625" style="3" bestFit="1" customWidth="1"/>
    <col min="1316" max="1316" width="16.7109375" style="3" customWidth="1"/>
    <col min="1317" max="1317" width="16.5703125" style="3" customWidth="1"/>
    <col min="1318" max="1319" width="7.85546875" style="3" bestFit="1" customWidth="1"/>
    <col min="1320" max="1320" width="8" style="3" bestFit="1" customWidth="1"/>
    <col min="1321" max="1322" width="7.85546875" style="3" bestFit="1" customWidth="1"/>
    <col min="1323" max="1323" width="9.7109375" style="3" customWidth="1"/>
    <col min="1324" max="1324" width="12.85546875" style="3" customWidth="1"/>
    <col min="1325" max="1561" width="9.140625" style="3"/>
    <col min="1562" max="1562" width="9" style="3" bestFit="1" customWidth="1"/>
    <col min="1563" max="1563" width="9.85546875" style="3" bestFit="1" customWidth="1"/>
    <col min="1564" max="1564" width="9.140625" style="3" bestFit="1" customWidth="1"/>
    <col min="1565" max="1565" width="16" style="3" bestFit="1" customWidth="1"/>
    <col min="1566" max="1566" width="9" style="3" bestFit="1" customWidth="1"/>
    <col min="1567" max="1567" width="7.85546875" style="3" bestFit="1" customWidth="1"/>
    <col min="1568" max="1568" width="11.7109375" style="3" bestFit="1" customWidth="1"/>
    <col min="1569" max="1569" width="14.28515625" style="3" customWidth="1"/>
    <col min="1570" max="1570" width="11.7109375" style="3" bestFit="1" customWidth="1"/>
    <col min="1571" max="1571" width="14.140625" style="3" bestFit="1" customWidth="1"/>
    <col min="1572" max="1572" width="16.7109375" style="3" customWidth="1"/>
    <col min="1573" max="1573" width="16.5703125" style="3" customWidth="1"/>
    <col min="1574" max="1575" width="7.85546875" style="3" bestFit="1" customWidth="1"/>
    <col min="1576" max="1576" width="8" style="3" bestFit="1" customWidth="1"/>
    <col min="1577" max="1578" width="7.85546875" style="3" bestFit="1" customWidth="1"/>
    <col min="1579" max="1579" width="9.7109375" style="3" customWidth="1"/>
    <col min="1580" max="1580" width="12.85546875" style="3" customWidth="1"/>
    <col min="1581" max="1817" width="9.140625" style="3"/>
    <col min="1818" max="1818" width="9" style="3" bestFit="1" customWidth="1"/>
    <col min="1819" max="1819" width="9.85546875" style="3" bestFit="1" customWidth="1"/>
    <col min="1820" max="1820" width="9.140625" style="3" bestFit="1" customWidth="1"/>
    <col min="1821" max="1821" width="16" style="3" bestFit="1" customWidth="1"/>
    <col min="1822" max="1822" width="9" style="3" bestFit="1" customWidth="1"/>
    <col min="1823" max="1823" width="7.85546875" style="3" bestFit="1" customWidth="1"/>
    <col min="1824" max="1824" width="11.7109375" style="3" bestFit="1" customWidth="1"/>
    <col min="1825" max="1825" width="14.28515625" style="3" customWidth="1"/>
    <col min="1826" max="1826" width="11.7109375" style="3" bestFit="1" customWidth="1"/>
    <col min="1827" max="1827" width="14.140625" style="3" bestFit="1" customWidth="1"/>
    <col min="1828" max="1828" width="16.7109375" style="3" customWidth="1"/>
    <col min="1829" max="1829" width="16.5703125" style="3" customWidth="1"/>
    <col min="1830" max="1831" width="7.85546875" style="3" bestFit="1" customWidth="1"/>
    <col min="1832" max="1832" width="8" style="3" bestFit="1" customWidth="1"/>
    <col min="1833" max="1834" width="7.85546875" style="3" bestFit="1" customWidth="1"/>
    <col min="1835" max="1835" width="9.7109375" style="3" customWidth="1"/>
    <col min="1836" max="1836" width="12.85546875" style="3" customWidth="1"/>
    <col min="1837" max="2073" width="9.140625" style="3"/>
    <col min="2074" max="2074" width="9" style="3" bestFit="1" customWidth="1"/>
    <col min="2075" max="2075" width="9.85546875" style="3" bestFit="1" customWidth="1"/>
    <col min="2076" max="2076" width="9.140625" style="3" bestFit="1" customWidth="1"/>
    <col min="2077" max="2077" width="16" style="3" bestFit="1" customWidth="1"/>
    <col min="2078" max="2078" width="9" style="3" bestFit="1" customWidth="1"/>
    <col min="2079" max="2079" width="7.85546875" style="3" bestFit="1" customWidth="1"/>
    <col min="2080" max="2080" width="11.7109375" style="3" bestFit="1" customWidth="1"/>
    <col min="2081" max="2081" width="14.28515625" style="3" customWidth="1"/>
    <col min="2082" max="2082" width="11.7109375" style="3" bestFit="1" customWidth="1"/>
    <col min="2083" max="2083" width="14.140625" style="3" bestFit="1" customWidth="1"/>
    <col min="2084" max="2084" width="16.7109375" style="3" customWidth="1"/>
    <col min="2085" max="2085" width="16.5703125" style="3" customWidth="1"/>
    <col min="2086" max="2087" width="7.85546875" style="3" bestFit="1" customWidth="1"/>
    <col min="2088" max="2088" width="8" style="3" bestFit="1" customWidth="1"/>
    <col min="2089" max="2090" width="7.85546875" style="3" bestFit="1" customWidth="1"/>
    <col min="2091" max="2091" width="9.7109375" style="3" customWidth="1"/>
    <col min="2092" max="2092" width="12.85546875" style="3" customWidth="1"/>
    <col min="2093" max="2329" width="9.140625" style="3"/>
    <col min="2330" max="2330" width="9" style="3" bestFit="1" customWidth="1"/>
    <col min="2331" max="2331" width="9.85546875" style="3" bestFit="1" customWidth="1"/>
    <col min="2332" max="2332" width="9.140625" style="3" bestFit="1" customWidth="1"/>
    <col min="2333" max="2333" width="16" style="3" bestFit="1" customWidth="1"/>
    <col min="2334" max="2334" width="9" style="3" bestFit="1" customWidth="1"/>
    <col min="2335" max="2335" width="7.85546875" style="3" bestFit="1" customWidth="1"/>
    <col min="2336" max="2336" width="11.7109375" style="3" bestFit="1" customWidth="1"/>
    <col min="2337" max="2337" width="14.28515625" style="3" customWidth="1"/>
    <col min="2338" max="2338" width="11.7109375" style="3" bestFit="1" customWidth="1"/>
    <col min="2339" max="2339" width="14.140625" style="3" bestFit="1" customWidth="1"/>
    <col min="2340" max="2340" width="16.7109375" style="3" customWidth="1"/>
    <col min="2341" max="2341" width="16.5703125" style="3" customWidth="1"/>
    <col min="2342" max="2343" width="7.85546875" style="3" bestFit="1" customWidth="1"/>
    <col min="2344" max="2344" width="8" style="3" bestFit="1" customWidth="1"/>
    <col min="2345" max="2346" width="7.85546875" style="3" bestFit="1" customWidth="1"/>
    <col min="2347" max="2347" width="9.7109375" style="3" customWidth="1"/>
    <col min="2348" max="2348" width="12.85546875" style="3" customWidth="1"/>
    <col min="2349" max="2585" width="9.140625" style="3"/>
    <col min="2586" max="2586" width="9" style="3" bestFit="1" customWidth="1"/>
    <col min="2587" max="2587" width="9.85546875" style="3" bestFit="1" customWidth="1"/>
    <col min="2588" max="2588" width="9.140625" style="3" bestFit="1" customWidth="1"/>
    <col min="2589" max="2589" width="16" style="3" bestFit="1" customWidth="1"/>
    <col min="2590" max="2590" width="9" style="3" bestFit="1" customWidth="1"/>
    <col min="2591" max="2591" width="7.85546875" style="3" bestFit="1" customWidth="1"/>
    <col min="2592" max="2592" width="11.7109375" style="3" bestFit="1" customWidth="1"/>
    <col min="2593" max="2593" width="14.28515625" style="3" customWidth="1"/>
    <col min="2594" max="2594" width="11.7109375" style="3" bestFit="1" customWidth="1"/>
    <col min="2595" max="2595" width="14.140625" style="3" bestFit="1" customWidth="1"/>
    <col min="2596" max="2596" width="16.7109375" style="3" customWidth="1"/>
    <col min="2597" max="2597" width="16.5703125" style="3" customWidth="1"/>
    <col min="2598" max="2599" width="7.85546875" style="3" bestFit="1" customWidth="1"/>
    <col min="2600" max="2600" width="8" style="3" bestFit="1" customWidth="1"/>
    <col min="2601" max="2602" width="7.85546875" style="3" bestFit="1" customWidth="1"/>
    <col min="2603" max="2603" width="9.7109375" style="3" customWidth="1"/>
    <col min="2604" max="2604" width="12.85546875" style="3" customWidth="1"/>
    <col min="2605" max="2841" width="9.140625" style="3"/>
    <col min="2842" max="2842" width="9" style="3" bestFit="1" customWidth="1"/>
    <col min="2843" max="2843" width="9.85546875" style="3" bestFit="1" customWidth="1"/>
    <col min="2844" max="2844" width="9.140625" style="3" bestFit="1" customWidth="1"/>
    <col min="2845" max="2845" width="16" style="3" bestFit="1" customWidth="1"/>
    <col min="2846" max="2846" width="9" style="3" bestFit="1" customWidth="1"/>
    <col min="2847" max="2847" width="7.85546875" style="3" bestFit="1" customWidth="1"/>
    <col min="2848" max="2848" width="11.7109375" style="3" bestFit="1" customWidth="1"/>
    <col min="2849" max="2849" width="14.28515625" style="3" customWidth="1"/>
    <col min="2850" max="2850" width="11.7109375" style="3" bestFit="1" customWidth="1"/>
    <col min="2851" max="2851" width="14.140625" style="3" bestFit="1" customWidth="1"/>
    <col min="2852" max="2852" width="16.7109375" style="3" customWidth="1"/>
    <col min="2853" max="2853" width="16.5703125" style="3" customWidth="1"/>
    <col min="2854" max="2855" width="7.85546875" style="3" bestFit="1" customWidth="1"/>
    <col min="2856" max="2856" width="8" style="3" bestFit="1" customWidth="1"/>
    <col min="2857" max="2858" width="7.85546875" style="3" bestFit="1" customWidth="1"/>
    <col min="2859" max="2859" width="9.7109375" style="3" customWidth="1"/>
    <col min="2860" max="2860" width="12.85546875" style="3" customWidth="1"/>
    <col min="2861" max="3097" width="9.140625" style="3"/>
    <col min="3098" max="3098" width="9" style="3" bestFit="1" customWidth="1"/>
    <col min="3099" max="3099" width="9.85546875" style="3" bestFit="1" customWidth="1"/>
    <col min="3100" max="3100" width="9.140625" style="3" bestFit="1" customWidth="1"/>
    <col min="3101" max="3101" width="16" style="3" bestFit="1" customWidth="1"/>
    <col min="3102" max="3102" width="9" style="3" bestFit="1" customWidth="1"/>
    <col min="3103" max="3103" width="7.85546875" style="3" bestFit="1" customWidth="1"/>
    <col min="3104" max="3104" width="11.7109375" style="3" bestFit="1" customWidth="1"/>
    <col min="3105" max="3105" width="14.28515625" style="3" customWidth="1"/>
    <col min="3106" max="3106" width="11.7109375" style="3" bestFit="1" customWidth="1"/>
    <col min="3107" max="3107" width="14.140625" style="3" bestFit="1" customWidth="1"/>
    <col min="3108" max="3108" width="16.7109375" style="3" customWidth="1"/>
    <col min="3109" max="3109" width="16.5703125" style="3" customWidth="1"/>
    <col min="3110" max="3111" width="7.85546875" style="3" bestFit="1" customWidth="1"/>
    <col min="3112" max="3112" width="8" style="3" bestFit="1" customWidth="1"/>
    <col min="3113" max="3114" width="7.85546875" style="3" bestFit="1" customWidth="1"/>
    <col min="3115" max="3115" width="9.7109375" style="3" customWidth="1"/>
    <col min="3116" max="3116" width="12.85546875" style="3" customWidth="1"/>
    <col min="3117" max="3353" width="9.140625" style="3"/>
    <col min="3354" max="3354" width="9" style="3" bestFit="1" customWidth="1"/>
    <col min="3355" max="3355" width="9.85546875" style="3" bestFit="1" customWidth="1"/>
    <col min="3356" max="3356" width="9.140625" style="3" bestFit="1" customWidth="1"/>
    <col min="3357" max="3357" width="16" style="3" bestFit="1" customWidth="1"/>
    <col min="3358" max="3358" width="9" style="3" bestFit="1" customWidth="1"/>
    <col min="3359" max="3359" width="7.85546875" style="3" bestFit="1" customWidth="1"/>
    <col min="3360" max="3360" width="11.7109375" style="3" bestFit="1" customWidth="1"/>
    <col min="3361" max="3361" width="14.28515625" style="3" customWidth="1"/>
    <col min="3362" max="3362" width="11.7109375" style="3" bestFit="1" customWidth="1"/>
    <col min="3363" max="3363" width="14.140625" style="3" bestFit="1" customWidth="1"/>
    <col min="3364" max="3364" width="16.7109375" style="3" customWidth="1"/>
    <col min="3365" max="3365" width="16.5703125" style="3" customWidth="1"/>
    <col min="3366" max="3367" width="7.85546875" style="3" bestFit="1" customWidth="1"/>
    <col min="3368" max="3368" width="8" style="3" bestFit="1" customWidth="1"/>
    <col min="3369" max="3370" width="7.85546875" style="3" bestFit="1" customWidth="1"/>
    <col min="3371" max="3371" width="9.7109375" style="3" customWidth="1"/>
    <col min="3372" max="3372" width="12.85546875" style="3" customWidth="1"/>
    <col min="3373" max="3609" width="9.140625" style="3"/>
    <col min="3610" max="3610" width="9" style="3" bestFit="1" customWidth="1"/>
    <col min="3611" max="3611" width="9.85546875" style="3" bestFit="1" customWidth="1"/>
    <col min="3612" max="3612" width="9.140625" style="3" bestFit="1" customWidth="1"/>
    <col min="3613" max="3613" width="16" style="3" bestFit="1" customWidth="1"/>
    <col min="3614" max="3614" width="9" style="3" bestFit="1" customWidth="1"/>
    <col min="3615" max="3615" width="7.85546875" style="3" bestFit="1" customWidth="1"/>
    <col min="3616" max="3616" width="11.7109375" style="3" bestFit="1" customWidth="1"/>
    <col min="3617" max="3617" width="14.28515625" style="3" customWidth="1"/>
    <col min="3618" max="3618" width="11.7109375" style="3" bestFit="1" customWidth="1"/>
    <col min="3619" max="3619" width="14.140625" style="3" bestFit="1" customWidth="1"/>
    <col min="3620" max="3620" width="16.7109375" style="3" customWidth="1"/>
    <col min="3621" max="3621" width="16.5703125" style="3" customWidth="1"/>
    <col min="3622" max="3623" width="7.85546875" style="3" bestFit="1" customWidth="1"/>
    <col min="3624" max="3624" width="8" style="3" bestFit="1" customWidth="1"/>
    <col min="3625" max="3626" width="7.85546875" style="3" bestFit="1" customWidth="1"/>
    <col min="3627" max="3627" width="9.7109375" style="3" customWidth="1"/>
    <col min="3628" max="3628" width="12.85546875" style="3" customWidth="1"/>
    <col min="3629" max="3865" width="9.140625" style="3"/>
    <col min="3866" max="3866" width="9" style="3" bestFit="1" customWidth="1"/>
    <col min="3867" max="3867" width="9.85546875" style="3" bestFit="1" customWidth="1"/>
    <col min="3868" max="3868" width="9.140625" style="3" bestFit="1" customWidth="1"/>
    <col min="3869" max="3869" width="16" style="3" bestFit="1" customWidth="1"/>
    <col min="3870" max="3870" width="9" style="3" bestFit="1" customWidth="1"/>
    <col min="3871" max="3871" width="7.85546875" style="3" bestFit="1" customWidth="1"/>
    <col min="3872" max="3872" width="11.7109375" style="3" bestFit="1" customWidth="1"/>
    <col min="3873" max="3873" width="14.28515625" style="3" customWidth="1"/>
    <col min="3874" max="3874" width="11.7109375" style="3" bestFit="1" customWidth="1"/>
    <col min="3875" max="3875" width="14.140625" style="3" bestFit="1" customWidth="1"/>
    <col min="3876" max="3876" width="16.7109375" style="3" customWidth="1"/>
    <col min="3877" max="3877" width="16.5703125" style="3" customWidth="1"/>
    <col min="3878" max="3879" width="7.85546875" style="3" bestFit="1" customWidth="1"/>
    <col min="3880" max="3880" width="8" style="3" bestFit="1" customWidth="1"/>
    <col min="3881" max="3882" width="7.85546875" style="3" bestFit="1" customWidth="1"/>
    <col min="3883" max="3883" width="9.7109375" style="3" customWidth="1"/>
    <col min="3884" max="3884" width="12.85546875" style="3" customWidth="1"/>
    <col min="3885" max="4121" width="9.140625" style="3"/>
    <col min="4122" max="4122" width="9" style="3" bestFit="1" customWidth="1"/>
    <col min="4123" max="4123" width="9.85546875" style="3" bestFit="1" customWidth="1"/>
    <col min="4124" max="4124" width="9.140625" style="3" bestFit="1" customWidth="1"/>
    <col min="4125" max="4125" width="16" style="3" bestFit="1" customWidth="1"/>
    <col min="4126" max="4126" width="9" style="3" bestFit="1" customWidth="1"/>
    <col min="4127" max="4127" width="7.85546875" style="3" bestFit="1" customWidth="1"/>
    <col min="4128" max="4128" width="11.7109375" style="3" bestFit="1" customWidth="1"/>
    <col min="4129" max="4129" width="14.28515625" style="3" customWidth="1"/>
    <col min="4130" max="4130" width="11.7109375" style="3" bestFit="1" customWidth="1"/>
    <col min="4131" max="4131" width="14.140625" style="3" bestFit="1" customWidth="1"/>
    <col min="4132" max="4132" width="16.7109375" style="3" customWidth="1"/>
    <col min="4133" max="4133" width="16.5703125" style="3" customWidth="1"/>
    <col min="4134" max="4135" width="7.85546875" style="3" bestFit="1" customWidth="1"/>
    <col min="4136" max="4136" width="8" style="3" bestFit="1" customWidth="1"/>
    <col min="4137" max="4138" width="7.85546875" style="3" bestFit="1" customWidth="1"/>
    <col min="4139" max="4139" width="9.7109375" style="3" customWidth="1"/>
    <col min="4140" max="4140" width="12.85546875" style="3" customWidth="1"/>
    <col min="4141" max="4377" width="9.140625" style="3"/>
    <col min="4378" max="4378" width="9" style="3" bestFit="1" customWidth="1"/>
    <col min="4379" max="4379" width="9.85546875" style="3" bestFit="1" customWidth="1"/>
    <col min="4380" max="4380" width="9.140625" style="3" bestFit="1" customWidth="1"/>
    <col min="4381" max="4381" width="16" style="3" bestFit="1" customWidth="1"/>
    <col min="4382" max="4382" width="9" style="3" bestFit="1" customWidth="1"/>
    <col min="4383" max="4383" width="7.85546875" style="3" bestFit="1" customWidth="1"/>
    <col min="4384" max="4384" width="11.7109375" style="3" bestFit="1" customWidth="1"/>
    <col min="4385" max="4385" width="14.28515625" style="3" customWidth="1"/>
    <col min="4386" max="4386" width="11.7109375" style="3" bestFit="1" customWidth="1"/>
    <col min="4387" max="4387" width="14.140625" style="3" bestFit="1" customWidth="1"/>
    <col min="4388" max="4388" width="16.7109375" style="3" customWidth="1"/>
    <col min="4389" max="4389" width="16.5703125" style="3" customWidth="1"/>
    <col min="4390" max="4391" width="7.85546875" style="3" bestFit="1" customWidth="1"/>
    <col min="4392" max="4392" width="8" style="3" bestFit="1" customWidth="1"/>
    <col min="4393" max="4394" width="7.85546875" style="3" bestFit="1" customWidth="1"/>
    <col min="4395" max="4395" width="9.7109375" style="3" customWidth="1"/>
    <col min="4396" max="4396" width="12.85546875" style="3" customWidth="1"/>
    <col min="4397" max="4633" width="9.140625" style="3"/>
    <col min="4634" max="4634" width="9" style="3" bestFit="1" customWidth="1"/>
    <col min="4635" max="4635" width="9.85546875" style="3" bestFit="1" customWidth="1"/>
    <col min="4636" max="4636" width="9.140625" style="3" bestFit="1" customWidth="1"/>
    <col min="4637" max="4637" width="16" style="3" bestFit="1" customWidth="1"/>
    <col min="4638" max="4638" width="9" style="3" bestFit="1" customWidth="1"/>
    <col min="4639" max="4639" width="7.85546875" style="3" bestFit="1" customWidth="1"/>
    <col min="4640" max="4640" width="11.7109375" style="3" bestFit="1" customWidth="1"/>
    <col min="4641" max="4641" width="14.28515625" style="3" customWidth="1"/>
    <col min="4642" max="4642" width="11.7109375" style="3" bestFit="1" customWidth="1"/>
    <col min="4643" max="4643" width="14.140625" style="3" bestFit="1" customWidth="1"/>
    <col min="4644" max="4644" width="16.7109375" style="3" customWidth="1"/>
    <col min="4645" max="4645" width="16.5703125" style="3" customWidth="1"/>
    <col min="4646" max="4647" width="7.85546875" style="3" bestFit="1" customWidth="1"/>
    <col min="4648" max="4648" width="8" style="3" bestFit="1" customWidth="1"/>
    <col min="4649" max="4650" width="7.85546875" style="3" bestFit="1" customWidth="1"/>
    <col min="4651" max="4651" width="9.7109375" style="3" customWidth="1"/>
    <col min="4652" max="4652" width="12.85546875" style="3" customWidth="1"/>
    <col min="4653" max="4889" width="9.140625" style="3"/>
    <col min="4890" max="4890" width="9" style="3" bestFit="1" customWidth="1"/>
    <col min="4891" max="4891" width="9.85546875" style="3" bestFit="1" customWidth="1"/>
    <col min="4892" max="4892" width="9.140625" style="3" bestFit="1" customWidth="1"/>
    <col min="4893" max="4893" width="16" style="3" bestFit="1" customWidth="1"/>
    <col min="4894" max="4894" width="9" style="3" bestFit="1" customWidth="1"/>
    <col min="4895" max="4895" width="7.85546875" style="3" bestFit="1" customWidth="1"/>
    <col min="4896" max="4896" width="11.7109375" style="3" bestFit="1" customWidth="1"/>
    <col min="4897" max="4897" width="14.28515625" style="3" customWidth="1"/>
    <col min="4898" max="4898" width="11.7109375" style="3" bestFit="1" customWidth="1"/>
    <col min="4899" max="4899" width="14.140625" style="3" bestFit="1" customWidth="1"/>
    <col min="4900" max="4900" width="16.7109375" style="3" customWidth="1"/>
    <col min="4901" max="4901" width="16.5703125" style="3" customWidth="1"/>
    <col min="4902" max="4903" width="7.85546875" style="3" bestFit="1" customWidth="1"/>
    <col min="4904" max="4904" width="8" style="3" bestFit="1" customWidth="1"/>
    <col min="4905" max="4906" width="7.85546875" style="3" bestFit="1" customWidth="1"/>
    <col min="4907" max="4907" width="9.7109375" style="3" customWidth="1"/>
    <col min="4908" max="4908" width="12.85546875" style="3" customWidth="1"/>
    <col min="4909" max="5145" width="9.140625" style="3"/>
    <col min="5146" max="5146" width="9" style="3" bestFit="1" customWidth="1"/>
    <col min="5147" max="5147" width="9.85546875" style="3" bestFit="1" customWidth="1"/>
    <col min="5148" max="5148" width="9.140625" style="3" bestFit="1" customWidth="1"/>
    <col min="5149" max="5149" width="16" style="3" bestFit="1" customWidth="1"/>
    <col min="5150" max="5150" width="9" style="3" bestFit="1" customWidth="1"/>
    <col min="5151" max="5151" width="7.85546875" style="3" bestFit="1" customWidth="1"/>
    <col min="5152" max="5152" width="11.7109375" style="3" bestFit="1" customWidth="1"/>
    <col min="5153" max="5153" width="14.28515625" style="3" customWidth="1"/>
    <col min="5154" max="5154" width="11.7109375" style="3" bestFit="1" customWidth="1"/>
    <col min="5155" max="5155" width="14.140625" style="3" bestFit="1" customWidth="1"/>
    <col min="5156" max="5156" width="16.7109375" style="3" customWidth="1"/>
    <col min="5157" max="5157" width="16.5703125" style="3" customWidth="1"/>
    <col min="5158" max="5159" width="7.85546875" style="3" bestFit="1" customWidth="1"/>
    <col min="5160" max="5160" width="8" style="3" bestFit="1" customWidth="1"/>
    <col min="5161" max="5162" width="7.85546875" style="3" bestFit="1" customWidth="1"/>
    <col min="5163" max="5163" width="9.7109375" style="3" customWidth="1"/>
    <col min="5164" max="5164" width="12.85546875" style="3" customWidth="1"/>
    <col min="5165" max="5401" width="9.140625" style="3"/>
    <col min="5402" max="5402" width="9" style="3" bestFit="1" customWidth="1"/>
    <col min="5403" max="5403" width="9.85546875" style="3" bestFit="1" customWidth="1"/>
    <col min="5404" max="5404" width="9.140625" style="3" bestFit="1" customWidth="1"/>
    <col min="5405" max="5405" width="16" style="3" bestFit="1" customWidth="1"/>
    <col min="5406" max="5406" width="9" style="3" bestFit="1" customWidth="1"/>
    <col min="5407" max="5407" width="7.85546875" style="3" bestFit="1" customWidth="1"/>
    <col min="5408" max="5408" width="11.7109375" style="3" bestFit="1" customWidth="1"/>
    <col min="5409" max="5409" width="14.28515625" style="3" customWidth="1"/>
    <col min="5410" max="5410" width="11.7109375" style="3" bestFit="1" customWidth="1"/>
    <col min="5411" max="5411" width="14.140625" style="3" bestFit="1" customWidth="1"/>
    <col min="5412" max="5412" width="16.7109375" style="3" customWidth="1"/>
    <col min="5413" max="5413" width="16.5703125" style="3" customWidth="1"/>
    <col min="5414" max="5415" width="7.85546875" style="3" bestFit="1" customWidth="1"/>
    <col min="5416" max="5416" width="8" style="3" bestFit="1" customWidth="1"/>
    <col min="5417" max="5418" width="7.85546875" style="3" bestFit="1" customWidth="1"/>
    <col min="5419" max="5419" width="9.7109375" style="3" customWidth="1"/>
    <col min="5420" max="5420" width="12.85546875" style="3" customWidth="1"/>
    <col min="5421" max="5657" width="9.140625" style="3"/>
    <col min="5658" max="5658" width="9" style="3" bestFit="1" customWidth="1"/>
    <col min="5659" max="5659" width="9.85546875" style="3" bestFit="1" customWidth="1"/>
    <col min="5660" max="5660" width="9.140625" style="3" bestFit="1" customWidth="1"/>
    <col min="5661" max="5661" width="16" style="3" bestFit="1" customWidth="1"/>
    <col min="5662" max="5662" width="9" style="3" bestFit="1" customWidth="1"/>
    <col min="5663" max="5663" width="7.85546875" style="3" bestFit="1" customWidth="1"/>
    <col min="5664" max="5664" width="11.7109375" style="3" bestFit="1" customWidth="1"/>
    <col min="5665" max="5665" width="14.28515625" style="3" customWidth="1"/>
    <col min="5666" max="5666" width="11.7109375" style="3" bestFit="1" customWidth="1"/>
    <col min="5667" max="5667" width="14.140625" style="3" bestFit="1" customWidth="1"/>
    <col min="5668" max="5668" width="16.7109375" style="3" customWidth="1"/>
    <col min="5669" max="5669" width="16.5703125" style="3" customWidth="1"/>
    <col min="5670" max="5671" width="7.85546875" style="3" bestFit="1" customWidth="1"/>
    <col min="5672" max="5672" width="8" style="3" bestFit="1" customWidth="1"/>
    <col min="5673" max="5674" width="7.85546875" style="3" bestFit="1" customWidth="1"/>
    <col min="5675" max="5675" width="9.7109375" style="3" customWidth="1"/>
    <col min="5676" max="5676" width="12.85546875" style="3" customWidth="1"/>
    <col min="5677" max="5913" width="9.140625" style="3"/>
    <col min="5914" max="5914" width="9" style="3" bestFit="1" customWidth="1"/>
    <col min="5915" max="5915" width="9.85546875" style="3" bestFit="1" customWidth="1"/>
    <col min="5916" max="5916" width="9.140625" style="3" bestFit="1" customWidth="1"/>
    <col min="5917" max="5917" width="16" style="3" bestFit="1" customWidth="1"/>
    <col min="5918" max="5918" width="9" style="3" bestFit="1" customWidth="1"/>
    <col min="5919" max="5919" width="7.85546875" style="3" bestFit="1" customWidth="1"/>
    <col min="5920" max="5920" width="11.7109375" style="3" bestFit="1" customWidth="1"/>
    <col min="5921" max="5921" width="14.28515625" style="3" customWidth="1"/>
    <col min="5922" max="5922" width="11.7109375" style="3" bestFit="1" customWidth="1"/>
    <col min="5923" max="5923" width="14.140625" style="3" bestFit="1" customWidth="1"/>
    <col min="5924" max="5924" width="16.7109375" style="3" customWidth="1"/>
    <col min="5925" max="5925" width="16.5703125" style="3" customWidth="1"/>
    <col min="5926" max="5927" width="7.85546875" style="3" bestFit="1" customWidth="1"/>
    <col min="5928" max="5928" width="8" style="3" bestFit="1" customWidth="1"/>
    <col min="5929" max="5930" width="7.85546875" style="3" bestFit="1" customWidth="1"/>
    <col min="5931" max="5931" width="9.7109375" style="3" customWidth="1"/>
    <col min="5932" max="5932" width="12.85546875" style="3" customWidth="1"/>
    <col min="5933" max="6169" width="9.140625" style="3"/>
    <col min="6170" max="6170" width="9" style="3" bestFit="1" customWidth="1"/>
    <col min="6171" max="6171" width="9.85546875" style="3" bestFit="1" customWidth="1"/>
    <col min="6172" max="6172" width="9.140625" style="3" bestFit="1" customWidth="1"/>
    <col min="6173" max="6173" width="16" style="3" bestFit="1" customWidth="1"/>
    <col min="6174" max="6174" width="9" style="3" bestFit="1" customWidth="1"/>
    <col min="6175" max="6175" width="7.85546875" style="3" bestFit="1" customWidth="1"/>
    <col min="6176" max="6176" width="11.7109375" style="3" bestFit="1" customWidth="1"/>
    <col min="6177" max="6177" width="14.28515625" style="3" customWidth="1"/>
    <col min="6178" max="6178" width="11.7109375" style="3" bestFit="1" customWidth="1"/>
    <col min="6179" max="6179" width="14.140625" style="3" bestFit="1" customWidth="1"/>
    <col min="6180" max="6180" width="16.7109375" style="3" customWidth="1"/>
    <col min="6181" max="6181" width="16.5703125" style="3" customWidth="1"/>
    <col min="6182" max="6183" width="7.85546875" style="3" bestFit="1" customWidth="1"/>
    <col min="6184" max="6184" width="8" style="3" bestFit="1" customWidth="1"/>
    <col min="6185" max="6186" width="7.85546875" style="3" bestFit="1" customWidth="1"/>
    <col min="6187" max="6187" width="9.7109375" style="3" customWidth="1"/>
    <col min="6188" max="6188" width="12.85546875" style="3" customWidth="1"/>
    <col min="6189" max="6425" width="9.140625" style="3"/>
    <col min="6426" max="6426" width="9" style="3" bestFit="1" customWidth="1"/>
    <col min="6427" max="6427" width="9.85546875" style="3" bestFit="1" customWidth="1"/>
    <col min="6428" max="6428" width="9.140625" style="3" bestFit="1" customWidth="1"/>
    <col min="6429" max="6429" width="16" style="3" bestFit="1" customWidth="1"/>
    <col min="6430" max="6430" width="9" style="3" bestFit="1" customWidth="1"/>
    <col min="6431" max="6431" width="7.85546875" style="3" bestFit="1" customWidth="1"/>
    <col min="6432" max="6432" width="11.7109375" style="3" bestFit="1" customWidth="1"/>
    <col min="6433" max="6433" width="14.28515625" style="3" customWidth="1"/>
    <col min="6434" max="6434" width="11.7109375" style="3" bestFit="1" customWidth="1"/>
    <col min="6435" max="6435" width="14.140625" style="3" bestFit="1" customWidth="1"/>
    <col min="6436" max="6436" width="16.7109375" style="3" customWidth="1"/>
    <col min="6437" max="6437" width="16.5703125" style="3" customWidth="1"/>
    <col min="6438" max="6439" width="7.85546875" style="3" bestFit="1" customWidth="1"/>
    <col min="6440" max="6440" width="8" style="3" bestFit="1" customWidth="1"/>
    <col min="6441" max="6442" width="7.85546875" style="3" bestFit="1" customWidth="1"/>
    <col min="6443" max="6443" width="9.7109375" style="3" customWidth="1"/>
    <col min="6444" max="6444" width="12.85546875" style="3" customWidth="1"/>
    <col min="6445" max="6681" width="9.140625" style="3"/>
    <col min="6682" max="6682" width="9" style="3" bestFit="1" customWidth="1"/>
    <col min="6683" max="6683" width="9.85546875" style="3" bestFit="1" customWidth="1"/>
    <col min="6684" max="6684" width="9.140625" style="3" bestFit="1" customWidth="1"/>
    <col min="6685" max="6685" width="16" style="3" bestFit="1" customWidth="1"/>
    <col min="6686" max="6686" width="9" style="3" bestFit="1" customWidth="1"/>
    <col min="6687" max="6687" width="7.85546875" style="3" bestFit="1" customWidth="1"/>
    <col min="6688" max="6688" width="11.7109375" style="3" bestFit="1" customWidth="1"/>
    <col min="6689" max="6689" width="14.28515625" style="3" customWidth="1"/>
    <col min="6690" max="6690" width="11.7109375" style="3" bestFit="1" customWidth="1"/>
    <col min="6691" max="6691" width="14.140625" style="3" bestFit="1" customWidth="1"/>
    <col min="6692" max="6692" width="16.7109375" style="3" customWidth="1"/>
    <col min="6693" max="6693" width="16.5703125" style="3" customWidth="1"/>
    <col min="6694" max="6695" width="7.85546875" style="3" bestFit="1" customWidth="1"/>
    <col min="6696" max="6696" width="8" style="3" bestFit="1" customWidth="1"/>
    <col min="6697" max="6698" width="7.85546875" style="3" bestFit="1" customWidth="1"/>
    <col min="6699" max="6699" width="9.7109375" style="3" customWidth="1"/>
    <col min="6700" max="6700" width="12.85546875" style="3" customWidth="1"/>
    <col min="6701" max="6937" width="9.140625" style="3"/>
    <col min="6938" max="6938" width="9" style="3" bestFit="1" customWidth="1"/>
    <col min="6939" max="6939" width="9.85546875" style="3" bestFit="1" customWidth="1"/>
    <col min="6940" max="6940" width="9.140625" style="3" bestFit="1" customWidth="1"/>
    <col min="6941" max="6941" width="16" style="3" bestFit="1" customWidth="1"/>
    <col min="6942" max="6942" width="9" style="3" bestFit="1" customWidth="1"/>
    <col min="6943" max="6943" width="7.85546875" style="3" bestFit="1" customWidth="1"/>
    <col min="6944" max="6944" width="11.7109375" style="3" bestFit="1" customWidth="1"/>
    <col min="6945" max="6945" width="14.28515625" style="3" customWidth="1"/>
    <col min="6946" max="6946" width="11.7109375" style="3" bestFit="1" customWidth="1"/>
    <col min="6947" max="6947" width="14.140625" style="3" bestFit="1" customWidth="1"/>
    <col min="6948" max="6948" width="16.7109375" style="3" customWidth="1"/>
    <col min="6949" max="6949" width="16.5703125" style="3" customWidth="1"/>
    <col min="6950" max="6951" width="7.85546875" style="3" bestFit="1" customWidth="1"/>
    <col min="6952" max="6952" width="8" style="3" bestFit="1" customWidth="1"/>
    <col min="6953" max="6954" width="7.85546875" style="3" bestFit="1" customWidth="1"/>
    <col min="6955" max="6955" width="9.7109375" style="3" customWidth="1"/>
    <col min="6956" max="6956" width="12.85546875" style="3" customWidth="1"/>
    <col min="6957" max="7193" width="9.140625" style="3"/>
    <col min="7194" max="7194" width="9" style="3" bestFit="1" customWidth="1"/>
    <col min="7195" max="7195" width="9.85546875" style="3" bestFit="1" customWidth="1"/>
    <col min="7196" max="7196" width="9.140625" style="3" bestFit="1" customWidth="1"/>
    <col min="7197" max="7197" width="16" style="3" bestFit="1" customWidth="1"/>
    <col min="7198" max="7198" width="9" style="3" bestFit="1" customWidth="1"/>
    <col min="7199" max="7199" width="7.85546875" style="3" bestFit="1" customWidth="1"/>
    <col min="7200" max="7200" width="11.7109375" style="3" bestFit="1" customWidth="1"/>
    <col min="7201" max="7201" width="14.28515625" style="3" customWidth="1"/>
    <col min="7202" max="7202" width="11.7109375" style="3" bestFit="1" customWidth="1"/>
    <col min="7203" max="7203" width="14.140625" style="3" bestFit="1" customWidth="1"/>
    <col min="7204" max="7204" width="16.7109375" style="3" customWidth="1"/>
    <col min="7205" max="7205" width="16.5703125" style="3" customWidth="1"/>
    <col min="7206" max="7207" width="7.85546875" style="3" bestFit="1" customWidth="1"/>
    <col min="7208" max="7208" width="8" style="3" bestFit="1" customWidth="1"/>
    <col min="7209" max="7210" width="7.85546875" style="3" bestFit="1" customWidth="1"/>
    <col min="7211" max="7211" width="9.7109375" style="3" customWidth="1"/>
    <col min="7212" max="7212" width="12.85546875" style="3" customWidth="1"/>
    <col min="7213" max="7449" width="9.140625" style="3"/>
    <col min="7450" max="7450" width="9" style="3" bestFit="1" customWidth="1"/>
    <col min="7451" max="7451" width="9.85546875" style="3" bestFit="1" customWidth="1"/>
    <col min="7452" max="7452" width="9.140625" style="3" bestFit="1" customWidth="1"/>
    <col min="7453" max="7453" width="16" style="3" bestFit="1" customWidth="1"/>
    <col min="7454" max="7454" width="9" style="3" bestFit="1" customWidth="1"/>
    <col min="7455" max="7455" width="7.85546875" style="3" bestFit="1" customWidth="1"/>
    <col min="7456" max="7456" width="11.7109375" style="3" bestFit="1" customWidth="1"/>
    <col min="7457" max="7457" width="14.28515625" style="3" customWidth="1"/>
    <col min="7458" max="7458" width="11.7109375" style="3" bestFit="1" customWidth="1"/>
    <col min="7459" max="7459" width="14.140625" style="3" bestFit="1" customWidth="1"/>
    <col min="7460" max="7460" width="16.7109375" style="3" customWidth="1"/>
    <col min="7461" max="7461" width="16.5703125" style="3" customWidth="1"/>
    <col min="7462" max="7463" width="7.85546875" style="3" bestFit="1" customWidth="1"/>
    <col min="7464" max="7464" width="8" style="3" bestFit="1" customWidth="1"/>
    <col min="7465" max="7466" width="7.85546875" style="3" bestFit="1" customWidth="1"/>
    <col min="7467" max="7467" width="9.7109375" style="3" customWidth="1"/>
    <col min="7468" max="7468" width="12.85546875" style="3" customWidth="1"/>
    <col min="7469" max="7705" width="9.140625" style="3"/>
    <col min="7706" max="7706" width="9" style="3" bestFit="1" customWidth="1"/>
    <col min="7707" max="7707" width="9.85546875" style="3" bestFit="1" customWidth="1"/>
    <col min="7708" max="7708" width="9.140625" style="3" bestFit="1" customWidth="1"/>
    <col min="7709" max="7709" width="16" style="3" bestFit="1" customWidth="1"/>
    <col min="7710" max="7710" width="9" style="3" bestFit="1" customWidth="1"/>
    <col min="7711" max="7711" width="7.85546875" style="3" bestFit="1" customWidth="1"/>
    <col min="7712" max="7712" width="11.7109375" style="3" bestFit="1" customWidth="1"/>
    <col min="7713" max="7713" width="14.28515625" style="3" customWidth="1"/>
    <col min="7714" max="7714" width="11.7109375" style="3" bestFit="1" customWidth="1"/>
    <col min="7715" max="7715" width="14.140625" style="3" bestFit="1" customWidth="1"/>
    <col min="7716" max="7716" width="16.7109375" style="3" customWidth="1"/>
    <col min="7717" max="7717" width="16.5703125" style="3" customWidth="1"/>
    <col min="7718" max="7719" width="7.85546875" style="3" bestFit="1" customWidth="1"/>
    <col min="7720" max="7720" width="8" style="3" bestFit="1" customWidth="1"/>
    <col min="7721" max="7722" width="7.85546875" style="3" bestFit="1" customWidth="1"/>
    <col min="7723" max="7723" width="9.7109375" style="3" customWidth="1"/>
    <col min="7724" max="7724" width="12.85546875" style="3" customWidth="1"/>
    <col min="7725" max="7961" width="9.140625" style="3"/>
    <col min="7962" max="7962" width="9" style="3" bestFit="1" customWidth="1"/>
    <col min="7963" max="7963" width="9.85546875" style="3" bestFit="1" customWidth="1"/>
    <col min="7964" max="7964" width="9.140625" style="3" bestFit="1" customWidth="1"/>
    <col min="7965" max="7965" width="16" style="3" bestFit="1" customWidth="1"/>
    <col min="7966" max="7966" width="9" style="3" bestFit="1" customWidth="1"/>
    <col min="7967" max="7967" width="7.85546875" style="3" bestFit="1" customWidth="1"/>
    <col min="7968" max="7968" width="11.7109375" style="3" bestFit="1" customWidth="1"/>
    <col min="7969" max="7969" width="14.28515625" style="3" customWidth="1"/>
    <col min="7970" max="7970" width="11.7109375" style="3" bestFit="1" customWidth="1"/>
    <col min="7971" max="7971" width="14.140625" style="3" bestFit="1" customWidth="1"/>
    <col min="7972" max="7972" width="16.7109375" style="3" customWidth="1"/>
    <col min="7973" max="7973" width="16.5703125" style="3" customWidth="1"/>
    <col min="7974" max="7975" width="7.85546875" style="3" bestFit="1" customWidth="1"/>
    <col min="7976" max="7976" width="8" style="3" bestFit="1" customWidth="1"/>
    <col min="7977" max="7978" width="7.85546875" style="3" bestFit="1" customWidth="1"/>
    <col min="7979" max="7979" width="9.7109375" style="3" customWidth="1"/>
    <col min="7980" max="7980" width="12.85546875" style="3" customWidth="1"/>
    <col min="7981" max="8217" width="9.140625" style="3"/>
    <col min="8218" max="8218" width="9" style="3" bestFit="1" customWidth="1"/>
    <col min="8219" max="8219" width="9.85546875" style="3" bestFit="1" customWidth="1"/>
    <col min="8220" max="8220" width="9.140625" style="3" bestFit="1" customWidth="1"/>
    <col min="8221" max="8221" width="16" style="3" bestFit="1" customWidth="1"/>
    <col min="8222" max="8222" width="9" style="3" bestFit="1" customWidth="1"/>
    <col min="8223" max="8223" width="7.85546875" style="3" bestFit="1" customWidth="1"/>
    <col min="8224" max="8224" width="11.7109375" style="3" bestFit="1" customWidth="1"/>
    <col min="8225" max="8225" width="14.28515625" style="3" customWidth="1"/>
    <col min="8226" max="8226" width="11.7109375" style="3" bestFit="1" customWidth="1"/>
    <col min="8227" max="8227" width="14.140625" style="3" bestFit="1" customWidth="1"/>
    <col min="8228" max="8228" width="16.7109375" style="3" customWidth="1"/>
    <col min="8229" max="8229" width="16.5703125" style="3" customWidth="1"/>
    <col min="8230" max="8231" width="7.85546875" style="3" bestFit="1" customWidth="1"/>
    <col min="8232" max="8232" width="8" style="3" bestFit="1" customWidth="1"/>
    <col min="8233" max="8234" width="7.85546875" style="3" bestFit="1" customWidth="1"/>
    <col min="8235" max="8235" width="9.7109375" style="3" customWidth="1"/>
    <col min="8236" max="8236" width="12.85546875" style="3" customWidth="1"/>
    <col min="8237" max="8473" width="9.140625" style="3"/>
    <col min="8474" max="8474" width="9" style="3" bestFit="1" customWidth="1"/>
    <col min="8475" max="8475" width="9.85546875" style="3" bestFit="1" customWidth="1"/>
    <col min="8476" max="8476" width="9.140625" style="3" bestFit="1" customWidth="1"/>
    <col min="8477" max="8477" width="16" style="3" bestFit="1" customWidth="1"/>
    <col min="8478" max="8478" width="9" style="3" bestFit="1" customWidth="1"/>
    <col min="8479" max="8479" width="7.85546875" style="3" bestFit="1" customWidth="1"/>
    <col min="8480" max="8480" width="11.7109375" style="3" bestFit="1" customWidth="1"/>
    <col min="8481" max="8481" width="14.28515625" style="3" customWidth="1"/>
    <col min="8482" max="8482" width="11.7109375" style="3" bestFit="1" customWidth="1"/>
    <col min="8483" max="8483" width="14.140625" style="3" bestFit="1" customWidth="1"/>
    <col min="8484" max="8484" width="16.7109375" style="3" customWidth="1"/>
    <col min="8485" max="8485" width="16.5703125" style="3" customWidth="1"/>
    <col min="8486" max="8487" width="7.85546875" style="3" bestFit="1" customWidth="1"/>
    <col min="8488" max="8488" width="8" style="3" bestFit="1" customWidth="1"/>
    <col min="8489" max="8490" width="7.85546875" style="3" bestFit="1" customWidth="1"/>
    <col min="8491" max="8491" width="9.7109375" style="3" customWidth="1"/>
    <col min="8492" max="8492" width="12.85546875" style="3" customWidth="1"/>
    <col min="8493" max="8729" width="9.140625" style="3"/>
    <col min="8730" max="8730" width="9" style="3" bestFit="1" customWidth="1"/>
    <col min="8731" max="8731" width="9.85546875" style="3" bestFit="1" customWidth="1"/>
    <col min="8732" max="8732" width="9.140625" style="3" bestFit="1" customWidth="1"/>
    <col min="8733" max="8733" width="16" style="3" bestFit="1" customWidth="1"/>
    <col min="8734" max="8734" width="9" style="3" bestFit="1" customWidth="1"/>
    <col min="8735" max="8735" width="7.85546875" style="3" bestFit="1" customWidth="1"/>
    <col min="8736" max="8736" width="11.7109375" style="3" bestFit="1" customWidth="1"/>
    <col min="8737" max="8737" width="14.28515625" style="3" customWidth="1"/>
    <col min="8738" max="8738" width="11.7109375" style="3" bestFit="1" customWidth="1"/>
    <col min="8739" max="8739" width="14.140625" style="3" bestFit="1" customWidth="1"/>
    <col min="8740" max="8740" width="16.7109375" style="3" customWidth="1"/>
    <col min="8741" max="8741" width="16.5703125" style="3" customWidth="1"/>
    <col min="8742" max="8743" width="7.85546875" style="3" bestFit="1" customWidth="1"/>
    <col min="8744" max="8744" width="8" style="3" bestFit="1" customWidth="1"/>
    <col min="8745" max="8746" width="7.85546875" style="3" bestFit="1" customWidth="1"/>
    <col min="8747" max="8747" width="9.7109375" style="3" customWidth="1"/>
    <col min="8748" max="8748" width="12.85546875" style="3" customWidth="1"/>
    <col min="8749" max="8985" width="9.140625" style="3"/>
    <col min="8986" max="8986" width="9" style="3" bestFit="1" customWidth="1"/>
    <col min="8987" max="8987" width="9.85546875" style="3" bestFit="1" customWidth="1"/>
    <col min="8988" max="8988" width="9.140625" style="3" bestFit="1" customWidth="1"/>
    <col min="8989" max="8989" width="16" style="3" bestFit="1" customWidth="1"/>
    <col min="8990" max="8990" width="9" style="3" bestFit="1" customWidth="1"/>
    <col min="8991" max="8991" width="7.85546875" style="3" bestFit="1" customWidth="1"/>
    <col min="8992" max="8992" width="11.7109375" style="3" bestFit="1" customWidth="1"/>
    <col min="8993" max="8993" width="14.28515625" style="3" customWidth="1"/>
    <col min="8994" max="8994" width="11.7109375" style="3" bestFit="1" customWidth="1"/>
    <col min="8995" max="8995" width="14.140625" style="3" bestFit="1" customWidth="1"/>
    <col min="8996" max="8996" width="16.7109375" style="3" customWidth="1"/>
    <col min="8997" max="8997" width="16.5703125" style="3" customWidth="1"/>
    <col min="8998" max="8999" width="7.85546875" style="3" bestFit="1" customWidth="1"/>
    <col min="9000" max="9000" width="8" style="3" bestFit="1" customWidth="1"/>
    <col min="9001" max="9002" width="7.85546875" style="3" bestFit="1" customWidth="1"/>
    <col min="9003" max="9003" width="9.7109375" style="3" customWidth="1"/>
    <col min="9004" max="9004" width="12.85546875" style="3" customWidth="1"/>
    <col min="9005" max="9241" width="9.140625" style="3"/>
    <col min="9242" max="9242" width="9" style="3" bestFit="1" customWidth="1"/>
    <col min="9243" max="9243" width="9.85546875" style="3" bestFit="1" customWidth="1"/>
    <col min="9244" max="9244" width="9.140625" style="3" bestFit="1" customWidth="1"/>
    <col min="9245" max="9245" width="16" style="3" bestFit="1" customWidth="1"/>
    <col min="9246" max="9246" width="9" style="3" bestFit="1" customWidth="1"/>
    <col min="9247" max="9247" width="7.85546875" style="3" bestFit="1" customWidth="1"/>
    <col min="9248" max="9248" width="11.7109375" style="3" bestFit="1" customWidth="1"/>
    <col min="9249" max="9249" width="14.28515625" style="3" customWidth="1"/>
    <col min="9250" max="9250" width="11.7109375" style="3" bestFit="1" customWidth="1"/>
    <col min="9251" max="9251" width="14.140625" style="3" bestFit="1" customWidth="1"/>
    <col min="9252" max="9252" width="16.7109375" style="3" customWidth="1"/>
    <col min="9253" max="9253" width="16.5703125" style="3" customWidth="1"/>
    <col min="9254" max="9255" width="7.85546875" style="3" bestFit="1" customWidth="1"/>
    <col min="9256" max="9256" width="8" style="3" bestFit="1" customWidth="1"/>
    <col min="9257" max="9258" width="7.85546875" style="3" bestFit="1" customWidth="1"/>
    <col min="9259" max="9259" width="9.7109375" style="3" customWidth="1"/>
    <col min="9260" max="9260" width="12.85546875" style="3" customWidth="1"/>
    <col min="9261" max="9497" width="9.140625" style="3"/>
    <col min="9498" max="9498" width="9" style="3" bestFit="1" customWidth="1"/>
    <col min="9499" max="9499" width="9.85546875" style="3" bestFit="1" customWidth="1"/>
    <col min="9500" max="9500" width="9.140625" style="3" bestFit="1" customWidth="1"/>
    <col min="9501" max="9501" width="16" style="3" bestFit="1" customWidth="1"/>
    <col min="9502" max="9502" width="9" style="3" bestFit="1" customWidth="1"/>
    <col min="9503" max="9503" width="7.85546875" style="3" bestFit="1" customWidth="1"/>
    <col min="9504" max="9504" width="11.7109375" style="3" bestFit="1" customWidth="1"/>
    <col min="9505" max="9505" width="14.28515625" style="3" customWidth="1"/>
    <col min="9506" max="9506" width="11.7109375" style="3" bestFit="1" customWidth="1"/>
    <col min="9507" max="9507" width="14.140625" style="3" bestFit="1" customWidth="1"/>
    <col min="9508" max="9508" width="16.7109375" style="3" customWidth="1"/>
    <col min="9509" max="9509" width="16.5703125" style="3" customWidth="1"/>
    <col min="9510" max="9511" width="7.85546875" style="3" bestFit="1" customWidth="1"/>
    <col min="9512" max="9512" width="8" style="3" bestFit="1" customWidth="1"/>
    <col min="9513" max="9514" width="7.85546875" style="3" bestFit="1" customWidth="1"/>
    <col min="9515" max="9515" width="9.7109375" style="3" customWidth="1"/>
    <col min="9516" max="9516" width="12.85546875" style="3" customWidth="1"/>
    <col min="9517" max="9753" width="9.140625" style="3"/>
    <col min="9754" max="9754" width="9" style="3" bestFit="1" customWidth="1"/>
    <col min="9755" max="9755" width="9.85546875" style="3" bestFit="1" customWidth="1"/>
    <col min="9756" max="9756" width="9.140625" style="3" bestFit="1" customWidth="1"/>
    <col min="9757" max="9757" width="16" style="3" bestFit="1" customWidth="1"/>
    <col min="9758" max="9758" width="9" style="3" bestFit="1" customWidth="1"/>
    <col min="9759" max="9759" width="7.85546875" style="3" bestFit="1" customWidth="1"/>
    <col min="9760" max="9760" width="11.7109375" style="3" bestFit="1" customWidth="1"/>
    <col min="9761" max="9761" width="14.28515625" style="3" customWidth="1"/>
    <col min="9762" max="9762" width="11.7109375" style="3" bestFit="1" customWidth="1"/>
    <col min="9763" max="9763" width="14.140625" style="3" bestFit="1" customWidth="1"/>
    <col min="9764" max="9764" width="16.7109375" style="3" customWidth="1"/>
    <col min="9765" max="9765" width="16.5703125" style="3" customWidth="1"/>
    <col min="9766" max="9767" width="7.85546875" style="3" bestFit="1" customWidth="1"/>
    <col min="9768" max="9768" width="8" style="3" bestFit="1" customWidth="1"/>
    <col min="9769" max="9770" width="7.85546875" style="3" bestFit="1" customWidth="1"/>
    <col min="9771" max="9771" width="9.7109375" style="3" customWidth="1"/>
    <col min="9772" max="9772" width="12.85546875" style="3" customWidth="1"/>
    <col min="9773" max="10009" width="9.140625" style="3"/>
    <col min="10010" max="10010" width="9" style="3" bestFit="1" customWidth="1"/>
    <col min="10011" max="10011" width="9.85546875" style="3" bestFit="1" customWidth="1"/>
    <col min="10012" max="10012" width="9.140625" style="3" bestFit="1" customWidth="1"/>
    <col min="10013" max="10013" width="16" style="3" bestFit="1" customWidth="1"/>
    <col min="10014" max="10014" width="9" style="3" bestFit="1" customWidth="1"/>
    <col min="10015" max="10015" width="7.85546875" style="3" bestFit="1" customWidth="1"/>
    <col min="10016" max="10016" width="11.7109375" style="3" bestFit="1" customWidth="1"/>
    <col min="10017" max="10017" width="14.28515625" style="3" customWidth="1"/>
    <col min="10018" max="10018" width="11.7109375" style="3" bestFit="1" customWidth="1"/>
    <col min="10019" max="10019" width="14.140625" style="3" bestFit="1" customWidth="1"/>
    <col min="10020" max="10020" width="16.7109375" style="3" customWidth="1"/>
    <col min="10021" max="10021" width="16.5703125" style="3" customWidth="1"/>
    <col min="10022" max="10023" width="7.85546875" style="3" bestFit="1" customWidth="1"/>
    <col min="10024" max="10024" width="8" style="3" bestFit="1" customWidth="1"/>
    <col min="10025" max="10026" width="7.85546875" style="3" bestFit="1" customWidth="1"/>
    <col min="10027" max="10027" width="9.7109375" style="3" customWidth="1"/>
    <col min="10028" max="10028" width="12.85546875" style="3" customWidth="1"/>
    <col min="10029" max="10265" width="9.140625" style="3"/>
    <col min="10266" max="10266" width="9" style="3" bestFit="1" customWidth="1"/>
    <col min="10267" max="10267" width="9.85546875" style="3" bestFit="1" customWidth="1"/>
    <col min="10268" max="10268" width="9.140625" style="3" bestFit="1" customWidth="1"/>
    <col min="10269" max="10269" width="16" style="3" bestFit="1" customWidth="1"/>
    <col min="10270" max="10270" width="9" style="3" bestFit="1" customWidth="1"/>
    <col min="10271" max="10271" width="7.85546875" style="3" bestFit="1" customWidth="1"/>
    <col min="10272" max="10272" width="11.7109375" style="3" bestFit="1" customWidth="1"/>
    <col min="10273" max="10273" width="14.28515625" style="3" customWidth="1"/>
    <col min="10274" max="10274" width="11.7109375" style="3" bestFit="1" customWidth="1"/>
    <col min="10275" max="10275" width="14.140625" style="3" bestFit="1" customWidth="1"/>
    <col min="10276" max="10276" width="16.7109375" style="3" customWidth="1"/>
    <col min="10277" max="10277" width="16.5703125" style="3" customWidth="1"/>
    <col min="10278" max="10279" width="7.85546875" style="3" bestFit="1" customWidth="1"/>
    <col min="10280" max="10280" width="8" style="3" bestFit="1" customWidth="1"/>
    <col min="10281" max="10282" width="7.85546875" style="3" bestFit="1" customWidth="1"/>
    <col min="10283" max="10283" width="9.7109375" style="3" customWidth="1"/>
    <col min="10284" max="10284" width="12.85546875" style="3" customWidth="1"/>
    <col min="10285" max="10521" width="9.140625" style="3"/>
    <col min="10522" max="10522" width="9" style="3" bestFit="1" customWidth="1"/>
    <col min="10523" max="10523" width="9.85546875" style="3" bestFit="1" customWidth="1"/>
    <col min="10524" max="10524" width="9.140625" style="3" bestFit="1" customWidth="1"/>
    <col min="10525" max="10525" width="16" style="3" bestFit="1" customWidth="1"/>
    <col min="10526" max="10526" width="9" style="3" bestFit="1" customWidth="1"/>
    <col min="10527" max="10527" width="7.85546875" style="3" bestFit="1" customWidth="1"/>
    <col min="10528" max="10528" width="11.7109375" style="3" bestFit="1" customWidth="1"/>
    <col min="10529" max="10529" width="14.28515625" style="3" customWidth="1"/>
    <col min="10530" max="10530" width="11.7109375" style="3" bestFit="1" customWidth="1"/>
    <col min="10531" max="10531" width="14.140625" style="3" bestFit="1" customWidth="1"/>
    <col min="10532" max="10532" width="16.7109375" style="3" customWidth="1"/>
    <col min="10533" max="10533" width="16.5703125" style="3" customWidth="1"/>
    <col min="10534" max="10535" width="7.85546875" style="3" bestFit="1" customWidth="1"/>
    <col min="10536" max="10536" width="8" style="3" bestFit="1" customWidth="1"/>
    <col min="10537" max="10538" width="7.85546875" style="3" bestFit="1" customWidth="1"/>
    <col min="10539" max="10539" width="9.7109375" style="3" customWidth="1"/>
    <col min="10540" max="10540" width="12.85546875" style="3" customWidth="1"/>
    <col min="10541" max="10777" width="9.140625" style="3"/>
    <col min="10778" max="10778" width="9" style="3" bestFit="1" customWidth="1"/>
    <col min="10779" max="10779" width="9.85546875" style="3" bestFit="1" customWidth="1"/>
    <col min="10780" max="10780" width="9.140625" style="3" bestFit="1" customWidth="1"/>
    <col min="10781" max="10781" width="16" style="3" bestFit="1" customWidth="1"/>
    <col min="10782" max="10782" width="9" style="3" bestFit="1" customWidth="1"/>
    <col min="10783" max="10783" width="7.85546875" style="3" bestFit="1" customWidth="1"/>
    <col min="10784" max="10784" width="11.7109375" style="3" bestFit="1" customWidth="1"/>
    <col min="10785" max="10785" width="14.28515625" style="3" customWidth="1"/>
    <col min="10786" max="10786" width="11.7109375" style="3" bestFit="1" customWidth="1"/>
    <col min="10787" max="10787" width="14.140625" style="3" bestFit="1" customWidth="1"/>
    <col min="10788" max="10788" width="16.7109375" style="3" customWidth="1"/>
    <col min="10789" max="10789" width="16.5703125" style="3" customWidth="1"/>
    <col min="10790" max="10791" width="7.85546875" style="3" bestFit="1" customWidth="1"/>
    <col min="10792" max="10792" width="8" style="3" bestFit="1" customWidth="1"/>
    <col min="10793" max="10794" width="7.85546875" style="3" bestFit="1" customWidth="1"/>
    <col min="10795" max="10795" width="9.7109375" style="3" customWidth="1"/>
    <col min="10796" max="10796" width="12.85546875" style="3" customWidth="1"/>
    <col min="10797" max="11033" width="9.140625" style="3"/>
    <col min="11034" max="11034" width="9" style="3" bestFit="1" customWidth="1"/>
    <col min="11035" max="11035" width="9.85546875" style="3" bestFit="1" customWidth="1"/>
    <col min="11036" max="11036" width="9.140625" style="3" bestFit="1" customWidth="1"/>
    <col min="11037" max="11037" width="16" style="3" bestFit="1" customWidth="1"/>
    <col min="11038" max="11038" width="9" style="3" bestFit="1" customWidth="1"/>
    <col min="11039" max="11039" width="7.85546875" style="3" bestFit="1" customWidth="1"/>
    <col min="11040" max="11040" width="11.7109375" style="3" bestFit="1" customWidth="1"/>
    <col min="11041" max="11041" width="14.28515625" style="3" customWidth="1"/>
    <col min="11042" max="11042" width="11.7109375" style="3" bestFit="1" customWidth="1"/>
    <col min="11043" max="11043" width="14.140625" style="3" bestFit="1" customWidth="1"/>
    <col min="11044" max="11044" width="16.7109375" style="3" customWidth="1"/>
    <col min="11045" max="11045" width="16.5703125" style="3" customWidth="1"/>
    <col min="11046" max="11047" width="7.85546875" style="3" bestFit="1" customWidth="1"/>
    <col min="11048" max="11048" width="8" style="3" bestFit="1" customWidth="1"/>
    <col min="11049" max="11050" width="7.85546875" style="3" bestFit="1" customWidth="1"/>
    <col min="11051" max="11051" width="9.7109375" style="3" customWidth="1"/>
    <col min="11052" max="11052" width="12.85546875" style="3" customWidth="1"/>
    <col min="11053" max="11289" width="9.140625" style="3"/>
    <col min="11290" max="11290" width="9" style="3" bestFit="1" customWidth="1"/>
    <col min="11291" max="11291" width="9.85546875" style="3" bestFit="1" customWidth="1"/>
    <col min="11292" max="11292" width="9.140625" style="3" bestFit="1" customWidth="1"/>
    <col min="11293" max="11293" width="16" style="3" bestFit="1" customWidth="1"/>
    <col min="11294" max="11294" width="9" style="3" bestFit="1" customWidth="1"/>
    <col min="11295" max="11295" width="7.85546875" style="3" bestFit="1" customWidth="1"/>
    <col min="11296" max="11296" width="11.7109375" style="3" bestFit="1" customWidth="1"/>
    <col min="11297" max="11297" width="14.28515625" style="3" customWidth="1"/>
    <col min="11298" max="11298" width="11.7109375" style="3" bestFit="1" customWidth="1"/>
    <col min="11299" max="11299" width="14.140625" style="3" bestFit="1" customWidth="1"/>
    <col min="11300" max="11300" width="16.7109375" style="3" customWidth="1"/>
    <col min="11301" max="11301" width="16.5703125" style="3" customWidth="1"/>
    <col min="11302" max="11303" width="7.85546875" style="3" bestFit="1" customWidth="1"/>
    <col min="11304" max="11304" width="8" style="3" bestFit="1" customWidth="1"/>
    <col min="11305" max="11306" width="7.85546875" style="3" bestFit="1" customWidth="1"/>
    <col min="11307" max="11307" width="9.7109375" style="3" customWidth="1"/>
    <col min="11308" max="11308" width="12.85546875" style="3" customWidth="1"/>
    <col min="11309" max="11545" width="9.140625" style="3"/>
    <col min="11546" max="11546" width="9" style="3" bestFit="1" customWidth="1"/>
    <col min="11547" max="11547" width="9.85546875" style="3" bestFit="1" customWidth="1"/>
    <col min="11548" max="11548" width="9.140625" style="3" bestFit="1" customWidth="1"/>
    <col min="11549" max="11549" width="16" style="3" bestFit="1" customWidth="1"/>
    <col min="11550" max="11550" width="9" style="3" bestFit="1" customWidth="1"/>
    <col min="11551" max="11551" width="7.85546875" style="3" bestFit="1" customWidth="1"/>
    <col min="11552" max="11552" width="11.7109375" style="3" bestFit="1" customWidth="1"/>
    <col min="11553" max="11553" width="14.28515625" style="3" customWidth="1"/>
    <col min="11554" max="11554" width="11.7109375" style="3" bestFit="1" customWidth="1"/>
    <col min="11555" max="11555" width="14.140625" style="3" bestFit="1" customWidth="1"/>
    <col min="11556" max="11556" width="16.7109375" style="3" customWidth="1"/>
    <col min="11557" max="11557" width="16.5703125" style="3" customWidth="1"/>
    <col min="11558" max="11559" width="7.85546875" style="3" bestFit="1" customWidth="1"/>
    <col min="11560" max="11560" width="8" style="3" bestFit="1" customWidth="1"/>
    <col min="11561" max="11562" width="7.85546875" style="3" bestFit="1" customWidth="1"/>
    <col min="11563" max="11563" width="9.7109375" style="3" customWidth="1"/>
    <col min="11564" max="11564" width="12.85546875" style="3" customWidth="1"/>
    <col min="11565" max="11801" width="9.140625" style="3"/>
    <col min="11802" max="11802" width="9" style="3" bestFit="1" customWidth="1"/>
    <col min="11803" max="11803" width="9.85546875" style="3" bestFit="1" customWidth="1"/>
    <col min="11804" max="11804" width="9.140625" style="3" bestFit="1" customWidth="1"/>
    <col min="11805" max="11805" width="16" style="3" bestFit="1" customWidth="1"/>
    <col min="11806" max="11806" width="9" style="3" bestFit="1" customWidth="1"/>
    <col min="11807" max="11807" width="7.85546875" style="3" bestFit="1" customWidth="1"/>
    <col min="11808" max="11808" width="11.7109375" style="3" bestFit="1" customWidth="1"/>
    <col min="11809" max="11809" width="14.28515625" style="3" customWidth="1"/>
    <col min="11810" max="11810" width="11.7109375" style="3" bestFit="1" customWidth="1"/>
    <col min="11811" max="11811" width="14.140625" style="3" bestFit="1" customWidth="1"/>
    <col min="11812" max="11812" width="16.7109375" style="3" customWidth="1"/>
    <col min="11813" max="11813" width="16.5703125" style="3" customWidth="1"/>
    <col min="11814" max="11815" width="7.85546875" style="3" bestFit="1" customWidth="1"/>
    <col min="11816" max="11816" width="8" style="3" bestFit="1" customWidth="1"/>
    <col min="11817" max="11818" width="7.85546875" style="3" bestFit="1" customWidth="1"/>
    <col min="11819" max="11819" width="9.7109375" style="3" customWidth="1"/>
    <col min="11820" max="11820" width="12.85546875" style="3" customWidth="1"/>
    <col min="11821" max="12057" width="9.140625" style="3"/>
    <col min="12058" max="12058" width="9" style="3" bestFit="1" customWidth="1"/>
    <col min="12059" max="12059" width="9.85546875" style="3" bestFit="1" customWidth="1"/>
    <col min="12060" max="12060" width="9.140625" style="3" bestFit="1" customWidth="1"/>
    <col min="12061" max="12061" width="16" style="3" bestFit="1" customWidth="1"/>
    <col min="12062" max="12062" width="9" style="3" bestFit="1" customWidth="1"/>
    <col min="12063" max="12063" width="7.85546875" style="3" bestFit="1" customWidth="1"/>
    <col min="12064" max="12064" width="11.7109375" style="3" bestFit="1" customWidth="1"/>
    <col min="12065" max="12065" width="14.28515625" style="3" customWidth="1"/>
    <col min="12066" max="12066" width="11.7109375" style="3" bestFit="1" customWidth="1"/>
    <col min="12067" max="12067" width="14.140625" style="3" bestFit="1" customWidth="1"/>
    <col min="12068" max="12068" width="16.7109375" style="3" customWidth="1"/>
    <col min="12069" max="12069" width="16.5703125" style="3" customWidth="1"/>
    <col min="12070" max="12071" width="7.85546875" style="3" bestFit="1" customWidth="1"/>
    <col min="12072" max="12072" width="8" style="3" bestFit="1" customWidth="1"/>
    <col min="12073" max="12074" width="7.85546875" style="3" bestFit="1" customWidth="1"/>
    <col min="12075" max="12075" width="9.7109375" style="3" customWidth="1"/>
    <col min="12076" max="12076" width="12.85546875" style="3" customWidth="1"/>
    <col min="12077" max="12313" width="9.140625" style="3"/>
    <col min="12314" max="12314" width="9" style="3" bestFit="1" customWidth="1"/>
    <col min="12315" max="12315" width="9.85546875" style="3" bestFit="1" customWidth="1"/>
    <col min="12316" max="12316" width="9.140625" style="3" bestFit="1" customWidth="1"/>
    <col min="12317" max="12317" width="16" style="3" bestFit="1" customWidth="1"/>
    <col min="12318" max="12318" width="9" style="3" bestFit="1" customWidth="1"/>
    <col min="12319" max="12319" width="7.85546875" style="3" bestFit="1" customWidth="1"/>
    <col min="12320" max="12320" width="11.7109375" style="3" bestFit="1" customWidth="1"/>
    <col min="12321" max="12321" width="14.28515625" style="3" customWidth="1"/>
    <col min="12322" max="12322" width="11.7109375" style="3" bestFit="1" customWidth="1"/>
    <col min="12323" max="12323" width="14.140625" style="3" bestFit="1" customWidth="1"/>
    <col min="12324" max="12324" width="16.7109375" style="3" customWidth="1"/>
    <col min="12325" max="12325" width="16.5703125" style="3" customWidth="1"/>
    <col min="12326" max="12327" width="7.85546875" style="3" bestFit="1" customWidth="1"/>
    <col min="12328" max="12328" width="8" style="3" bestFit="1" customWidth="1"/>
    <col min="12329" max="12330" width="7.85546875" style="3" bestFit="1" customWidth="1"/>
    <col min="12331" max="12331" width="9.7109375" style="3" customWidth="1"/>
    <col min="12332" max="12332" width="12.85546875" style="3" customWidth="1"/>
    <col min="12333" max="12569" width="9.140625" style="3"/>
    <col min="12570" max="12570" width="9" style="3" bestFit="1" customWidth="1"/>
    <col min="12571" max="12571" width="9.85546875" style="3" bestFit="1" customWidth="1"/>
    <col min="12572" max="12572" width="9.140625" style="3" bestFit="1" customWidth="1"/>
    <col min="12573" max="12573" width="16" style="3" bestFit="1" customWidth="1"/>
    <col min="12574" max="12574" width="9" style="3" bestFit="1" customWidth="1"/>
    <col min="12575" max="12575" width="7.85546875" style="3" bestFit="1" customWidth="1"/>
    <col min="12576" max="12576" width="11.7109375" style="3" bestFit="1" customWidth="1"/>
    <col min="12577" max="12577" width="14.28515625" style="3" customWidth="1"/>
    <col min="12578" max="12578" width="11.7109375" style="3" bestFit="1" customWidth="1"/>
    <col min="12579" max="12579" width="14.140625" style="3" bestFit="1" customWidth="1"/>
    <col min="12580" max="12580" width="16.7109375" style="3" customWidth="1"/>
    <col min="12581" max="12581" width="16.5703125" style="3" customWidth="1"/>
    <col min="12582" max="12583" width="7.85546875" style="3" bestFit="1" customWidth="1"/>
    <col min="12584" max="12584" width="8" style="3" bestFit="1" customWidth="1"/>
    <col min="12585" max="12586" width="7.85546875" style="3" bestFit="1" customWidth="1"/>
    <col min="12587" max="12587" width="9.7109375" style="3" customWidth="1"/>
    <col min="12588" max="12588" width="12.85546875" style="3" customWidth="1"/>
    <col min="12589" max="12825" width="9.140625" style="3"/>
    <col min="12826" max="12826" width="9" style="3" bestFit="1" customWidth="1"/>
    <col min="12827" max="12827" width="9.85546875" style="3" bestFit="1" customWidth="1"/>
    <col min="12828" max="12828" width="9.140625" style="3" bestFit="1" customWidth="1"/>
    <col min="12829" max="12829" width="16" style="3" bestFit="1" customWidth="1"/>
    <col min="12830" max="12830" width="9" style="3" bestFit="1" customWidth="1"/>
    <col min="12831" max="12831" width="7.85546875" style="3" bestFit="1" customWidth="1"/>
    <col min="12832" max="12832" width="11.7109375" style="3" bestFit="1" customWidth="1"/>
    <col min="12833" max="12833" width="14.28515625" style="3" customWidth="1"/>
    <col min="12834" max="12834" width="11.7109375" style="3" bestFit="1" customWidth="1"/>
    <col min="12835" max="12835" width="14.140625" style="3" bestFit="1" customWidth="1"/>
    <col min="12836" max="12836" width="16.7109375" style="3" customWidth="1"/>
    <col min="12837" max="12837" width="16.5703125" style="3" customWidth="1"/>
    <col min="12838" max="12839" width="7.85546875" style="3" bestFit="1" customWidth="1"/>
    <col min="12840" max="12840" width="8" style="3" bestFit="1" customWidth="1"/>
    <col min="12841" max="12842" width="7.85546875" style="3" bestFit="1" customWidth="1"/>
    <col min="12843" max="12843" width="9.7109375" style="3" customWidth="1"/>
    <col min="12844" max="12844" width="12.85546875" style="3" customWidth="1"/>
    <col min="12845" max="13081" width="9.140625" style="3"/>
    <col min="13082" max="13082" width="9" style="3" bestFit="1" customWidth="1"/>
    <col min="13083" max="13083" width="9.85546875" style="3" bestFit="1" customWidth="1"/>
    <col min="13084" max="13084" width="9.140625" style="3" bestFit="1" customWidth="1"/>
    <col min="13085" max="13085" width="16" style="3" bestFit="1" customWidth="1"/>
    <col min="13086" max="13086" width="9" style="3" bestFit="1" customWidth="1"/>
    <col min="13087" max="13087" width="7.85546875" style="3" bestFit="1" customWidth="1"/>
    <col min="13088" max="13088" width="11.7109375" style="3" bestFit="1" customWidth="1"/>
    <col min="13089" max="13089" width="14.28515625" style="3" customWidth="1"/>
    <col min="13090" max="13090" width="11.7109375" style="3" bestFit="1" customWidth="1"/>
    <col min="13091" max="13091" width="14.140625" style="3" bestFit="1" customWidth="1"/>
    <col min="13092" max="13092" width="16.7109375" style="3" customWidth="1"/>
    <col min="13093" max="13093" width="16.5703125" style="3" customWidth="1"/>
    <col min="13094" max="13095" width="7.85546875" style="3" bestFit="1" customWidth="1"/>
    <col min="13096" max="13096" width="8" style="3" bestFit="1" customWidth="1"/>
    <col min="13097" max="13098" width="7.85546875" style="3" bestFit="1" customWidth="1"/>
    <col min="13099" max="13099" width="9.7109375" style="3" customWidth="1"/>
    <col min="13100" max="13100" width="12.85546875" style="3" customWidth="1"/>
    <col min="13101" max="13337" width="9.140625" style="3"/>
    <col min="13338" max="13338" width="9" style="3" bestFit="1" customWidth="1"/>
    <col min="13339" max="13339" width="9.85546875" style="3" bestFit="1" customWidth="1"/>
    <col min="13340" max="13340" width="9.140625" style="3" bestFit="1" customWidth="1"/>
    <col min="13341" max="13341" width="16" style="3" bestFit="1" customWidth="1"/>
    <col min="13342" max="13342" width="9" style="3" bestFit="1" customWidth="1"/>
    <col min="13343" max="13343" width="7.85546875" style="3" bestFit="1" customWidth="1"/>
    <col min="13344" max="13344" width="11.7109375" style="3" bestFit="1" customWidth="1"/>
    <col min="13345" max="13345" width="14.28515625" style="3" customWidth="1"/>
    <col min="13346" max="13346" width="11.7109375" style="3" bestFit="1" customWidth="1"/>
    <col min="13347" max="13347" width="14.140625" style="3" bestFit="1" customWidth="1"/>
    <col min="13348" max="13348" width="16.7109375" style="3" customWidth="1"/>
    <col min="13349" max="13349" width="16.5703125" style="3" customWidth="1"/>
    <col min="13350" max="13351" width="7.85546875" style="3" bestFit="1" customWidth="1"/>
    <col min="13352" max="13352" width="8" style="3" bestFit="1" customWidth="1"/>
    <col min="13353" max="13354" width="7.85546875" style="3" bestFit="1" customWidth="1"/>
    <col min="13355" max="13355" width="9.7109375" style="3" customWidth="1"/>
    <col min="13356" max="13356" width="12.85546875" style="3" customWidth="1"/>
    <col min="13357" max="13593" width="9.140625" style="3"/>
    <col min="13594" max="13594" width="9" style="3" bestFit="1" customWidth="1"/>
    <col min="13595" max="13595" width="9.85546875" style="3" bestFit="1" customWidth="1"/>
    <col min="13596" max="13596" width="9.140625" style="3" bestFit="1" customWidth="1"/>
    <col min="13597" max="13597" width="16" style="3" bestFit="1" customWidth="1"/>
    <col min="13598" max="13598" width="9" style="3" bestFit="1" customWidth="1"/>
    <col min="13599" max="13599" width="7.85546875" style="3" bestFit="1" customWidth="1"/>
    <col min="13600" max="13600" width="11.7109375" style="3" bestFit="1" customWidth="1"/>
    <col min="13601" max="13601" width="14.28515625" style="3" customWidth="1"/>
    <col min="13602" max="13602" width="11.7109375" style="3" bestFit="1" customWidth="1"/>
    <col min="13603" max="13603" width="14.140625" style="3" bestFit="1" customWidth="1"/>
    <col min="13604" max="13604" width="16.7109375" style="3" customWidth="1"/>
    <col min="13605" max="13605" width="16.5703125" style="3" customWidth="1"/>
    <col min="13606" max="13607" width="7.85546875" style="3" bestFit="1" customWidth="1"/>
    <col min="13608" max="13608" width="8" style="3" bestFit="1" customWidth="1"/>
    <col min="13609" max="13610" width="7.85546875" style="3" bestFit="1" customWidth="1"/>
    <col min="13611" max="13611" width="9.7109375" style="3" customWidth="1"/>
    <col min="13612" max="13612" width="12.85546875" style="3" customWidth="1"/>
    <col min="13613" max="13849" width="9.140625" style="3"/>
    <col min="13850" max="13850" width="9" style="3" bestFit="1" customWidth="1"/>
    <col min="13851" max="13851" width="9.85546875" style="3" bestFit="1" customWidth="1"/>
    <col min="13852" max="13852" width="9.140625" style="3" bestFit="1" customWidth="1"/>
    <col min="13853" max="13853" width="16" style="3" bestFit="1" customWidth="1"/>
    <col min="13854" max="13854" width="9" style="3" bestFit="1" customWidth="1"/>
    <col min="13855" max="13855" width="7.85546875" style="3" bestFit="1" customWidth="1"/>
    <col min="13856" max="13856" width="11.7109375" style="3" bestFit="1" customWidth="1"/>
    <col min="13857" max="13857" width="14.28515625" style="3" customWidth="1"/>
    <col min="13858" max="13858" width="11.7109375" style="3" bestFit="1" customWidth="1"/>
    <col min="13859" max="13859" width="14.140625" style="3" bestFit="1" customWidth="1"/>
    <col min="13860" max="13860" width="16.7109375" style="3" customWidth="1"/>
    <col min="13861" max="13861" width="16.5703125" style="3" customWidth="1"/>
    <col min="13862" max="13863" width="7.85546875" style="3" bestFit="1" customWidth="1"/>
    <col min="13864" max="13864" width="8" style="3" bestFit="1" customWidth="1"/>
    <col min="13865" max="13866" width="7.85546875" style="3" bestFit="1" customWidth="1"/>
    <col min="13867" max="13867" width="9.7109375" style="3" customWidth="1"/>
    <col min="13868" max="13868" width="12.85546875" style="3" customWidth="1"/>
    <col min="13869" max="14105" width="9.140625" style="3"/>
    <col min="14106" max="14106" width="9" style="3" bestFit="1" customWidth="1"/>
    <col min="14107" max="14107" width="9.85546875" style="3" bestFit="1" customWidth="1"/>
    <col min="14108" max="14108" width="9.140625" style="3" bestFit="1" customWidth="1"/>
    <col min="14109" max="14109" width="16" style="3" bestFit="1" customWidth="1"/>
    <col min="14110" max="14110" width="9" style="3" bestFit="1" customWidth="1"/>
    <col min="14111" max="14111" width="7.85546875" style="3" bestFit="1" customWidth="1"/>
    <col min="14112" max="14112" width="11.7109375" style="3" bestFit="1" customWidth="1"/>
    <col min="14113" max="14113" width="14.28515625" style="3" customWidth="1"/>
    <col min="14114" max="14114" width="11.7109375" style="3" bestFit="1" customWidth="1"/>
    <col min="14115" max="14115" width="14.140625" style="3" bestFit="1" customWidth="1"/>
    <col min="14116" max="14116" width="16.7109375" style="3" customWidth="1"/>
    <col min="14117" max="14117" width="16.5703125" style="3" customWidth="1"/>
    <col min="14118" max="14119" width="7.85546875" style="3" bestFit="1" customWidth="1"/>
    <col min="14120" max="14120" width="8" style="3" bestFit="1" customWidth="1"/>
    <col min="14121" max="14122" width="7.85546875" style="3" bestFit="1" customWidth="1"/>
    <col min="14123" max="14123" width="9.7109375" style="3" customWidth="1"/>
    <col min="14124" max="14124" width="12.85546875" style="3" customWidth="1"/>
    <col min="14125" max="14361" width="9.140625" style="3"/>
    <col min="14362" max="14362" width="9" style="3" bestFit="1" customWidth="1"/>
    <col min="14363" max="14363" width="9.85546875" style="3" bestFit="1" customWidth="1"/>
    <col min="14364" max="14364" width="9.140625" style="3" bestFit="1" customWidth="1"/>
    <col min="14365" max="14365" width="16" style="3" bestFit="1" customWidth="1"/>
    <col min="14366" max="14366" width="9" style="3" bestFit="1" customWidth="1"/>
    <col min="14367" max="14367" width="7.85546875" style="3" bestFit="1" customWidth="1"/>
    <col min="14368" max="14368" width="11.7109375" style="3" bestFit="1" customWidth="1"/>
    <col min="14369" max="14369" width="14.28515625" style="3" customWidth="1"/>
    <col min="14370" max="14370" width="11.7109375" style="3" bestFit="1" customWidth="1"/>
    <col min="14371" max="14371" width="14.140625" style="3" bestFit="1" customWidth="1"/>
    <col min="14372" max="14372" width="16.7109375" style="3" customWidth="1"/>
    <col min="14373" max="14373" width="16.5703125" style="3" customWidth="1"/>
    <col min="14374" max="14375" width="7.85546875" style="3" bestFit="1" customWidth="1"/>
    <col min="14376" max="14376" width="8" style="3" bestFit="1" customWidth="1"/>
    <col min="14377" max="14378" width="7.85546875" style="3" bestFit="1" customWidth="1"/>
    <col min="14379" max="14379" width="9.7109375" style="3" customWidth="1"/>
    <col min="14380" max="14380" width="12.85546875" style="3" customWidth="1"/>
    <col min="14381" max="14617" width="9.140625" style="3"/>
    <col min="14618" max="14618" width="9" style="3" bestFit="1" customWidth="1"/>
    <col min="14619" max="14619" width="9.85546875" style="3" bestFit="1" customWidth="1"/>
    <col min="14620" max="14620" width="9.140625" style="3" bestFit="1" customWidth="1"/>
    <col min="14621" max="14621" width="16" style="3" bestFit="1" customWidth="1"/>
    <col min="14622" max="14622" width="9" style="3" bestFit="1" customWidth="1"/>
    <col min="14623" max="14623" width="7.85546875" style="3" bestFit="1" customWidth="1"/>
    <col min="14624" max="14624" width="11.7109375" style="3" bestFit="1" customWidth="1"/>
    <col min="14625" max="14625" width="14.28515625" style="3" customWidth="1"/>
    <col min="14626" max="14626" width="11.7109375" style="3" bestFit="1" customWidth="1"/>
    <col min="14627" max="14627" width="14.140625" style="3" bestFit="1" customWidth="1"/>
    <col min="14628" max="14628" width="16.7109375" style="3" customWidth="1"/>
    <col min="14629" max="14629" width="16.5703125" style="3" customWidth="1"/>
    <col min="14630" max="14631" width="7.85546875" style="3" bestFit="1" customWidth="1"/>
    <col min="14632" max="14632" width="8" style="3" bestFit="1" customWidth="1"/>
    <col min="14633" max="14634" width="7.85546875" style="3" bestFit="1" customWidth="1"/>
    <col min="14635" max="14635" width="9.7109375" style="3" customWidth="1"/>
    <col min="14636" max="14636" width="12.85546875" style="3" customWidth="1"/>
    <col min="14637" max="14873" width="9.140625" style="3"/>
    <col min="14874" max="14874" width="9" style="3" bestFit="1" customWidth="1"/>
    <col min="14875" max="14875" width="9.85546875" style="3" bestFit="1" customWidth="1"/>
    <col min="14876" max="14876" width="9.140625" style="3" bestFit="1" customWidth="1"/>
    <col min="14877" max="14877" width="16" style="3" bestFit="1" customWidth="1"/>
    <col min="14878" max="14878" width="9" style="3" bestFit="1" customWidth="1"/>
    <col min="14879" max="14879" width="7.85546875" style="3" bestFit="1" customWidth="1"/>
    <col min="14880" max="14880" width="11.7109375" style="3" bestFit="1" customWidth="1"/>
    <col min="14881" max="14881" width="14.28515625" style="3" customWidth="1"/>
    <col min="14882" max="14882" width="11.7109375" style="3" bestFit="1" customWidth="1"/>
    <col min="14883" max="14883" width="14.140625" style="3" bestFit="1" customWidth="1"/>
    <col min="14884" max="14884" width="16.7109375" style="3" customWidth="1"/>
    <col min="14885" max="14885" width="16.5703125" style="3" customWidth="1"/>
    <col min="14886" max="14887" width="7.85546875" style="3" bestFit="1" customWidth="1"/>
    <col min="14888" max="14888" width="8" style="3" bestFit="1" customWidth="1"/>
    <col min="14889" max="14890" width="7.85546875" style="3" bestFit="1" customWidth="1"/>
    <col min="14891" max="14891" width="9.7109375" style="3" customWidth="1"/>
    <col min="14892" max="14892" width="12.85546875" style="3" customWidth="1"/>
    <col min="14893" max="15129" width="9.140625" style="3"/>
    <col min="15130" max="15130" width="9" style="3" bestFit="1" customWidth="1"/>
    <col min="15131" max="15131" width="9.85546875" style="3" bestFit="1" customWidth="1"/>
    <col min="15132" max="15132" width="9.140625" style="3" bestFit="1" customWidth="1"/>
    <col min="15133" max="15133" width="16" style="3" bestFit="1" customWidth="1"/>
    <col min="15134" max="15134" width="9" style="3" bestFit="1" customWidth="1"/>
    <col min="15135" max="15135" width="7.85546875" style="3" bestFit="1" customWidth="1"/>
    <col min="15136" max="15136" width="11.7109375" style="3" bestFit="1" customWidth="1"/>
    <col min="15137" max="15137" width="14.28515625" style="3" customWidth="1"/>
    <col min="15138" max="15138" width="11.7109375" style="3" bestFit="1" customWidth="1"/>
    <col min="15139" max="15139" width="14.140625" style="3" bestFit="1" customWidth="1"/>
    <col min="15140" max="15140" width="16.7109375" style="3" customWidth="1"/>
    <col min="15141" max="15141" width="16.5703125" style="3" customWidth="1"/>
    <col min="15142" max="15143" width="7.85546875" style="3" bestFit="1" customWidth="1"/>
    <col min="15144" max="15144" width="8" style="3" bestFit="1" customWidth="1"/>
    <col min="15145" max="15146" width="7.85546875" style="3" bestFit="1" customWidth="1"/>
    <col min="15147" max="15147" width="9.7109375" style="3" customWidth="1"/>
    <col min="15148" max="15148" width="12.85546875" style="3" customWidth="1"/>
    <col min="15149" max="15385" width="9.140625" style="3"/>
    <col min="15386" max="15386" width="9" style="3" bestFit="1" customWidth="1"/>
    <col min="15387" max="15387" width="9.85546875" style="3" bestFit="1" customWidth="1"/>
    <col min="15388" max="15388" width="9.140625" style="3" bestFit="1" customWidth="1"/>
    <col min="15389" max="15389" width="16" style="3" bestFit="1" customWidth="1"/>
    <col min="15390" max="15390" width="9" style="3" bestFit="1" customWidth="1"/>
    <col min="15391" max="15391" width="7.85546875" style="3" bestFit="1" customWidth="1"/>
    <col min="15392" max="15392" width="11.7109375" style="3" bestFit="1" customWidth="1"/>
    <col min="15393" max="15393" width="14.28515625" style="3" customWidth="1"/>
    <col min="15394" max="15394" width="11.7109375" style="3" bestFit="1" customWidth="1"/>
    <col min="15395" max="15395" width="14.140625" style="3" bestFit="1" customWidth="1"/>
    <col min="15396" max="15396" width="16.7109375" style="3" customWidth="1"/>
    <col min="15397" max="15397" width="16.5703125" style="3" customWidth="1"/>
    <col min="15398" max="15399" width="7.85546875" style="3" bestFit="1" customWidth="1"/>
    <col min="15400" max="15400" width="8" style="3" bestFit="1" customWidth="1"/>
    <col min="15401" max="15402" width="7.85546875" style="3" bestFit="1" customWidth="1"/>
    <col min="15403" max="15403" width="9.7109375" style="3" customWidth="1"/>
    <col min="15404" max="15404" width="12.85546875" style="3" customWidth="1"/>
    <col min="15405" max="15641" width="9.140625" style="3"/>
    <col min="15642" max="15642" width="9" style="3" bestFit="1" customWidth="1"/>
    <col min="15643" max="15643" width="9.85546875" style="3" bestFit="1" customWidth="1"/>
    <col min="15644" max="15644" width="9.140625" style="3" bestFit="1" customWidth="1"/>
    <col min="15645" max="15645" width="16" style="3" bestFit="1" customWidth="1"/>
    <col min="15646" max="15646" width="9" style="3" bestFit="1" customWidth="1"/>
    <col min="15647" max="15647" width="7.85546875" style="3" bestFit="1" customWidth="1"/>
    <col min="15648" max="15648" width="11.7109375" style="3" bestFit="1" customWidth="1"/>
    <col min="15649" max="15649" width="14.28515625" style="3" customWidth="1"/>
    <col min="15650" max="15650" width="11.7109375" style="3" bestFit="1" customWidth="1"/>
    <col min="15651" max="15651" width="14.140625" style="3" bestFit="1" customWidth="1"/>
    <col min="15652" max="15652" width="16.7109375" style="3" customWidth="1"/>
    <col min="15653" max="15653" width="16.5703125" style="3" customWidth="1"/>
    <col min="15654" max="15655" width="7.85546875" style="3" bestFit="1" customWidth="1"/>
    <col min="15656" max="15656" width="8" style="3" bestFit="1" customWidth="1"/>
    <col min="15657" max="15658" width="7.85546875" style="3" bestFit="1" customWidth="1"/>
    <col min="15659" max="15659" width="9.7109375" style="3" customWidth="1"/>
    <col min="15660" max="15660" width="12.85546875" style="3" customWidth="1"/>
    <col min="15661" max="15897" width="9.140625" style="3"/>
    <col min="15898" max="15898" width="9" style="3" bestFit="1" customWidth="1"/>
    <col min="15899" max="15899" width="9.85546875" style="3" bestFit="1" customWidth="1"/>
    <col min="15900" max="15900" width="9.140625" style="3" bestFit="1" customWidth="1"/>
    <col min="15901" max="15901" width="16" style="3" bestFit="1" customWidth="1"/>
    <col min="15902" max="15902" width="9" style="3" bestFit="1" customWidth="1"/>
    <col min="15903" max="15903" width="7.85546875" style="3" bestFit="1" customWidth="1"/>
    <col min="15904" max="15904" width="11.7109375" style="3" bestFit="1" customWidth="1"/>
    <col min="15905" max="15905" width="14.28515625" style="3" customWidth="1"/>
    <col min="15906" max="15906" width="11.7109375" style="3" bestFit="1" customWidth="1"/>
    <col min="15907" max="15907" width="14.140625" style="3" bestFit="1" customWidth="1"/>
    <col min="15908" max="15908" width="16.7109375" style="3" customWidth="1"/>
    <col min="15909" max="15909" width="16.5703125" style="3" customWidth="1"/>
    <col min="15910" max="15911" width="7.85546875" style="3" bestFit="1" customWidth="1"/>
    <col min="15912" max="15912" width="8" style="3" bestFit="1" customWidth="1"/>
    <col min="15913" max="15914" width="7.85546875" style="3" bestFit="1" customWidth="1"/>
    <col min="15915" max="15915" width="9.7109375" style="3" customWidth="1"/>
    <col min="15916" max="15916" width="12.85546875" style="3" customWidth="1"/>
    <col min="15917" max="16153" width="9.140625" style="3"/>
    <col min="16154" max="16154" width="9" style="3" bestFit="1" customWidth="1"/>
    <col min="16155" max="16155" width="9.85546875" style="3" bestFit="1" customWidth="1"/>
    <col min="16156" max="16156" width="9.140625" style="3" bestFit="1" customWidth="1"/>
    <col min="16157" max="16157" width="16" style="3" bestFit="1" customWidth="1"/>
    <col min="16158" max="16158" width="9" style="3" bestFit="1" customWidth="1"/>
    <col min="16159" max="16159" width="7.85546875" style="3" bestFit="1" customWidth="1"/>
    <col min="16160" max="16160" width="11.7109375" style="3" bestFit="1" customWidth="1"/>
    <col min="16161" max="16161" width="14.28515625" style="3" customWidth="1"/>
    <col min="16162" max="16162" width="11.7109375" style="3" bestFit="1" customWidth="1"/>
    <col min="16163" max="16163" width="14.140625" style="3" bestFit="1" customWidth="1"/>
    <col min="16164" max="16164" width="16.7109375" style="3" customWidth="1"/>
    <col min="16165" max="16165" width="16.5703125" style="3" customWidth="1"/>
    <col min="16166" max="16167" width="7.85546875" style="3" bestFit="1" customWidth="1"/>
    <col min="16168" max="16168" width="8" style="3" bestFit="1" customWidth="1"/>
    <col min="16169" max="16170" width="7.85546875" style="3" bestFit="1" customWidth="1"/>
    <col min="16171" max="16171" width="9.7109375" style="3" customWidth="1"/>
    <col min="16172" max="16172" width="12.85546875" style="3" customWidth="1"/>
    <col min="16173" max="16384" width="9.140625" style="3"/>
  </cols>
  <sheetData>
    <row r="1" spans="1:84" s="6" customFormat="1" ht="15.75" customHeight="1">
      <c r="A1" s="586" t="s">
        <v>1</v>
      </c>
      <c r="B1" s="782" t="s">
        <v>546</v>
      </c>
      <c r="C1" s="769" t="s">
        <v>0</v>
      </c>
      <c r="D1" s="772" t="s">
        <v>93</v>
      </c>
      <c r="E1" s="773"/>
      <c r="F1" s="761" t="s">
        <v>94</v>
      </c>
      <c r="G1" s="761"/>
      <c r="H1" s="761"/>
      <c r="I1" s="779" t="s">
        <v>170</v>
      </c>
      <c r="J1" s="780"/>
      <c r="K1" s="781"/>
      <c r="L1" s="761" t="s">
        <v>174</v>
      </c>
      <c r="M1" s="761"/>
      <c r="N1" s="761"/>
      <c r="O1" s="761"/>
      <c r="P1" s="761"/>
      <c r="Q1" s="761"/>
      <c r="R1" s="761"/>
      <c r="S1" s="761"/>
      <c r="T1" s="761"/>
      <c r="U1" s="761"/>
      <c r="V1" s="761"/>
      <c r="W1" s="761"/>
      <c r="X1" s="761"/>
      <c r="Y1" s="761"/>
      <c r="Z1" s="761"/>
      <c r="AA1" s="761"/>
      <c r="AB1" s="761"/>
      <c r="AC1" s="761"/>
      <c r="AD1" s="761"/>
      <c r="AE1" s="761"/>
      <c r="AF1" s="761"/>
      <c r="AG1" s="761"/>
      <c r="AH1" s="761"/>
      <c r="AI1" s="761"/>
      <c r="AJ1" s="761"/>
      <c r="AK1" s="761"/>
      <c r="AL1" s="761"/>
      <c r="AM1" s="771" t="s">
        <v>175</v>
      </c>
      <c r="AN1" s="771"/>
      <c r="AO1" s="771"/>
      <c r="AP1" s="771"/>
      <c r="AQ1" s="771"/>
      <c r="AR1" s="771"/>
      <c r="AS1" s="771"/>
      <c r="AT1" s="771"/>
      <c r="AU1" s="771"/>
      <c r="AV1" s="771"/>
      <c r="AW1" s="771"/>
      <c r="AX1" s="771"/>
      <c r="AY1" s="771"/>
      <c r="AZ1" s="771"/>
      <c r="BA1" s="771"/>
      <c r="BB1" s="762" t="s">
        <v>190</v>
      </c>
      <c r="BC1" s="763"/>
      <c r="BD1" s="763"/>
      <c r="BE1" s="763"/>
      <c r="BF1" s="763"/>
      <c r="BG1" s="764"/>
      <c r="BH1" s="765" t="s">
        <v>194</v>
      </c>
      <c r="BI1" s="766"/>
      <c r="BJ1" s="766"/>
      <c r="BK1" s="767"/>
      <c r="BL1" s="768" t="s">
        <v>182</v>
      </c>
      <c r="BM1" s="768"/>
      <c r="BN1" s="768"/>
      <c r="BO1" s="768"/>
      <c r="BP1" s="768"/>
      <c r="BQ1" s="768"/>
      <c r="BR1" s="768"/>
      <c r="BS1" s="768"/>
      <c r="BT1" s="768"/>
      <c r="BU1" s="768"/>
      <c r="BV1" s="768"/>
      <c r="BW1" s="768"/>
      <c r="BX1" s="774" t="s">
        <v>506</v>
      </c>
      <c r="BY1" s="775"/>
      <c r="BZ1" s="775"/>
      <c r="CA1" s="775"/>
      <c r="CB1" s="775"/>
      <c r="CC1" s="776"/>
      <c r="CD1" s="777" t="s">
        <v>507</v>
      </c>
      <c r="CE1" s="758" t="s">
        <v>291</v>
      </c>
      <c r="CF1" s="758"/>
    </row>
    <row r="2" spans="1:84" ht="23.25" thickBot="1">
      <c r="A2" s="587"/>
      <c r="B2" s="783"/>
      <c r="C2" s="770"/>
      <c r="D2" s="158"/>
      <c r="E2" s="174" t="s">
        <v>91</v>
      </c>
      <c r="F2" s="140"/>
      <c r="G2" s="175" t="s">
        <v>91</v>
      </c>
      <c r="H2" s="139" t="s">
        <v>169</v>
      </c>
      <c r="I2" s="140"/>
      <c r="J2" s="175" t="s">
        <v>91</v>
      </c>
      <c r="K2" s="175"/>
      <c r="L2" s="140" t="s">
        <v>243</v>
      </c>
      <c r="M2" s="140" t="s">
        <v>244</v>
      </c>
      <c r="N2" s="140" t="s">
        <v>245</v>
      </c>
      <c r="O2" s="140" t="s">
        <v>246</v>
      </c>
      <c r="P2" s="140" t="s">
        <v>247</v>
      </c>
      <c r="Q2" s="140" t="s">
        <v>435</v>
      </c>
      <c r="R2" s="140" t="s">
        <v>444</v>
      </c>
      <c r="S2" s="140" t="s">
        <v>446</v>
      </c>
      <c r="T2" s="140" t="s">
        <v>527</v>
      </c>
      <c r="U2" s="140" t="s">
        <v>538</v>
      </c>
      <c r="V2" s="140" t="s">
        <v>248</v>
      </c>
      <c r="W2" s="140" t="s">
        <v>403</v>
      </c>
      <c r="X2" s="140" t="s">
        <v>404</v>
      </c>
      <c r="Y2" s="140" t="s">
        <v>430</v>
      </c>
      <c r="Z2" s="140" t="s">
        <v>540</v>
      </c>
      <c r="AA2" s="140" t="s">
        <v>436</v>
      </c>
      <c r="AB2" s="140" t="s">
        <v>542</v>
      </c>
      <c r="AC2" s="140" t="s">
        <v>249</v>
      </c>
      <c r="AD2" s="140" t="s">
        <v>250</v>
      </c>
      <c r="AE2" s="140" t="s">
        <v>251</v>
      </c>
      <c r="AF2" s="140" t="s">
        <v>287</v>
      </c>
      <c r="AG2" s="140" t="s">
        <v>285</v>
      </c>
      <c r="AH2" s="140" t="s">
        <v>286</v>
      </c>
      <c r="AI2" s="140"/>
      <c r="AJ2" s="140"/>
      <c r="AK2" s="140" t="s">
        <v>47</v>
      </c>
      <c r="AL2" s="138" t="s">
        <v>29</v>
      </c>
      <c r="AM2" s="140" t="s">
        <v>176</v>
      </c>
      <c r="AN2" s="140" t="s">
        <v>177</v>
      </c>
      <c r="AO2" s="140" t="s">
        <v>178</v>
      </c>
      <c r="AP2" s="140" t="s">
        <v>179</v>
      </c>
      <c r="AQ2" s="140" t="s">
        <v>180</v>
      </c>
      <c r="AR2" s="140" t="s">
        <v>181</v>
      </c>
      <c r="AS2" s="140" t="s">
        <v>273</v>
      </c>
      <c r="AT2" s="140" t="s">
        <v>274</v>
      </c>
      <c r="AU2" s="140" t="s">
        <v>275</v>
      </c>
      <c r="AV2" s="140" t="s">
        <v>449</v>
      </c>
      <c r="AW2" s="140" t="s">
        <v>432</v>
      </c>
      <c r="AX2" s="140" t="s">
        <v>433</v>
      </c>
      <c r="AY2" s="140"/>
      <c r="AZ2" s="140"/>
      <c r="BA2" s="143" t="s">
        <v>47</v>
      </c>
      <c r="BB2" s="140" t="s">
        <v>187</v>
      </c>
      <c r="BC2" s="140" t="s">
        <v>188</v>
      </c>
      <c r="BD2" s="140" t="s">
        <v>191</v>
      </c>
      <c r="BE2" s="140" t="s">
        <v>189</v>
      </c>
      <c r="BF2" s="140" t="s">
        <v>193</v>
      </c>
      <c r="BG2" s="138" t="s">
        <v>47</v>
      </c>
      <c r="BH2" s="140" t="s">
        <v>198</v>
      </c>
      <c r="BI2" s="140" t="s">
        <v>199</v>
      </c>
      <c r="BJ2" s="140" t="s">
        <v>200</v>
      </c>
      <c r="BK2" s="141" t="s">
        <v>47</v>
      </c>
      <c r="BL2" s="140" t="s">
        <v>209</v>
      </c>
      <c r="BM2" s="140" t="s">
        <v>210</v>
      </c>
      <c r="BN2" s="140" t="s">
        <v>213</v>
      </c>
      <c r="BO2" s="140" t="s">
        <v>218</v>
      </c>
      <c r="BP2" s="140" t="s">
        <v>219</v>
      </c>
      <c r="BQ2" s="140" t="s">
        <v>220</v>
      </c>
      <c r="BR2" s="140" t="s">
        <v>288</v>
      </c>
      <c r="BS2" s="140" t="s">
        <v>289</v>
      </c>
      <c r="BT2" s="140" t="s">
        <v>419</v>
      </c>
      <c r="BU2" s="140" t="s">
        <v>420</v>
      </c>
      <c r="BV2" s="140"/>
      <c r="BW2" s="138" t="s">
        <v>47</v>
      </c>
      <c r="BX2" s="140"/>
      <c r="BY2" s="140"/>
      <c r="BZ2" s="140"/>
      <c r="CA2" s="140"/>
      <c r="CB2" s="140"/>
      <c r="CC2" s="143" t="s">
        <v>508</v>
      </c>
      <c r="CD2" s="778"/>
      <c r="CE2" s="158" t="s">
        <v>139</v>
      </c>
      <c r="CF2" s="305" t="s">
        <v>443</v>
      </c>
    </row>
    <row r="3" spans="1:84" s="5" customFormat="1">
      <c r="A3" s="484" t="str">
        <f>'1-συμβολαια'!A3</f>
        <v>7ο</v>
      </c>
      <c r="B3" s="380">
        <f>'1-συμβολαια'!B3</f>
        <v>38525</v>
      </c>
      <c r="C3" s="347" t="str">
        <f>'1-συμβολαια'!C3</f>
        <v>*γονική ΨΙΛΗΣ ΚΥΡΙΟΤΗΤΑΣ [αγροτεμάχιο ;;;??? Πρίνος -'';;;???'' 580μ2</v>
      </c>
      <c r="D3" s="405">
        <f>'5-αντίγρ'!AN3</f>
        <v>53</v>
      </c>
      <c r="E3" s="405">
        <f>'5-αντίγρ'!AM3</f>
        <v>3.96</v>
      </c>
      <c r="F3" s="304">
        <f>'6-μεταγρ'!R3</f>
        <v>14.8</v>
      </c>
      <c r="G3" s="304">
        <f>'6-μεταγρ'!P3+'6-μεταγρ'!Q3</f>
        <v>1.98</v>
      </c>
      <c r="H3" s="304">
        <f>'6-μεταγρ'!S3</f>
        <v>0</v>
      </c>
      <c r="I3" s="304">
        <f>'7-προςΔΟΥ'!V3</f>
        <v>39.799999999999997</v>
      </c>
      <c r="J3" s="267">
        <f>'7-προςΔΟΥ'!L3</f>
        <v>0</v>
      </c>
      <c r="K3" s="267"/>
      <c r="L3" s="304">
        <f>7.4+7.4+4</f>
        <v>18.8</v>
      </c>
      <c r="M3" s="268"/>
      <c r="N3" s="268"/>
      <c r="O3" s="268"/>
      <c r="P3" s="268"/>
      <c r="Q3" s="268"/>
      <c r="R3" s="268"/>
      <c r="S3" s="268"/>
      <c r="T3" s="268"/>
      <c r="U3" s="268"/>
      <c r="V3" s="304">
        <f>7.4+7.4+4</f>
        <v>18.8</v>
      </c>
      <c r="W3" s="268">
        <v>4</v>
      </c>
      <c r="X3" s="268">
        <v>4</v>
      </c>
      <c r="Y3" s="268"/>
      <c r="Z3" s="268"/>
      <c r="AA3" s="268"/>
      <c r="AB3" s="268">
        <f>(7.4+11)*2+4</f>
        <v>40.799999999999997</v>
      </c>
      <c r="AC3" s="268"/>
      <c r="AD3" s="268"/>
      <c r="AE3" s="268"/>
      <c r="AF3" s="268"/>
      <c r="AG3" s="268"/>
      <c r="AH3" s="268"/>
      <c r="AI3" s="266"/>
      <c r="AJ3" s="266"/>
      <c r="AK3" s="268">
        <f t="shared" ref="AK3" si="0">SUM(L3:AJ3)</f>
        <v>86.4</v>
      </c>
      <c r="AL3" s="266"/>
      <c r="AM3" s="268">
        <v>8</v>
      </c>
      <c r="AN3" s="268">
        <v>8</v>
      </c>
      <c r="AO3" s="268">
        <v>8</v>
      </c>
      <c r="AP3" s="268"/>
      <c r="AQ3" s="268"/>
      <c r="AR3" s="268"/>
      <c r="AS3" s="268"/>
      <c r="AT3" s="268">
        <v>4</v>
      </c>
      <c r="AU3" s="268">
        <v>8</v>
      </c>
      <c r="AV3" s="268"/>
      <c r="AW3" s="268"/>
      <c r="AX3" s="268"/>
      <c r="AY3" s="266"/>
      <c r="AZ3" s="266"/>
      <c r="BA3" s="268">
        <f t="shared" ref="BA3" si="1">SUM(AM3:AZ3)</f>
        <v>36</v>
      </c>
      <c r="BB3" s="268">
        <f>7.4+2*4</f>
        <v>15.4</v>
      </c>
      <c r="BC3" s="266"/>
      <c r="BD3" s="268">
        <f>7.4+2*4</f>
        <v>15.4</v>
      </c>
      <c r="BE3" s="266"/>
      <c r="BF3" s="268">
        <f>7.4+4</f>
        <v>11.4</v>
      </c>
      <c r="BG3" s="268">
        <f t="shared" ref="BG3" si="2">SUM(BB3:BF3)</f>
        <v>42.2</v>
      </c>
      <c r="BH3" s="266"/>
      <c r="BI3" s="266"/>
      <c r="BJ3" s="268"/>
      <c r="BK3" s="268">
        <f t="shared" ref="BK3" si="3">SUM(BH3:BJ3)</f>
        <v>0</v>
      </c>
      <c r="BL3" s="268"/>
      <c r="BM3" s="268"/>
      <c r="BN3" s="268"/>
      <c r="BO3" s="268"/>
      <c r="BP3" s="268"/>
      <c r="BQ3" s="268"/>
      <c r="BR3" s="268"/>
      <c r="BS3" s="268">
        <v>5</v>
      </c>
      <c r="BT3" s="268">
        <v>0.3</v>
      </c>
      <c r="BU3" s="268">
        <v>0.6</v>
      </c>
      <c r="BV3" s="268"/>
      <c r="BW3" s="268">
        <f t="shared" ref="BW3" si="4">SUM(BL3:BV3)</f>
        <v>5.8999999999999995</v>
      </c>
      <c r="BX3" s="304"/>
      <c r="BY3" s="304"/>
      <c r="BZ3" s="304"/>
      <c r="CA3" s="304"/>
      <c r="CB3" s="304"/>
      <c r="CC3" s="304"/>
      <c r="CD3" s="304"/>
      <c r="CE3" s="375">
        <f t="shared" ref="CE3" si="5">D3+F3+H3+I3+K3+AK3-AE3-AG3+BA3+BG3+BK3+BW3-+CC3-CB3+CD3</f>
        <v>278.09999999999997</v>
      </c>
      <c r="CF3" s="375">
        <f t="shared" ref="CF3" si="6">E3+G3+J3+AE3+CB3</f>
        <v>5.9399999999999995</v>
      </c>
    </row>
    <row r="4" spans="1:84" s="5" customFormat="1" ht="12" thickBot="1">
      <c r="A4" s="485">
        <f>'1-συμβολαια'!A4</f>
        <v>0</v>
      </c>
      <c r="B4" s="478"/>
      <c r="C4" s="479" t="str">
        <f>'1-συμβολαια'!C4</f>
        <v>ΧΡΗΣΙΚΤΗΣΙΑ αγροτεμαχίου = 1961 μητρος ΔΩΡΕΑ άτυπη</v>
      </c>
      <c r="D4" s="506">
        <f>'5-αντίγρ'!AN4</f>
        <v>0</v>
      </c>
      <c r="E4" s="506">
        <f>'5-αντίγρ'!AM4</f>
        <v>0</v>
      </c>
      <c r="F4" s="543">
        <f>'6-μεταγρ'!R4</f>
        <v>0</v>
      </c>
      <c r="G4" s="543">
        <f>'6-μεταγρ'!P4+'6-μεταγρ'!Q4</f>
        <v>0</v>
      </c>
      <c r="H4" s="543">
        <f>'6-μεταγρ'!S4</f>
        <v>0</v>
      </c>
      <c r="I4" s="543">
        <f>'7-προςΔΟΥ'!V4</f>
        <v>0</v>
      </c>
      <c r="J4" s="544">
        <f>'7-προςΔΟΥ'!L4</f>
        <v>0</v>
      </c>
      <c r="K4" s="544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543"/>
      <c r="AB4" s="543"/>
      <c r="AC4" s="543"/>
      <c r="AD4" s="543"/>
      <c r="AE4" s="543"/>
      <c r="AF4" s="543"/>
      <c r="AG4" s="543"/>
      <c r="AH4" s="543"/>
      <c r="AI4" s="546"/>
      <c r="AJ4" s="546"/>
      <c r="AK4" s="543">
        <f t="shared" ref="AK4:AK13" si="7">SUM(L4:AJ4)</f>
        <v>0</v>
      </c>
      <c r="AL4" s="546"/>
      <c r="AM4" s="543"/>
      <c r="AN4" s="543"/>
      <c r="AO4" s="543"/>
      <c r="AP4" s="543"/>
      <c r="AQ4" s="543"/>
      <c r="AR4" s="543"/>
      <c r="AS4" s="543"/>
      <c r="AT4" s="543"/>
      <c r="AU4" s="543"/>
      <c r="AV4" s="543"/>
      <c r="AW4" s="543"/>
      <c r="AX4" s="543"/>
      <c r="AY4" s="546"/>
      <c r="AZ4" s="546"/>
      <c r="BA4" s="543">
        <f t="shared" ref="BA4:BA13" si="8">SUM(AM4:AZ4)</f>
        <v>0</v>
      </c>
      <c r="BB4" s="543"/>
      <c r="BC4" s="546"/>
      <c r="BD4" s="543"/>
      <c r="BE4" s="546"/>
      <c r="BF4" s="543"/>
      <c r="BG4" s="543">
        <f t="shared" ref="BG4:BG13" si="9">SUM(BB4:BF4)</f>
        <v>0</v>
      </c>
      <c r="BH4" s="546"/>
      <c r="BI4" s="546"/>
      <c r="BJ4" s="543"/>
      <c r="BK4" s="543">
        <f t="shared" ref="BK4:BK13" si="10">SUM(BH4:BJ4)</f>
        <v>0</v>
      </c>
      <c r="BL4" s="543"/>
      <c r="BM4" s="543"/>
      <c r="BN4" s="543"/>
      <c r="BO4" s="543"/>
      <c r="BP4" s="543"/>
      <c r="BQ4" s="543"/>
      <c r="BR4" s="543"/>
      <c r="BS4" s="543"/>
      <c r="BT4" s="543"/>
      <c r="BU4" s="543"/>
      <c r="BV4" s="543"/>
      <c r="BW4" s="543">
        <f t="shared" ref="BW4:BW13" si="11">SUM(BL4:BV4)</f>
        <v>0</v>
      </c>
      <c r="BX4" s="543"/>
      <c r="BY4" s="543"/>
      <c r="BZ4" s="543"/>
      <c r="CA4" s="543"/>
      <c r="CB4" s="543"/>
      <c r="CC4" s="543"/>
      <c r="CD4" s="543"/>
      <c r="CE4" s="547">
        <f t="shared" ref="CE4:CE13" si="12">D4+F4+H4+I4+K4+AK4-AE4-AG4+BA4+BG4+BK4+BW4-+CC4-CB4+CD4</f>
        <v>0</v>
      </c>
      <c r="CF4" s="547">
        <f t="shared" ref="CF4:CF13" si="13">E4+G4+J4+AE4+CB4</f>
        <v>0</v>
      </c>
    </row>
    <row r="5" spans="1:84" s="5" customFormat="1">
      <c r="A5" s="396" t="str">
        <f>'1-συμβολαια'!A5</f>
        <v>8ο</v>
      </c>
      <c r="B5" s="355">
        <f>'1-συμβολαια'!B5</f>
        <v>39548</v>
      </c>
      <c r="C5" s="476" t="str">
        <f>'1-συμβολαια'!C5</f>
        <v>κληρονομιάς ΑΠΟΔΟΧΗ</v>
      </c>
      <c r="D5" s="405">
        <f>'5-αντίγρ'!AN5</f>
        <v>61</v>
      </c>
      <c r="E5" s="405">
        <f>'5-αντίγρ'!AM5</f>
        <v>7.92</v>
      </c>
      <c r="F5" s="304">
        <f>'6-μεταγρ'!R5</f>
        <v>14.8</v>
      </c>
      <c r="G5" s="304">
        <f>'6-μεταγρ'!P5+'6-μεταγρ'!Q5</f>
        <v>1.98</v>
      </c>
      <c r="H5" s="304">
        <f>'6-μεταγρ'!S5</f>
        <v>0</v>
      </c>
      <c r="I5" s="304">
        <f>'7-προςΔΟΥ'!V5</f>
        <v>264.8</v>
      </c>
      <c r="J5" s="267">
        <f>'7-προςΔΟΥ'!L5</f>
        <v>0</v>
      </c>
      <c r="K5" s="267"/>
      <c r="L5" s="304">
        <f>7.4+7.4+4*10</f>
        <v>54.8</v>
      </c>
      <c r="M5" s="304"/>
      <c r="N5" s="304"/>
      <c r="O5" s="304">
        <v>4</v>
      </c>
      <c r="P5" s="304">
        <v>4</v>
      </c>
      <c r="Q5" s="304"/>
      <c r="R5" s="304"/>
      <c r="S5" s="304"/>
      <c r="T5" s="304"/>
      <c r="U5" s="304"/>
      <c r="V5" s="304">
        <f>7.4+7.4+4</f>
        <v>18.8</v>
      </c>
      <c r="W5" s="304">
        <v>40</v>
      </c>
      <c r="X5" s="304">
        <v>40</v>
      </c>
      <c r="Y5" s="304"/>
      <c r="Z5" s="304"/>
      <c r="AA5" s="304"/>
      <c r="AB5" s="268">
        <f>(7.4+11)*2+4*10</f>
        <v>76.8</v>
      </c>
      <c r="AC5" s="268">
        <f>(7.4+11)*2+4</f>
        <v>40.799999999999997</v>
      </c>
      <c r="AD5" s="304">
        <f>7.4*2+4</f>
        <v>18.8</v>
      </c>
      <c r="AE5" s="304">
        <f>2*1.98</f>
        <v>3.96</v>
      </c>
      <c r="AF5" s="304"/>
      <c r="AG5" s="304"/>
      <c r="AH5" s="304"/>
      <c r="AI5" s="545"/>
      <c r="AJ5" s="545"/>
      <c r="AK5" s="304">
        <f t="shared" si="7"/>
        <v>301.95999999999998</v>
      </c>
      <c r="AL5" s="545"/>
      <c r="AM5" s="304">
        <v>40</v>
      </c>
      <c r="AN5" s="304">
        <v>40</v>
      </c>
      <c r="AO5" s="304">
        <v>12</v>
      </c>
      <c r="AP5" s="304"/>
      <c r="AQ5" s="304"/>
      <c r="AR5" s="304"/>
      <c r="AS5" s="304"/>
      <c r="AT5" s="304"/>
      <c r="AU5" s="304">
        <v>12</v>
      </c>
      <c r="AV5" s="304"/>
      <c r="AW5" s="304"/>
      <c r="AX5" s="304"/>
      <c r="AY5" s="545"/>
      <c r="AZ5" s="545"/>
      <c r="BA5" s="304">
        <f t="shared" si="8"/>
        <v>104</v>
      </c>
      <c r="BB5" s="304">
        <f>7.4+3*4</f>
        <v>19.399999999999999</v>
      </c>
      <c r="BC5" s="545"/>
      <c r="BD5" s="304">
        <f>7.4+3*4</f>
        <v>19.399999999999999</v>
      </c>
      <c r="BE5" s="545"/>
      <c r="BF5" s="304">
        <f>7.4+10*4</f>
        <v>47.4</v>
      </c>
      <c r="BG5" s="304">
        <f t="shared" si="9"/>
        <v>86.199999999999989</v>
      </c>
      <c r="BH5" s="545"/>
      <c r="BI5" s="545"/>
      <c r="BJ5" s="304"/>
      <c r="BK5" s="304">
        <f t="shared" si="10"/>
        <v>0</v>
      </c>
      <c r="BL5" s="304"/>
      <c r="BM5" s="304"/>
      <c r="BN5" s="304"/>
      <c r="BO5" s="304"/>
      <c r="BP5" s="304"/>
      <c r="BQ5" s="304"/>
      <c r="BR5" s="304"/>
      <c r="BS5" s="304">
        <f>5*10</f>
        <v>50</v>
      </c>
      <c r="BT5" s="304">
        <v>0.3</v>
      </c>
      <c r="BU5" s="304">
        <v>0.9</v>
      </c>
      <c r="BV5" s="304"/>
      <c r="BW5" s="304">
        <f t="shared" si="11"/>
        <v>51.199999999999996</v>
      </c>
      <c r="BX5" s="304"/>
      <c r="BY5" s="304"/>
      <c r="BZ5" s="304"/>
      <c r="CA5" s="304"/>
      <c r="CB5" s="304"/>
      <c r="CC5" s="304"/>
      <c r="CD5" s="304"/>
      <c r="CE5" s="375">
        <f t="shared" si="12"/>
        <v>880</v>
      </c>
      <c r="CF5" s="375">
        <f t="shared" si="13"/>
        <v>13.86</v>
      </c>
    </row>
    <row r="6" spans="1:84" s="5" customFormat="1">
      <c r="A6" s="454">
        <f>'1-συμβολαια'!A6</f>
        <v>0</v>
      </c>
      <c r="B6" s="380"/>
      <c r="C6" s="347" t="str">
        <f>'1-συμβολαια'!C6</f>
        <v>διανομή [ = 2/8 μήτηρ &amp; από 3/8 τέκνα</v>
      </c>
      <c r="D6" s="405">
        <f>'5-αντίγρ'!AN6</f>
        <v>0</v>
      </c>
      <c r="E6" s="405">
        <f>'5-αντίγρ'!AM6</f>
        <v>0</v>
      </c>
      <c r="F6" s="304">
        <f>'6-μεταγρ'!R6</f>
        <v>0</v>
      </c>
      <c r="G6" s="304">
        <f>'6-μεταγρ'!P6+'6-μεταγρ'!Q6</f>
        <v>1.98</v>
      </c>
      <c r="H6" s="304">
        <f>'6-μεταγρ'!S6</f>
        <v>0</v>
      </c>
      <c r="I6" s="304">
        <f>'7-προςΔΟΥ'!V6</f>
        <v>0</v>
      </c>
      <c r="J6" s="267">
        <f>'7-προςΔΟΥ'!L6</f>
        <v>0</v>
      </c>
      <c r="K6" s="267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>
        <v>4</v>
      </c>
      <c r="W6" s="268"/>
      <c r="X6" s="268"/>
      <c r="Y6" s="268"/>
      <c r="Z6" s="268"/>
      <c r="AA6" s="268"/>
      <c r="AB6" s="268"/>
      <c r="AC6" s="268"/>
      <c r="AD6" s="268"/>
      <c r="AE6" s="268"/>
      <c r="AF6" s="268"/>
      <c r="AG6" s="268"/>
      <c r="AH6" s="268"/>
      <c r="AI6" s="266"/>
      <c r="AJ6" s="266"/>
      <c r="AK6" s="268">
        <f t="shared" si="7"/>
        <v>4</v>
      </c>
      <c r="AL6" s="266"/>
      <c r="AM6" s="268"/>
      <c r="AN6" s="268"/>
      <c r="AO6" s="268"/>
      <c r="AP6" s="268"/>
      <c r="AQ6" s="268"/>
      <c r="AR6" s="268"/>
      <c r="AS6" s="268"/>
      <c r="AT6" s="268"/>
      <c r="AU6" s="268"/>
      <c r="AV6" s="268"/>
      <c r="AW6" s="268"/>
      <c r="AX6" s="268"/>
      <c r="AY6" s="266"/>
      <c r="AZ6" s="266"/>
      <c r="BA6" s="268">
        <f t="shared" si="8"/>
        <v>0</v>
      </c>
      <c r="BB6" s="268"/>
      <c r="BC6" s="266"/>
      <c r="BD6" s="268"/>
      <c r="BE6" s="266"/>
      <c r="BF6" s="268"/>
      <c r="BG6" s="268">
        <f t="shared" si="9"/>
        <v>0</v>
      </c>
      <c r="BH6" s="266"/>
      <c r="BI6" s="266"/>
      <c r="BJ6" s="268"/>
      <c r="BK6" s="268">
        <f t="shared" si="10"/>
        <v>0</v>
      </c>
      <c r="BL6" s="268"/>
      <c r="BM6" s="268"/>
      <c r="BN6" s="268"/>
      <c r="BO6" s="268"/>
      <c r="BP6" s="268"/>
      <c r="BQ6" s="268"/>
      <c r="BR6" s="268"/>
      <c r="BS6" s="268"/>
      <c r="BT6" s="268"/>
      <c r="BU6" s="268"/>
      <c r="BV6" s="268"/>
      <c r="BW6" s="268">
        <f t="shared" si="11"/>
        <v>0</v>
      </c>
      <c r="BX6" s="304"/>
      <c r="BY6" s="304"/>
      <c r="BZ6" s="304"/>
      <c r="CA6" s="304"/>
      <c r="CB6" s="304"/>
      <c r="CC6" s="304"/>
      <c r="CD6" s="304"/>
      <c r="CE6" s="375">
        <f t="shared" si="12"/>
        <v>4</v>
      </c>
      <c r="CF6" s="375">
        <f t="shared" si="13"/>
        <v>1.98</v>
      </c>
    </row>
    <row r="7" spans="1:84" s="5" customFormat="1">
      <c r="A7" s="454">
        <f>'1-συμβολαια'!A7</f>
        <v>0</v>
      </c>
      <c r="B7" s="380"/>
      <c r="C7" s="347" t="str">
        <f>'1-συμβολαια'!C7</f>
        <v>εξισορρόπηση διαφοράς διανεμομένων μεριδίων</v>
      </c>
      <c r="D7" s="405">
        <f>'5-αντίγρ'!AN7</f>
        <v>0</v>
      </c>
      <c r="E7" s="405">
        <f>'5-αντίγρ'!AM7</f>
        <v>0</v>
      </c>
      <c r="F7" s="304">
        <f>'6-μεταγρ'!R7</f>
        <v>0</v>
      </c>
      <c r="G7" s="304">
        <f>'6-μεταγρ'!P7+'6-μεταγρ'!Q7</f>
        <v>0</v>
      </c>
      <c r="H7" s="304">
        <f>'6-μεταγρ'!S7</f>
        <v>0</v>
      </c>
      <c r="I7" s="304">
        <f>'7-προςΔΟΥ'!V7</f>
        <v>0</v>
      </c>
      <c r="J7" s="267">
        <f>'7-προςΔΟΥ'!L7</f>
        <v>0</v>
      </c>
      <c r="K7" s="267"/>
      <c r="L7" s="268"/>
      <c r="M7" s="268"/>
      <c r="N7" s="268"/>
      <c r="O7" s="268"/>
      <c r="P7" s="268"/>
      <c r="Q7" s="268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I7" s="266"/>
      <c r="AJ7" s="266"/>
      <c r="AK7" s="268">
        <f t="shared" si="7"/>
        <v>0</v>
      </c>
      <c r="AL7" s="266"/>
      <c r="AM7" s="268"/>
      <c r="AN7" s="268"/>
      <c r="AO7" s="268"/>
      <c r="AP7" s="268"/>
      <c r="AQ7" s="268"/>
      <c r="AR7" s="268"/>
      <c r="AS7" s="268"/>
      <c r="AT7" s="268"/>
      <c r="AU7" s="268"/>
      <c r="AV7" s="268"/>
      <c r="AW7" s="268"/>
      <c r="AX7" s="268"/>
      <c r="AY7" s="266"/>
      <c r="AZ7" s="266"/>
      <c r="BA7" s="268">
        <f t="shared" si="8"/>
        <v>0</v>
      </c>
      <c r="BB7" s="268"/>
      <c r="BC7" s="266"/>
      <c r="BD7" s="268"/>
      <c r="BE7" s="266"/>
      <c r="BF7" s="268"/>
      <c r="BG7" s="268">
        <f t="shared" si="9"/>
        <v>0</v>
      </c>
      <c r="BH7" s="266"/>
      <c r="BI7" s="266"/>
      <c r="BJ7" s="304">
        <f>7.4+2*4</f>
        <v>15.4</v>
      </c>
      <c r="BK7" s="268">
        <f t="shared" si="10"/>
        <v>15.4</v>
      </c>
      <c r="BL7" s="268"/>
      <c r="BM7" s="268"/>
      <c r="BN7" s="268"/>
      <c r="BO7" s="268"/>
      <c r="BP7" s="268"/>
      <c r="BQ7" s="268"/>
      <c r="BR7" s="268"/>
      <c r="BS7" s="268"/>
      <c r="BT7" s="268"/>
      <c r="BU7" s="268"/>
      <c r="BV7" s="268"/>
      <c r="BW7" s="268">
        <f t="shared" si="11"/>
        <v>0</v>
      </c>
      <c r="BX7" s="304"/>
      <c r="BY7" s="304"/>
      <c r="BZ7" s="304"/>
      <c r="CA7" s="304"/>
      <c r="CB7" s="304"/>
      <c r="CC7" s="304"/>
      <c r="CD7" s="304"/>
      <c r="CE7" s="375">
        <f t="shared" si="12"/>
        <v>15.4</v>
      </c>
      <c r="CF7" s="375">
        <f t="shared" si="13"/>
        <v>0</v>
      </c>
    </row>
    <row r="8" spans="1:84" s="5" customFormat="1">
      <c r="A8" s="454">
        <f>'1-συμβολαια'!A8</f>
        <v>0</v>
      </c>
      <c r="B8" s="380"/>
      <c r="C8" s="347" t="str">
        <f>'1-συμβολαια'!C8</f>
        <v>χρησικτησία αγροτεμάχιο 1' = 1968 ΑΝΑΔΑΣΜΟΣ</v>
      </c>
      <c r="D8" s="405">
        <f>'5-αντίγρ'!AN8</f>
        <v>0</v>
      </c>
      <c r="E8" s="405">
        <f>'5-αντίγρ'!AM8</f>
        <v>0</v>
      </c>
      <c r="F8" s="304">
        <f>'6-μεταγρ'!R8</f>
        <v>0</v>
      </c>
      <c r="G8" s="304">
        <f>'6-μεταγρ'!P8+'6-μεταγρ'!Q8</f>
        <v>1.98</v>
      </c>
      <c r="H8" s="304">
        <f>'6-μεταγρ'!S8</f>
        <v>0</v>
      </c>
      <c r="I8" s="304">
        <f>'7-προςΔΟΥ'!V8</f>
        <v>0</v>
      </c>
      <c r="J8" s="267">
        <f>'7-προςΔΟΥ'!L8</f>
        <v>0</v>
      </c>
      <c r="K8" s="267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  <c r="AC8" s="268"/>
      <c r="AD8" s="268"/>
      <c r="AE8" s="268"/>
      <c r="AF8" s="268"/>
      <c r="AG8" s="268"/>
      <c r="AH8" s="268"/>
      <c r="AI8" s="266"/>
      <c r="AJ8" s="266"/>
      <c r="AK8" s="268">
        <f t="shared" si="7"/>
        <v>0</v>
      </c>
      <c r="AL8" s="266"/>
      <c r="AM8" s="268"/>
      <c r="AN8" s="268"/>
      <c r="AO8" s="268"/>
      <c r="AP8" s="268"/>
      <c r="AQ8" s="268"/>
      <c r="AR8" s="268"/>
      <c r="AS8" s="268"/>
      <c r="AT8" s="268"/>
      <c r="AU8" s="268"/>
      <c r="AV8" s="268"/>
      <c r="AW8" s="268"/>
      <c r="AX8" s="268"/>
      <c r="AY8" s="266"/>
      <c r="AZ8" s="266"/>
      <c r="BA8" s="268">
        <f t="shared" si="8"/>
        <v>0</v>
      </c>
      <c r="BB8" s="268"/>
      <c r="BC8" s="266"/>
      <c r="BD8" s="268"/>
      <c r="BE8" s="266"/>
      <c r="BF8" s="268"/>
      <c r="BG8" s="268">
        <f t="shared" si="9"/>
        <v>0</v>
      </c>
      <c r="BH8" s="266"/>
      <c r="BI8" s="266"/>
      <c r="BJ8" s="268">
        <v>8</v>
      </c>
      <c r="BK8" s="268">
        <f t="shared" si="10"/>
        <v>8</v>
      </c>
      <c r="BL8" s="268"/>
      <c r="BM8" s="268"/>
      <c r="BN8" s="268"/>
      <c r="BO8" s="268"/>
      <c r="BP8" s="268"/>
      <c r="BQ8" s="268"/>
      <c r="BR8" s="268"/>
      <c r="BS8" s="268"/>
      <c r="BT8" s="268"/>
      <c r="BU8" s="268"/>
      <c r="BV8" s="268"/>
      <c r="BW8" s="268">
        <f t="shared" si="11"/>
        <v>0</v>
      </c>
      <c r="BX8" s="304"/>
      <c r="BY8" s="304"/>
      <c r="BZ8" s="304"/>
      <c r="CA8" s="304"/>
      <c r="CB8" s="304"/>
      <c r="CC8" s="304"/>
      <c r="CD8" s="304"/>
      <c r="CE8" s="375">
        <f t="shared" si="12"/>
        <v>8</v>
      </c>
      <c r="CF8" s="375">
        <f t="shared" si="13"/>
        <v>1.98</v>
      </c>
    </row>
    <row r="9" spans="1:84" s="5" customFormat="1" ht="12" thickBot="1">
      <c r="A9" s="392">
        <f>'1-συμβολαια'!A9</f>
        <v>0</v>
      </c>
      <c r="B9" s="478"/>
      <c r="C9" s="479" t="str">
        <f>'1-συμβολαια'!C9</f>
        <v xml:space="preserve">χρησικτησία αγροτεμαχίων 2' έως 10' = 1961 πατρός ΔΩΡΕΑ άτυπος </v>
      </c>
      <c r="D9" s="506">
        <f>'5-αντίγρ'!AN9</f>
        <v>0</v>
      </c>
      <c r="E9" s="506">
        <f>'5-αντίγρ'!AM9</f>
        <v>0</v>
      </c>
      <c r="F9" s="543">
        <f>'6-μεταγρ'!R9</f>
        <v>0</v>
      </c>
      <c r="G9" s="543">
        <f>'6-μεταγρ'!P9+'6-μεταγρ'!Q9</f>
        <v>1.98</v>
      </c>
      <c r="H9" s="543">
        <f>'6-μεταγρ'!S9</f>
        <v>0</v>
      </c>
      <c r="I9" s="543">
        <f>'7-προςΔΟΥ'!V9</f>
        <v>0</v>
      </c>
      <c r="J9" s="544">
        <f>'7-προςΔΟΥ'!L9</f>
        <v>0</v>
      </c>
      <c r="K9" s="544"/>
      <c r="L9" s="543"/>
      <c r="M9" s="543"/>
      <c r="N9" s="543"/>
      <c r="O9" s="543"/>
      <c r="P9" s="543"/>
      <c r="Q9" s="543"/>
      <c r="R9" s="543"/>
      <c r="S9" s="543"/>
      <c r="T9" s="543"/>
      <c r="U9" s="543"/>
      <c r="V9" s="543"/>
      <c r="W9" s="543"/>
      <c r="X9" s="543"/>
      <c r="Y9" s="543"/>
      <c r="Z9" s="543"/>
      <c r="AA9" s="543"/>
      <c r="AB9" s="543"/>
      <c r="AC9" s="543"/>
      <c r="AD9" s="543"/>
      <c r="AE9" s="543"/>
      <c r="AF9" s="543"/>
      <c r="AG9" s="543"/>
      <c r="AH9" s="543"/>
      <c r="AI9" s="546"/>
      <c r="AJ9" s="546"/>
      <c r="AK9" s="543">
        <f t="shared" si="7"/>
        <v>0</v>
      </c>
      <c r="AL9" s="546"/>
      <c r="AM9" s="543"/>
      <c r="AN9" s="543"/>
      <c r="AO9" s="543"/>
      <c r="AP9" s="543"/>
      <c r="AQ9" s="543"/>
      <c r="AR9" s="543"/>
      <c r="AS9" s="543"/>
      <c r="AT9" s="543"/>
      <c r="AU9" s="543"/>
      <c r="AV9" s="543"/>
      <c r="AW9" s="543"/>
      <c r="AX9" s="543"/>
      <c r="AY9" s="546"/>
      <c r="AZ9" s="546"/>
      <c r="BA9" s="543">
        <f t="shared" si="8"/>
        <v>0</v>
      </c>
      <c r="BB9" s="543"/>
      <c r="BC9" s="546"/>
      <c r="BD9" s="543"/>
      <c r="BE9" s="546"/>
      <c r="BF9" s="543"/>
      <c r="BG9" s="543">
        <f t="shared" si="9"/>
        <v>0</v>
      </c>
      <c r="BH9" s="546"/>
      <c r="BI9" s="546"/>
      <c r="BJ9" s="543">
        <v>8</v>
      </c>
      <c r="BK9" s="543">
        <f t="shared" si="10"/>
        <v>8</v>
      </c>
      <c r="BL9" s="543"/>
      <c r="BM9" s="543"/>
      <c r="BN9" s="543"/>
      <c r="BO9" s="543"/>
      <c r="BP9" s="543"/>
      <c r="BQ9" s="543"/>
      <c r="BR9" s="543"/>
      <c r="BS9" s="543"/>
      <c r="BT9" s="543"/>
      <c r="BU9" s="543"/>
      <c r="BV9" s="543"/>
      <c r="BW9" s="543">
        <f t="shared" si="11"/>
        <v>0</v>
      </c>
      <c r="BX9" s="543"/>
      <c r="BY9" s="543"/>
      <c r="BZ9" s="543"/>
      <c r="CA9" s="543"/>
      <c r="CB9" s="543"/>
      <c r="CC9" s="543"/>
      <c r="CD9" s="543"/>
      <c r="CE9" s="547">
        <f t="shared" si="12"/>
        <v>8</v>
      </c>
      <c r="CF9" s="547">
        <f t="shared" si="13"/>
        <v>1.98</v>
      </c>
    </row>
    <row r="10" spans="1:84" s="5" customFormat="1">
      <c r="A10" s="452" t="str">
        <f>'1-συμβολαια'!A10</f>
        <v>9ο</v>
      </c>
      <c r="B10" s="355">
        <f>'1-συμβολαια'!B10</f>
        <v>40009</v>
      </c>
      <c r="C10" s="476" t="str">
        <f>'1-συμβολαια'!C10</f>
        <v>γονική</v>
      </c>
      <c r="D10" s="405">
        <f>'5-αντίγρ'!AN10</f>
        <v>104</v>
      </c>
      <c r="E10" s="405">
        <f>'5-αντίγρ'!AM10</f>
        <v>3.96</v>
      </c>
      <c r="F10" s="304">
        <f>'6-μεταγρ'!R10</f>
        <v>14.8</v>
      </c>
      <c r="G10" s="304">
        <f>'6-μεταγρ'!P10+'6-μεταγρ'!Q10</f>
        <v>1.98</v>
      </c>
      <c r="H10" s="304">
        <f>'6-μεταγρ'!S10</f>
        <v>0</v>
      </c>
      <c r="I10" s="304">
        <f>'7-προςΔΟΥ'!V10</f>
        <v>64.8</v>
      </c>
      <c r="J10" s="267">
        <f>'7-προςΔΟΥ'!L10</f>
        <v>0</v>
      </c>
      <c r="K10" s="267"/>
      <c r="L10" s="304">
        <f>7.4+7.4+4*2</f>
        <v>22.8</v>
      </c>
      <c r="M10" s="304"/>
      <c r="N10" s="304"/>
      <c r="O10" s="304"/>
      <c r="P10" s="304"/>
      <c r="Q10" s="304"/>
      <c r="R10" s="304"/>
      <c r="S10" s="304"/>
      <c r="T10" s="304"/>
      <c r="U10" s="304"/>
      <c r="V10" s="304">
        <f t="shared" ref="V10:V13" si="14">7.4+7.4+4</f>
        <v>18.8</v>
      </c>
      <c r="W10" s="304">
        <v>8</v>
      </c>
      <c r="X10" s="304">
        <v>8</v>
      </c>
      <c r="Y10" s="304"/>
      <c r="Z10" s="304"/>
      <c r="AA10" s="304"/>
      <c r="AB10" s="268"/>
      <c r="AC10" s="304"/>
      <c r="AD10" s="304"/>
      <c r="AE10" s="304"/>
      <c r="AF10" s="304"/>
      <c r="AG10" s="304"/>
      <c r="AH10" s="304"/>
      <c r="AI10" s="545"/>
      <c r="AJ10" s="545"/>
      <c r="AK10" s="304">
        <f t="shared" si="7"/>
        <v>57.6</v>
      </c>
      <c r="AL10" s="545"/>
      <c r="AM10" s="304">
        <v>8</v>
      </c>
      <c r="AN10" s="304">
        <v>8</v>
      </c>
      <c r="AO10" s="304">
        <v>8</v>
      </c>
      <c r="AP10" s="304"/>
      <c r="AQ10" s="304"/>
      <c r="AR10" s="304"/>
      <c r="AS10" s="304"/>
      <c r="AT10" s="304">
        <v>4</v>
      </c>
      <c r="AU10" s="304">
        <v>8</v>
      </c>
      <c r="AV10" s="304"/>
      <c r="AW10" s="304"/>
      <c r="AX10" s="304"/>
      <c r="AY10" s="545"/>
      <c r="AZ10" s="545"/>
      <c r="BA10" s="304">
        <f t="shared" si="8"/>
        <v>36</v>
      </c>
      <c r="BB10" s="304">
        <f>7.4+2*4</f>
        <v>15.4</v>
      </c>
      <c r="BC10" s="545"/>
      <c r="BD10" s="304">
        <f>7.4+2*4</f>
        <v>15.4</v>
      </c>
      <c r="BE10" s="545"/>
      <c r="BF10" s="304">
        <f>7.4+2*4</f>
        <v>15.4</v>
      </c>
      <c r="BG10" s="304">
        <f t="shared" si="9"/>
        <v>46.2</v>
      </c>
      <c r="BH10" s="545"/>
      <c r="BI10" s="545"/>
      <c r="BJ10" s="304">
        <f>7.4+2*4</f>
        <v>15.4</v>
      </c>
      <c r="BK10" s="304">
        <f t="shared" si="10"/>
        <v>15.4</v>
      </c>
      <c r="BL10" s="304"/>
      <c r="BM10" s="304"/>
      <c r="BN10" s="304"/>
      <c r="BO10" s="304"/>
      <c r="BP10" s="304"/>
      <c r="BQ10" s="304"/>
      <c r="BR10" s="304"/>
      <c r="BS10" s="304">
        <v>10</v>
      </c>
      <c r="BT10" s="304">
        <v>0.3</v>
      </c>
      <c r="BU10" s="304">
        <v>0.6</v>
      </c>
      <c r="BV10" s="304"/>
      <c r="BW10" s="304">
        <f t="shared" si="11"/>
        <v>10.9</v>
      </c>
      <c r="BX10" s="304"/>
      <c r="BY10" s="304"/>
      <c r="BZ10" s="304"/>
      <c r="CA10" s="304"/>
      <c r="CB10" s="304"/>
      <c r="CC10" s="304"/>
      <c r="CD10" s="304"/>
      <c r="CE10" s="375">
        <f t="shared" si="12"/>
        <v>349.69999999999993</v>
      </c>
      <c r="CF10" s="375">
        <f t="shared" si="13"/>
        <v>5.9399999999999995</v>
      </c>
    </row>
    <row r="11" spans="1:84" s="5" customFormat="1">
      <c r="A11" s="338" t="str">
        <f>'1-συμβολαια'!A11</f>
        <v>10ο</v>
      </c>
      <c r="B11" s="355">
        <f>'1-συμβολαια'!B11</f>
        <v>40009</v>
      </c>
      <c r="C11" s="347" t="str">
        <f>'1-συμβολαια'!C11</f>
        <v>δωρεά</v>
      </c>
      <c r="D11" s="405">
        <f>'5-αντίγρ'!AN11</f>
        <v>104</v>
      </c>
      <c r="E11" s="405">
        <f>'5-αντίγρ'!AM11</f>
        <v>3.96</v>
      </c>
      <c r="F11" s="304">
        <f>'6-μεταγρ'!R11</f>
        <v>0</v>
      </c>
      <c r="G11" s="304">
        <f>'6-μεταγρ'!P11+'6-μεταγρ'!Q11</f>
        <v>1.98</v>
      </c>
      <c r="H11" s="304">
        <f>'6-μεταγρ'!S11</f>
        <v>0</v>
      </c>
      <c r="I11" s="304">
        <f>'7-προςΔΟΥ'!V11</f>
        <v>206</v>
      </c>
      <c r="J11" s="267">
        <f>'7-προςΔΟΥ'!L11</f>
        <v>0</v>
      </c>
      <c r="K11" s="267"/>
      <c r="L11" s="268">
        <v>8</v>
      </c>
      <c r="M11" s="268"/>
      <c r="N11" s="268"/>
      <c r="O11" s="268"/>
      <c r="P11" s="268"/>
      <c r="Q11" s="268"/>
      <c r="R11" s="268"/>
      <c r="S11" s="268"/>
      <c r="T11" s="268"/>
      <c r="U11" s="268"/>
      <c r="V11" s="304">
        <f t="shared" si="14"/>
        <v>18.8</v>
      </c>
      <c r="W11" s="268">
        <v>8</v>
      </c>
      <c r="X11" s="268">
        <v>8</v>
      </c>
      <c r="Y11" s="268"/>
      <c r="Z11" s="268"/>
      <c r="AA11" s="268"/>
      <c r="AB11" s="268"/>
      <c r="AC11" s="268"/>
      <c r="AD11" s="268"/>
      <c r="AE11" s="268"/>
      <c r="AF11" s="268"/>
      <c r="AG11" s="268"/>
      <c r="AH11" s="268"/>
      <c r="AI11" s="266"/>
      <c r="AJ11" s="266"/>
      <c r="AK11" s="268">
        <f t="shared" si="7"/>
        <v>42.8</v>
      </c>
      <c r="AL11" s="266"/>
      <c r="AM11" s="268">
        <v>8</v>
      </c>
      <c r="AN11" s="268">
        <v>8</v>
      </c>
      <c r="AO11" s="268">
        <v>8</v>
      </c>
      <c r="AP11" s="268"/>
      <c r="AQ11" s="268"/>
      <c r="AR11" s="268"/>
      <c r="AS11" s="268"/>
      <c r="AT11" s="268">
        <v>4</v>
      </c>
      <c r="AU11" s="268">
        <v>8</v>
      </c>
      <c r="AV11" s="268"/>
      <c r="AW11" s="268"/>
      <c r="AX11" s="268"/>
      <c r="AY11" s="266"/>
      <c r="AZ11" s="266"/>
      <c r="BA11" s="268">
        <f t="shared" si="8"/>
        <v>36</v>
      </c>
      <c r="BB11" s="268">
        <v>8</v>
      </c>
      <c r="BC11" s="266"/>
      <c r="BD11" s="268">
        <v>8</v>
      </c>
      <c r="BE11" s="266"/>
      <c r="BF11" s="268">
        <v>8</v>
      </c>
      <c r="BG11" s="268">
        <f t="shared" si="9"/>
        <v>24</v>
      </c>
      <c r="BH11" s="266"/>
      <c r="BI11" s="266"/>
      <c r="BJ11" s="268">
        <v>8</v>
      </c>
      <c r="BK11" s="268">
        <f t="shared" si="10"/>
        <v>8</v>
      </c>
      <c r="BL11" s="268"/>
      <c r="BM11" s="268"/>
      <c r="BN11" s="268"/>
      <c r="BO11" s="268"/>
      <c r="BP11" s="268"/>
      <c r="BQ11" s="268"/>
      <c r="BR11" s="268"/>
      <c r="BS11" s="268">
        <v>10</v>
      </c>
      <c r="BT11" s="268">
        <v>0.3</v>
      </c>
      <c r="BU11" s="268">
        <v>0.6</v>
      </c>
      <c r="BV11" s="268"/>
      <c r="BW11" s="268">
        <f t="shared" si="11"/>
        <v>10.9</v>
      </c>
      <c r="BX11" s="304"/>
      <c r="BY11" s="304"/>
      <c r="BZ11" s="304"/>
      <c r="CA11" s="304"/>
      <c r="CB11" s="304"/>
      <c r="CC11" s="304"/>
      <c r="CD11" s="304"/>
      <c r="CE11" s="375">
        <f t="shared" si="12"/>
        <v>431.7</v>
      </c>
      <c r="CF11" s="375">
        <f t="shared" si="13"/>
        <v>5.9399999999999995</v>
      </c>
    </row>
    <row r="12" spans="1:84" s="5" customFormat="1">
      <c r="A12" s="338" t="str">
        <f>'1-συμβολαια'!A12</f>
        <v>11ο</v>
      </c>
      <c r="B12" s="355">
        <f>'1-συμβολαια'!B12</f>
        <v>40009</v>
      </c>
      <c r="C12" s="347" t="str">
        <f>'1-συμβολαια'!C12</f>
        <v>γονική</v>
      </c>
      <c r="D12" s="405">
        <f>'5-αντίγρ'!AN12</f>
        <v>170</v>
      </c>
      <c r="E12" s="405">
        <f>'5-αντίγρ'!AM12</f>
        <v>3.96</v>
      </c>
      <c r="F12" s="304">
        <f>'6-μεταγρ'!R12</f>
        <v>0</v>
      </c>
      <c r="G12" s="304">
        <f>'6-μεταγρ'!P12+'6-μεταγρ'!Q12</f>
        <v>1.98</v>
      </c>
      <c r="H12" s="304">
        <f>'6-μεταγρ'!S12</f>
        <v>0</v>
      </c>
      <c r="I12" s="304">
        <f>'7-προςΔΟΥ'!V12</f>
        <v>421</v>
      </c>
      <c r="J12" s="267">
        <f>'7-προςΔΟΥ'!L12</f>
        <v>0</v>
      </c>
      <c r="K12" s="267"/>
      <c r="L12" s="268">
        <f>7*4</f>
        <v>28</v>
      </c>
      <c r="M12" s="268"/>
      <c r="N12" s="268"/>
      <c r="O12" s="268"/>
      <c r="P12" s="268"/>
      <c r="Q12" s="268"/>
      <c r="R12" s="268"/>
      <c r="S12" s="268"/>
      <c r="T12" s="268"/>
      <c r="U12" s="268"/>
      <c r="V12" s="304">
        <f t="shared" si="14"/>
        <v>18.8</v>
      </c>
      <c r="W12" s="268">
        <v>28</v>
      </c>
      <c r="X12" s="268">
        <v>28</v>
      </c>
      <c r="Y12" s="268"/>
      <c r="Z12" s="268"/>
      <c r="AA12" s="268"/>
      <c r="AB12" s="268"/>
      <c r="AC12" s="268"/>
      <c r="AD12" s="268"/>
      <c r="AE12" s="268"/>
      <c r="AF12" s="268"/>
      <c r="AG12" s="268"/>
      <c r="AH12" s="268"/>
      <c r="AI12" s="266"/>
      <c r="AJ12" s="266"/>
      <c r="AK12" s="268">
        <f t="shared" si="7"/>
        <v>102.8</v>
      </c>
      <c r="AL12" s="266"/>
      <c r="AM12" s="268">
        <v>28</v>
      </c>
      <c r="AN12" s="268">
        <v>28</v>
      </c>
      <c r="AO12" s="268">
        <v>8</v>
      </c>
      <c r="AP12" s="268"/>
      <c r="AQ12" s="268"/>
      <c r="AR12" s="268"/>
      <c r="AS12" s="268"/>
      <c r="AT12" s="268">
        <v>4</v>
      </c>
      <c r="AU12" s="268">
        <v>8</v>
      </c>
      <c r="AV12" s="268"/>
      <c r="AW12" s="268"/>
      <c r="AX12" s="268"/>
      <c r="AY12" s="266"/>
      <c r="AZ12" s="266"/>
      <c r="BA12" s="268">
        <f t="shared" si="8"/>
        <v>76</v>
      </c>
      <c r="BB12" s="268">
        <v>8</v>
      </c>
      <c r="BC12" s="266"/>
      <c r="BD12" s="268">
        <v>8</v>
      </c>
      <c r="BE12" s="266"/>
      <c r="BF12" s="268">
        <v>28</v>
      </c>
      <c r="BG12" s="268">
        <f t="shared" si="9"/>
        <v>44</v>
      </c>
      <c r="BH12" s="266"/>
      <c r="BI12" s="266"/>
      <c r="BJ12" s="268">
        <v>8</v>
      </c>
      <c r="BK12" s="268">
        <f t="shared" si="10"/>
        <v>8</v>
      </c>
      <c r="BL12" s="268"/>
      <c r="BM12" s="268"/>
      <c r="BN12" s="268"/>
      <c r="BO12" s="268"/>
      <c r="BP12" s="268"/>
      <c r="BQ12" s="268"/>
      <c r="BR12" s="268"/>
      <c r="BS12" s="268">
        <v>70</v>
      </c>
      <c r="BT12" s="268">
        <v>0.3</v>
      </c>
      <c r="BU12" s="268">
        <v>0.6</v>
      </c>
      <c r="BV12" s="268"/>
      <c r="BW12" s="268">
        <f t="shared" si="11"/>
        <v>70.899999999999991</v>
      </c>
      <c r="BX12" s="304"/>
      <c r="BY12" s="304"/>
      <c r="BZ12" s="304"/>
      <c r="CA12" s="304"/>
      <c r="CB12" s="304"/>
      <c r="CC12" s="304"/>
      <c r="CD12" s="304"/>
      <c r="CE12" s="375">
        <f t="shared" si="12"/>
        <v>892.69999999999993</v>
      </c>
      <c r="CF12" s="375">
        <f t="shared" si="13"/>
        <v>5.9399999999999995</v>
      </c>
    </row>
    <row r="13" spans="1:84" s="5" customFormat="1">
      <c r="A13" s="338" t="str">
        <f>'1-συμβολαια'!A13</f>
        <v>12ο</v>
      </c>
      <c r="B13" s="355">
        <f>'1-συμβολαια'!B13</f>
        <v>40009</v>
      </c>
      <c r="C13" s="347" t="str">
        <f>'1-συμβολαια'!C13</f>
        <v>δωρεά</v>
      </c>
      <c r="D13" s="403">
        <f>'5-αντίγρ'!AN13</f>
        <v>182</v>
      </c>
      <c r="E13" s="403">
        <f>'5-αντίγρ'!AM13</f>
        <v>3.96</v>
      </c>
      <c r="F13" s="268">
        <f>'6-μεταγρ'!R13</f>
        <v>0</v>
      </c>
      <c r="G13" s="268">
        <f>'6-μεταγρ'!P13+'6-μεταγρ'!Q13</f>
        <v>1.98</v>
      </c>
      <c r="H13" s="268">
        <f>'6-μεταγρ'!S13</f>
        <v>0</v>
      </c>
      <c r="I13" s="268">
        <f>'7-προςΔΟΥ'!V13</f>
        <v>213</v>
      </c>
      <c r="J13" s="582">
        <f>'7-προςΔΟΥ'!L13</f>
        <v>0</v>
      </c>
      <c r="K13" s="582"/>
      <c r="L13" s="268">
        <f>8*4</f>
        <v>32</v>
      </c>
      <c r="M13" s="268"/>
      <c r="N13" s="268"/>
      <c r="O13" s="268"/>
      <c r="P13" s="268"/>
      <c r="Q13" s="268"/>
      <c r="R13" s="268"/>
      <c r="S13" s="268"/>
      <c r="T13" s="268"/>
      <c r="U13" s="268"/>
      <c r="V13" s="304">
        <f t="shared" si="14"/>
        <v>18.8</v>
      </c>
      <c r="W13" s="268">
        <v>32</v>
      </c>
      <c r="X13" s="268">
        <v>32</v>
      </c>
      <c r="Y13" s="268"/>
      <c r="Z13" s="268"/>
      <c r="AA13" s="268"/>
      <c r="AB13" s="268"/>
      <c r="AC13" s="268"/>
      <c r="AD13" s="268"/>
      <c r="AE13" s="268"/>
      <c r="AF13" s="268"/>
      <c r="AG13" s="268"/>
      <c r="AH13" s="268"/>
      <c r="AI13" s="266"/>
      <c r="AJ13" s="266"/>
      <c r="AK13" s="268">
        <f t="shared" si="7"/>
        <v>114.8</v>
      </c>
      <c r="AL13" s="266"/>
      <c r="AM13" s="268">
        <v>32</v>
      </c>
      <c r="AN13" s="268">
        <v>32</v>
      </c>
      <c r="AO13" s="268">
        <v>8</v>
      </c>
      <c r="AP13" s="268"/>
      <c r="AQ13" s="268"/>
      <c r="AR13" s="268"/>
      <c r="AS13" s="268"/>
      <c r="AT13" s="268">
        <v>4</v>
      </c>
      <c r="AU13" s="268">
        <v>8</v>
      </c>
      <c r="AV13" s="268"/>
      <c r="AW13" s="268"/>
      <c r="AX13" s="268"/>
      <c r="AY13" s="266"/>
      <c r="AZ13" s="266"/>
      <c r="BA13" s="268">
        <f t="shared" si="8"/>
        <v>84</v>
      </c>
      <c r="BB13" s="268">
        <v>8</v>
      </c>
      <c r="BC13" s="266"/>
      <c r="BD13" s="268">
        <v>8</v>
      </c>
      <c r="BE13" s="266"/>
      <c r="BF13" s="268">
        <v>32</v>
      </c>
      <c r="BG13" s="268">
        <f t="shared" si="9"/>
        <v>48</v>
      </c>
      <c r="BH13" s="266"/>
      <c r="BI13" s="266"/>
      <c r="BJ13" s="268">
        <v>8</v>
      </c>
      <c r="BK13" s="268">
        <f t="shared" si="10"/>
        <v>8</v>
      </c>
      <c r="BL13" s="268"/>
      <c r="BM13" s="268"/>
      <c r="BN13" s="268"/>
      <c r="BO13" s="268"/>
      <c r="BP13" s="268"/>
      <c r="BQ13" s="268"/>
      <c r="BR13" s="268"/>
      <c r="BS13" s="268">
        <v>80</v>
      </c>
      <c r="BT13" s="268">
        <v>0.3</v>
      </c>
      <c r="BU13" s="268">
        <v>0.6</v>
      </c>
      <c r="BV13" s="268"/>
      <c r="BW13" s="268">
        <f t="shared" si="11"/>
        <v>80.899999999999991</v>
      </c>
      <c r="BX13" s="268"/>
      <c r="BY13" s="268"/>
      <c r="BZ13" s="268"/>
      <c r="CA13" s="268"/>
      <c r="CB13" s="268"/>
      <c r="CC13" s="268"/>
      <c r="CD13" s="268"/>
      <c r="CE13" s="583">
        <f t="shared" si="12"/>
        <v>730.69999999999993</v>
      </c>
      <c r="CF13" s="583">
        <f t="shared" si="13"/>
        <v>5.9399999999999995</v>
      </c>
    </row>
    <row r="14" spans="1:84" s="2" customFormat="1">
      <c r="A14" s="759" t="s">
        <v>47</v>
      </c>
      <c r="B14" s="760"/>
      <c r="C14" s="760"/>
      <c r="D14" s="400">
        <f t="shared" ref="D14:J14" si="15">SUM(D3:D13)</f>
        <v>674</v>
      </c>
      <c r="E14" s="400">
        <f t="shared" si="15"/>
        <v>27.720000000000002</v>
      </c>
      <c r="F14" s="400">
        <f t="shared" si="15"/>
        <v>44.400000000000006</v>
      </c>
      <c r="G14" s="400">
        <f t="shared" si="15"/>
        <v>17.82</v>
      </c>
      <c r="H14" s="400">
        <f t="shared" si="15"/>
        <v>0</v>
      </c>
      <c r="I14" s="400">
        <f t="shared" si="15"/>
        <v>1209.4000000000001</v>
      </c>
      <c r="J14" s="400">
        <f t="shared" si="15"/>
        <v>0</v>
      </c>
      <c r="K14" s="400"/>
      <c r="L14" s="400">
        <f t="shared" ref="L14:S14" si="16">SUM(L3:L13)</f>
        <v>164.39999999999998</v>
      </c>
      <c r="M14" s="400">
        <f t="shared" si="16"/>
        <v>0</v>
      </c>
      <c r="N14" s="400">
        <f t="shared" si="16"/>
        <v>0</v>
      </c>
      <c r="O14" s="400">
        <f t="shared" si="16"/>
        <v>4</v>
      </c>
      <c r="P14" s="400">
        <f t="shared" si="16"/>
        <v>4</v>
      </c>
      <c r="Q14" s="400">
        <f t="shared" si="16"/>
        <v>0</v>
      </c>
      <c r="R14" s="400">
        <f t="shared" si="16"/>
        <v>0</v>
      </c>
      <c r="S14" s="400">
        <f t="shared" si="16"/>
        <v>0</v>
      </c>
      <c r="T14" s="400">
        <f t="shared" ref="T14:U14" si="17">SUM(T3:T13)</f>
        <v>0</v>
      </c>
      <c r="U14" s="400">
        <f t="shared" si="17"/>
        <v>0</v>
      </c>
      <c r="V14" s="400">
        <f>SUM(V3:V13)</f>
        <v>116.8</v>
      </c>
      <c r="W14" s="400">
        <f>SUM(W3:W13)</f>
        <v>120</v>
      </c>
      <c r="X14" s="400">
        <f>SUM(X3:X13)</f>
        <v>120</v>
      </c>
      <c r="Y14" s="400">
        <f>SUM(Y3:Y13)</f>
        <v>0</v>
      </c>
      <c r="Z14" s="400"/>
      <c r="AA14" s="400">
        <f t="shared" ref="AA14:AK14" si="18">SUM(AA3:AA13)</f>
        <v>0</v>
      </c>
      <c r="AB14" s="400">
        <f t="shared" si="18"/>
        <v>117.6</v>
      </c>
      <c r="AC14" s="400">
        <f t="shared" si="18"/>
        <v>40.799999999999997</v>
      </c>
      <c r="AD14" s="400">
        <f t="shared" si="18"/>
        <v>18.8</v>
      </c>
      <c r="AE14" s="400">
        <f t="shared" si="18"/>
        <v>3.96</v>
      </c>
      <c r="AF14" s="400">
        <f t="shared" si="18"/>
        <v>0</v>
      </c>
      <c r="AG14" s="400">
        <f t="shared" si="18"/>
        <v>0</v>
      </c>
      <c r="AH14" s="400">
        <f t="shared" si="18"/>
        <v>0</v>
      </c>
      <c r="AI14" s="400">
        <f t="shared" si="18"/>
        <v>0</v>
      </c>
      <c r="AJ14" s="400">
        <f t="shared" si="18"/>
        <v>0</v>
      </c>
      <c r="AK14" s="400">
        <f t="shared" si="18"/>
        <v>710.36</v>
      </c>
      <c r="AL14" s="400"/>
      <c r="AM14" s="400">
        <f t="shared" ref="AM14:AX14" si="19">SUM(AM3:AM13)</f>
        <v>124</v>
      </c>
      <c r="AN14" s="400">
        <f t="shared" si="19"/>
        <v>124</v>
      </c>
      <c r="AO14" s="400">
        <f t="shared" si="19"/>
        <v>52</v>
      </c>
      <c r="AP14" s="400">
        <f t="shared" si="19"/>
        <v>0</v>
      </c>
      <c r="AQ14" s="400">
        <f t="shared" si="19"/>
        <v>0</v>
      </c>
      <c r="AR14" s="420">
        <f t="shared" si="19"/>
        <v>0</v>
      </c>
      <c r="AS14" s="400">
        <f t="shared" si="19"/>
        <v>0</v>
      </c>
      <c r="AT14" s="400">
        <f t="shared" si="19"/>
        <v>20</v>
      </c>
      <c r="AU14" s="400">
        <f t="shared" si="19"/>
        <v>52</v>
      </c>
      <c r="AV14" s="400">
        <f t="shared" si="19"/>
        <v>0</v>
      </c>
      <c r="AW14" s="400">
        <f t="shared" si="19"/>
        <v>0</v>
      </c>
      <c r="AX14" s="400">
        <f t="shared" si="19"/>
        <v>0</v>
      </c>
      <c r="AY14" s="400"/>
      <c r="AZ14" s="400">
        <f t="shared" ref="AZ14:BW14" si="20">SUM(AZ3:AZ13)</f>
        <v>0</v>
      </c>
      <c r="BA14" s="400">
        <f t="shared" si="20"/>
        <v>372</v>
      </c>
      <c r="BB14" s="400">
        <f t="shared" si="20"/>
        <v>74.199999999999989</v>
      </c>
      <c r="BC14" s="421">
        <f t="shared" si="20"/>
        <v>0</v>
      </c>
      <c r="BD14" s="400">
        <f t="shared" si="20"/>
        <v>74.199999999999989</v>
      </c>
      <c r="BE14" s="421">
        <f t="shared" si="20"/>
        <v>0</v>
      </c>
      <c r="BF14" s="400">
        <f t="shared" si="20"/>
        <v>142.19999999999999</v>
      </c>
      <c r="BG14" s="400">
        <f t="shared" si="20"/>
        <v>290.59999999999997</v>
      </c>
      <c r="BH14" s="400">
        <f t="shared" si="20"/>
        <v>0</v>
      </c>
      <c r="BI14" s="421">
        <f t="shared" si="20"/>
        <v>0</v>
      </c>
      <c r="BJ14" s="400">
        <f t="shared" si="20"/>
        <v>70.8</v>
      </c>
      <c r="BK14" s="400">
        <f t="shared" si="20"/>
        <v>70.8</v>
      </c>
      <c r="BL14" s="400">
        <f t="shared" si="20"/>
        <v>0</v>
      </c>
      <c r="BM14" s="400">
        <f t="shared" si="20"/>
        <v>0</v>
      </c>
      <c r="BN14" s="400">
        <f t="shared" si="20"/>
        <v>0</v>
      </c>
      <c r="BO14" s="400">
        <f t="shared" si="20"/>
        <v>0</v>
      </c>
      <c r="BP14" s="400">
        <f t="shared" si="20"/>
        <v>0</v>
      </c>
      <c r="BQ14" s="400">
        <f t="shared" si="20"/>
        <v>0</v>
      </c>
      <c r="BR14" s="400">
        <f t="shared" si="20"/>
        <v>0</v>
      </c>
      <c r="BS14" s="400">
        <f t="shared" si="20"/>
        <v>225</v>
      </c>
      <c r="BT14" s="400">
        <f t="shared" si="20"/>
        <v>1.8</v>
      </c>
      <c r="BU14" s="400">
        <f t="shared" si="20"/>
        <v>3.9000000000000004</v>
      </c>
      <c r="BV14" s="400">
        <f t="shared" si="20"/>
        <v>0</v>
      </c>
      <c r="BW14" s="400">
        <f t="shared" si="20"/>
        <v>230.7</v>
      </c>
      <c r="BX14" s="400"/>
      <c r="BY14" s="400"/>
      <c r="BZ14" s="400"/>
      <c r="CA14" s="400"/>
      <c r="CB14" s="400"/>
      <c r="CC14" s="400"/>
      <c r="CD14" s="400"/>
      <c r="CE14" s="400">
        <f>SUM(CE3:CE13)</f>
        <v>3598.2999999999997</v>
      </c>
      <c r="CF14" s="400">
        <f>SUM(CF3:CF13)</f>
        <v>49.499999999999993</v>
      </c>
    </row>
    <row r="15" spans="1:84" ht="11.25" customHeight="1"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</row>
    <row r="16" spans="1:84" ht="11.25" customHeight="1">
      <c r="C16" s="3"/>
      <c r="D16" s="8" t="s">
        <v>568</v>
      </c>
      <c r="E16" s="123"/>
      <c r="F16" s="2"/>
      <c r="G16" s="2"/>
      <c r="H16" s="2"/>
      <c r="I16" s="2"/>
      <c r="J16" s="2"/>
      <c r="K16" s="2"/>
      <c r="L16" s="155" t="s">
        <v>468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2"/>
      <c r="AL16" s="2"/>
      <c r="AM16" s="17" t="s">
        <v>482</v>
      </c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147" t="s">
        <v>183</v>
      </c>
      <c r="BC16" s="2"/>
      <c r="BD16" s="2"/>
      <c r="BE16" s="2"/>
      <c r="BF16" s="2"/>
      <c r="BG16" s="2"/>
      <c r="BH16" s="147" t="s">
        <v>195</v>
      </c>
      <c r="BI16" s="2"/>
      <c r="BJ16" s="2"/>
      <c r="BK16" s="2"/>
      <c r="BL16" s="147" t="s">
        <v>208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 t="s">
        <v>503</v>
      </c>
      <c r="BY16" s="2"/>
      <c r="BZ16" s="2"/>
      <c r="CA16" s="2"/>
      <c r="CB16" s="2"/>
      <c r="CC16" s="2"/>
      <c r="CD16" s="2"/>
      <c r="CE16" s="2"/>
      <c r="CF16" s="2"/>
    </row>
    <row r="17" spans="3:84" ht="11.25" customHeight="1">
      <c r="C17" s="386"/>
      <c r="D17" s="360" t="s">
        <v>534</v>
      </c>
      <c r="E17" s="123"/>
      <c r="F17" s="2"/>
      <c r="G17" s="2"/>
      <c r="H17" s="2"/>
      <c r="I17" s="2"/>
      <c r="J17" s="2"/>
      <c r="K17" s="2"/>
      <c r="L17" s="4"/>
      <c r="M17" s="306" t="s">
        <v>472</v>
      </c>
      <c r="N17" s="307"/>
      <c r="O17" s="307"/>
      <c r="P17" s="307"/>
      <c r="Q17" s="307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2"/>
      <c r="AL17" s="2"/>
      <c r="AM17" s="2"/>
      <c r="AN17" s="155" t="s">
        <v>483</v>
      </c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33" t="s">
        <v>186</v>
      </c>
      <c r="BD17" s="2"/>
      <c r="BE17" s="2"/>
      <c r="BF17" s="2"/>
      <c r="BG17" s="2"/>
      <c r="BH17" s="2"/>
      <c r="BI17" s="232" t="s">
        <v>196</v>
      </c>
      <c r="BJ17" s="2"/>
      <c r="BK17" s="2"/>
      <c r="BL17" s="2"/>
      <c r="BM17" s="166" t="s">
        <v>211</v>
      </c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 t="s">
        <v>504</v>
      </c>
      <c r="BZ17" s="2"/>
      <c r="CA17" s="2"/>
      <c r="CB17" s="2"/>
      <c r="CC17" s="2"/>
      <c r="CD17" s="2"/>
      <c r="CE17" s="2"/>
      <c r="CF17" s="2"/>
    </row>
    <row r="18" spans="3:84" ht="11.25" customHeight="1">
      <c r="C18" s="386"/>
      <c r="D18" s="360" t="s">
        <v>536</v>
      </c>
      <c r="E18" s="123"/>
      <c r="F18" s="2"/>
      <c r="G18" s="2"/>
      <c r="H18" s="2"/>
      <c r="I18" s="2"/>
      <c r="J18" s="8"/>
      <c r="K18" s="2"/>
      <c r="L18" s="4"/>
      <c r="M18" s="307"/>
      <c r="N18" s="306" t="s">
        <v>473</v>
      </c>
      <c r="O18" s="307"/>
      <c r="P18" s="307"/>
      <c r="Q18" s="307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2"/>
      <c r="AL18" s="2"/>
      <c r="AM18" s="2"/>
      <c r="AN18" s="2"/>
      <c r="AO18" s="17" t="s">
        <v>484</v>
      </c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>
        <v>4</v>
      </c>
      <c r="BC18" s="2"/>
      <c r="BD18" s="4" t="s">
        <v>184</v>
      </c>
      <c r="BE18" s="2"/>
      <c r="BF18" s="2"/>
      <c r="BG18" s="2"/>
      <c r="BH18" s="2"/>
      <c r="BI18" s="2"/>
      <c r="BJ18" s="147" t="s">
        <v>197</v>
      </c>
      <c r="BK18" s="2"/>
      <c r="BL18" s="2"/>
      <c r="BM18" s="2"/>
      <c r="BN18" s="147" t="s">
        <v>212</v>
      </c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 t="s">
        <v>31</v>
      </c>
      <c r="CA18" s="2"/>
      <c r="CB18" s="2"/>
      <c r="CC18" s="2"/>
      <c r="CD18" s="2"/>
      <c r="CE18" s="2"/>
      <c r="CF18" s="2"/>
    </row>
    <row r="19" spans="3:84" ht="11.25" customHeight="1">
      <c r="C19" s="440"/>
      <c r="D19" s="360"/>
      <c r="E19" s="360"/>
      <c r="F19" s="8"/>
      <c r="G19" s="2"/>
      <c r="H19" s="2"/>
      <c r="I19" s="2"/>
      <c r="J19" s="8"/>
      <c r="K19" s="2"/>
      <c r="L19" s="4"/>
      <c r="M19" s="307"/>
      <c r="N19" s="307"/>
      <c r="O19" s="307" t="s">
        <v>474</v>
      </c>
      <c r="P19" s="307"/>
      <c r="Q19" s="307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2"/>
      <c r="AL19" s="2"/>
      <c r="AM19" s="2"/>
      <c r="AN19" s="2"/>
      <c r="AO19" s="2"/>
      <c r="AP19" s="112" t="s">
        <v>485</v>
      </c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>
        <v>7.4</v>
      </c>
      <c r="BC19" s="2"/>
      <c r="BD19" s="2"/>
      <c r="BE19" s="233" t="s">
        <v>185</v>
      </c>
      <c r="BF19" s="2"/>
      <c r="BG19" s="2"/>
      <c r="BH19" s="2"/>
      <c r="BI19" s="2"/>
      <c r="BJ19" s="2"/>
      <c r="BK19" s="2"/>
      <c r="BL19" s="2"/>
      <c r="BM19" s="2"/>
      <c r="BN19" s="2"/>
      <c r="BO19" s="166" t="s">
        <v>214</v>
      </c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 t="s">
        <v>505</v>
      </c>
      <c r="CB19" s="2"/>
      <c r="CC19" s="2"/>
      <c r="CD19" s="2"/>
      <c r="CE19" s="2"/>
      <c r="CF19" s="2"/>
    </row>
    <row r="20" spans="3:84" ht="11.25" customHeight="1">
      <c r="C20" s="440"/>
      <c r="D20" s="360"/>
      <c r="E20" s="482"/>
      <c r="F20" s="8"/>
      <c r="G20" s="2"/>
      <c r="H20" s="63"/>
      <c r="I20" s="63"/>
      <c r="J20" s="8"/>
      <c r="K20" s="2"/>
      <c r="L20" s="4"/>
      <c r="M20" s="4"/>
      <c r="N20" s="4"/>
      <c r="O20" s="4"/>
      <c r="P20" s="4" t="s">
        <v>475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2"/>
      <c r="AL20" s="2"/>
      <c r="AM20" s="2"/>
      <c r="AN20" s="2"/>
      <c r="AO20" s="2"/>
      <c r="AP20" s="2"/>
      <c r="AQ20" s="17" t="s">
        <v>486</v>
      </c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4" t="s">
        <v>192</v>
      </c>
      <c r="BG20" s="2"/>
      <c r="BH20" s="2"/>
      <c r="BI20" s="2"/>
      <c r="BJ20" s="2"/>
      <c r="BK20" s="2"/>
      <c r="BL20" s="2"/>
      <c r="BM20" s="2"/>
      <c r="BN20" s="2"/>
      <c r="BO20" s="2"/>
      <c r="BP20" s="147" t="s">
        <v>215</v>
      </c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 t="s">
        <v>59</v>
      </c>
      <c r="CC20" s="2"/>
      <c r="CD20" s="2"/>
      <c r="CE20" s="2"/>
      <c r="CF20" s="2"/>
    </row>
    <row r="21" spans="3:84" ht="11.25" customHeight="1">
      <c r="C21" s="90" t="s">
        <v>574</v>
      </c>
      <c r="D21" s="76" t="s">
        <v>569</v>
      </c>
      <c r="E21" s="9"/>
      <c r="F21" s="8"/>
      <c r="G21" s="2"/>
      <c r="H21" s="2"/>
      <c r="I21" s="2"/>
      <c r="J21" s="8"/>
      <c r="K21" s="2"/>
      <c r="L21" s="4"/>
      <c r="M21" s="4"/>
      <c r="N21" s="4"/>
      <c r="O21" s="4"/>
      <c r="P21" s="4"/>
      <c r="Q21" s="4" t="s">
        <v>476</v>
      </c>
      <c r="R21" s="4"/>
      <c r="S21" s="4"/>
      <c r="T21" s="4"/>
      <c r="U21" s="4"/>
      <c r="V21" s="4"/>
      <c r="W21" s="168"/>
      <c r="X21" s="168"/>
      <c r="Y21" s="168"/>
      <c r="Z21" s="168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2"/>
      <c r="AL21" s="2"/>
      <c r="AM21" s="2"/>
      <c r="AN21" s="2"/>
      <c r="AO21" s="2"/>
      <c r="AP21" s="2"/>
      <c r="AQ21" s="2"/>
      <c r="AR21" s="231" t="s">
        <v>487</v>
      </c>
      <c r="AS21" s="112"/>
      <c r="AT21" s="112"/>
      <c r="AU21" s="112"/>
      <c r="AV21" s="112"/>
      <c r="AW21" s="112"/>
      <c r="AX21" s="112"/>
      <c r="AY21" s="112"/>
      <c r="AZ21" s="112"/>
      <c r="BA21" s="2"/>
      <c r="BB21" s="2"/>
      <c r="BC21" s="2"/>
      <c r="BD21" s="2"/>
      <c r="BE21" s="2"/>
      <c r="BF21" s="2"/>
      <c r="BG21" s="2"/>
      <c r="BH21" s="2"/>
      <c r="BI21" s="2"/>
      <c r="BJ21" s="147" t="s">
        <v>203</v>
      </c>
      <c r="BK21" s="2"/>
      <c r="BL21" s="2"/>
      <c r="BM21" s="2"/>
      <c r="BN21" s="2"/>
      <c r="BO21" s="2"/>
      <c r="BP21" s="2"/>
      <c r="BQ21" s="166" t="s">
        <v>216</v>
      </c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</row>
    <row r="22" spans="3:84" ht="11.25" customHeight="1">
      <c r="C22" s="90" t="s">
        <v>575</v>
      </c>
      <c r="D22" s="360" t="s">
        <v>544</v>
      </c>
      <c r="E22" s="9"/>
      <c r="F22" s="8"/>
      <c r="G22" s="2"/>
      <c r="H22" s="2"/>
      <c r="I22" s="2"/>
      <c r="J22" s="8"/>
      <c r="K22" s="2"/>
      <c r="L22" s="4"/>
      <c r="M22" s="4"/>
      <c r="N22" s="4"/>
      <c r="O22" s="4"/>
      <c r="P22" s="4"/>
      <c r="Q22" s="4"/>
      <c r="R22" s="4" t="s">
        <v>445</v>
      </c>
      <c r="S22" s="4"/>
      <c r="T22" s="4"/>
      <c r="U22" s="4"/>
      <c r="V22" s="4"/>
      <c r="W22" s="168"/>
      <c r="X22" s="168"/>
      <c r="Y22" s="168"/>
      <c r="Z22" s="168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2"/>
      <c r="AL22" s="2"/>
      <c r="AM22" s="2"/>
      <c r="AN22" s="2"/>
      <c r="AO22" s="2"/>
      <c r="AP22" s="2"/>
      <c r="AQ22" s="2"/>
      <c r="AR22" s="2"/>
      <c r="AS22" s="154" t="s">
        <v>488</v>
      </c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33" t="s">
        <v>201</v>
      </c>
      <c r="BK22" s="2"/>
      <c r="BL22" s="2"/>
      <c r="BM22" s="2"/>
      <c r="BN22" s="2"/>
      <c r="BO22" s="2"/>
      <c r="BP22" s="2"/>
      <c r="BQ22" s="166"/>
      <c r="BR22" s="147" t="s">
        <v>217</v>
      </c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</row>
    <row r="23" spans="3:84" ht="11.25" customHeight="1">
      <c r="C23" s="90" t="s">
        <v>576</v>
      </c>
      <c r="D23" s="360" t="s">
        <v>562</v>
      </c>
      <c r="E23" s="9"/>
      <c r="F23" s="8"/>
      <c r="G23" s="2"/>
      <c r="H23" s="2"/>
      <c r="I23" s="2"/>
      <c r="J23" s="8"/>
      <c r="K23" s="2"/>
      <c r="L23" s="4"/>
      <c r="M23" s="4"/>
      <c r="N23" s="4"/>
      <c r="O23" s="4"/>
      <c r="P23" s="4"/>
      <c r="Q23" s="4"/>
      <c r="R23" s="4"/>
      <c r="S23" s="4" t="s">
        <v>447</v>
      </c>
      <c r="T23" s="4"/>
      <c r="U23" s="4"/>
      <c r="V23" s="4"/>
      <c r="W23" s="168"/>
      <c r="X23" s="168"/>
      <c r="Y23" s="168"/>
      <c r="Z23" s="168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2"/>
      <c r="AL23" s="2"/>
      <c r="AM23" s="2"/>
      <c r="AN23" s="2"/>
      <c r="AO23" s="2"/>
      <c r="AP23" s="2"/>
      <c r="AQ23" s="2"/>
      <c r="AR23" s="2"/>
      <c r="AS23" s="2"/>
      <c r="AT23" s="112" t="s">
        <v>434</v>
      </c>
      <c r="AU23" s="112"/>
      <c r="AV23" s="112"/>
      <c r="AW23" s="11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147" t="s">
        <v>202</v>
      </c>
      <c r="BK23" s="2"/>
      <c r="BL23" s="2"/>
      <c r="BM23" s="2"/>
      <c r="BN23" s="2"/>
      <c r="BO23" s="2"/>
      <c r="BP23" s="2"/>
      <c r="BQ23" s="166"/>
      <c r="BR23" s="4"/>
      <c r="BS23" s="166" t="s">
        <v>509</v>
      </c>
      <c r="BT23" s="166"/>
      <c r="BU23" s="166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</row>
    <row r="24" spans="3:84">
      <c r="C24" s="90" t="s">
        <v>577</v>
      </c>
      <c r="D24" s="76"/>
      <c r="E24" s="360"/>
      <c r="F24" s="8"/>
      <c r="G24" s="2"/>
      <c r="H24" s="2"/>
      <c r="I24" s="2"/>
      <c r="J24" s="8"/>
      <c r="K24" s="2"/>
      <c r="L24" s="4"/>
      <c r="M24" s="4"/>
      <c r="N24" s="4"/>
      <c r="O24" s="4"/>
      <c r="P24" s="4"/>
      <c r="Q24" s="4"/>
      <c r="R24" s="4"/>
      <c r="S24" s="4"/>
      <c r="T24" s="4" t="s">
        <v>528</v>
      </c>
      <c r="U24" s="4"/>
      <c r="V24" s="168"/>
      <c r="W24" s="168"/>
      <c r="X24" s="168"/>
      <c r="Y24" s="168"/>
      <c r="Z24" s="168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154" t="s">
        <v>489</v>
      </c>
      <c r="AV24" s="2"/>
      <c r="AW24" s="154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166" t="s">
        <v>204</v>
      </c>
      <c r="BK24" s="2"/>
      <c r="BL24" s="2"/>
      <c r="BM24" s="2"/>
      <c r="BN24" s="2"/>
      <c r="BO24" s="2"/>
      <c r="BP24" s="2"/>
      <c r="BQ24" s="2"/>
      <c r="BR24" s="2"/>
      <c r="BS24" s="2"/>
      <c r="BT24" s="147" t="s">
        <v>422</v>
      </c>
      <c r="BU24" s="147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</row>
    <row r="25" spans="3:84">
      <c r="C25" s="90" t="s">
        <v>578</v>
      </c>
      <c r="D25" s="360"/>
      <c r="E25" s="360"/>
      <c r="F25" s="8"/>
      <c r="G25" s="2"/>
      <c r="H25" s="2"/>
      <c r="I25" s="2"/>
      <c r="J25" s="8"/>
      <c r="K25" s="2"/>
      <c r="L25" s="4"/>
      <c r="M25" s="4"/>
      <c r="N25" s="4"/>
      <c r="O25" s="4"/>
      <c r="P25" s="4"/>
      <c r="Q25" s="4"/>
      <c r="R25" s="4"/>
      <c r="S25" s="4"/>
      <c r="T25" s="4"/>
      <c r="U25" s="147" t="s">
        <v>539</v>
      </c>
      <c r="V25" s="168"/>
      <c r="W25" s="168"/>
      <c r="X25" s="168"/>
      <c r="Y25" s="168"/>
      <c r="Z25" s="168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2"/>
      <c r="AL25" s="2"/>
      <c r="AM25" s="2"/>
      <c r="AN25" s="2"/>
      <c r="AO25" s="2"/>
      <c r="AP25" s="2"/>
      <c r="AQ25" s="2"/>
      <c r="AR25" s="2"/>
      <c r="AS25" s="2"/>
      <c r="AT25" s="84"/>
      <c r="AU25" s="84"/>
      <c r="AV25" s="112" t="s">
        <v>448</v>
      </c>
      <c r="AW25" s="112"/>
      <c r="AX25" s="84"/>
      <c r="AY25" s="84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351" t="s">
        <v>252</v>
      </c>
      <c r="BK25" s="2"/>
      <c r="BL25" s="2"/>
      <c r="BM25" s="2"/>
      <c r="BN25" s="2"/>
      <c r="BO25" s="2"/>
      <c r="BP25" s="2"/>
      <c r="BQ25" s="2"/>
      <c r="BR25" s="2"/>
      <c r="BS25" s="349"/>
      <c r="BT25" s="349"/>
      <c r="BU25" s="168" t="s">
        <v>421</v>
      </c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</row>
    <row r="26" spans="3:84">
      <c r="C26" s="90" t="s">
        <v>579</v>
      </c>
      <c r="D26" s="76"/>
      <c r="E26" s="482"/>
      <c r="F26" s="8"/>
      <c r="G26" s="2"/>
      <c r="H26" s="2"/>
      <c r="I26" s="2"/>
      <c r="J26" s="8"/>
      <c r="K26" s="2"/>
      <c r="L26" s="4"/>
      <c r="M26" s="4"/>
      <c r="N26" s="4"/>
      <c r="O26" s="4"/>
      <c r="P26" s="4"/>
      <c r="Q26" s="4"/>
      <c r="R26" s="4"/>
      <c r="S26" s="4"/>
      <c r="T26" s="4"/>
      <c r="U26" s="4"/>
      <c r="V26" s="168" t="s">
        <v>478</v>
      </c>
      <c r="W26" s="168"/>
      <c r="X26" s="168"/>
      <c r="Y26" s="168"/>
      <c r="Z26" s="168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2"/>
      <c r="AL26" s="2"/>
      <c r="AM26" s="2"/>
      <c r="AN26" s="2"/>
      <c r="AO26" s="2"/>
      <c r="AP26" s="2"/>
      <c r="AQ26" s="2"/>
      <c r="AR26" s="2"/>
      <c r="AS26" s="84"/>
      <c r="AT26" s="84"/>
      <c r="AU26" s="84"/>
      <c r="AV26" s="2"/>
      <c r="AW26" s="112" t="s">
        <v>490</v>
      </c>
      <c r="AX26" s="112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352" t="s">
        <v>253</v>
      </c>
      <c r="BK26" s="2"/>
      <c r="BL26" s="2"/>
      <c r="BM26" s="2"/>
      <c r="BN26" s="2"/>
      <c r="BO26" s="2"/>
      <c r="BP26" s="2"/>
      <c r="BQ26" s="2"/>
      <c r="BR26" s="349"/>
      <c r="BS26" s="349"/>
      <c r="BT26" s="349"/>
      <c r="BU26" s="349"/>
      <c r="BV26" s="147" t="s">
        <v>452</v>
      </c>
      <c r="BW26" s="349"/>
      <c r="BX26" s="349"/>
      <c r="BY26" s="349"/>
      <c r="BZ26" s="349"/>
      <c r="CA26" s="349"/>
      <c r="CB26" s="349"/>
      <c r="CC26" s="349"/>
      <c r="CD26" s="349"/>
      <c r="CE26" s="349"/>
      <c r="CF26" s="2"/>
    </row>
    <row r="27" spans="3:84">
      <c r="C27" s="90" t="s">
        <v>580</v>
      </c>
      <c r="D27" s="360"/>
      <c r="E27" s="360"/>
      <c r="F27" s="8"/>
      <c r="G27" s="2"/>
      <c r="H27" s="2"/>
      <c r="I27" s="2"/>
      <c r="J27" s="8"/>
      <c r="K27" s="2"/>
      <c r="L27" s="84"/>
      <c r="M27" s="84"/>
      <c r="N27" s="84"/>
      <c r="O27" s="84"/>
      <c r="P27" s="4"/>
      <c r="Q27" s="4"/>
      <c r="R27" s="4"/>
      <c r="S27" s="4"/>
      <c r="T27" s="4"/>
      <c r="U27" s="4"/>
      <c r="V27" s="4"/>
      <c r="W27" s="4" t="s">
        <v>479</v>
      </c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2"/>
      <c r="AL27" s="2"/>
      <c r="AM27" s="2"/>
      <c r="AN27" s="2"/>
      <c r="AO27" s="84"/>
      <c r="AP27" s="84"/>
      <c r="AQ27" s="84"/>
      <c r="AR27" s="84"/>
      <c r="AS27" s="84"/>
      <c r="AT27" s="84"/>
      <c r="AU27" s="84"/>
      <c r="AV27" s="2"/>
      <c r="AW27" s="2"/>
      <c r="AX27" s="154" t="s">
        <v>491</v>
      </c>
      <c r="AY27" s="2"/>
      <c r="AZ27" s="2"/>
      <c r="BA27" s="2"/>
      <c r="BB27" s="84"/>
      <c r="BC27" s="84"/>
      <c r="BD27" s="84"/>
      <c r="BE27" s="84"/>
      <c r="BF27" s="84"/>
      <c r="BG27" s="84"/>
      <c r="BH27" s="84"/>
      <c r="BI27" s="84"/>
      <c r="BJ27" s="351" t="s">
        <v>254</v>
      </c>
      <c r="BK27" s="349"/>
      <c r="BL27" s="349"/>
      <c r="BM27" s="349"/>
      <c r="BN27" s="349"/>
      <c r="BO27" s="349"/>
      <c r="BP27" s="349"/>
      <c r="BQ27" s="349"/>
      <c r="BR27" s="349"/>
      <c r="BS27" s="349"/>
      <c r="BT27" s="349"/>
      <c r="BU27" s="349"/>
      <c r="BV27" s="349"/>
      <c r="BW27" s="349"/>
      <c r="BX27" s="349"/>
      <c r="BY27" s="349"/>
      <c r="BZ27" s="349"/>
      <c r="CA27" s="349"/>
      <c r="CB27" s="349"/>
      <c r="CC27" s="349"/>
      <c r="CD27" s="349"/>
      <c r="CE27" s="2"/>
      <c r="CF27" s="2"/>
    </row>
    <row r="28" spans="3:84">
      <c r="C28" s="90" t="s">
        <v>581</v>
      </c>
      <c r="D28" s="360"/>
      <c r="E28" s="482"/>
      <c r="F28" s="8"/>
      <c r="G28" s="2"/>
      <c r="H28" s="2"/>
      <c r="I28" s="2"/>
      <c r="J28" s="8"/>
      <c r="K28" s="2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4"/>
      <c r="W28" s="4"/>
      <c r="X28" s="307" t="s">
        <v>480</v>
      </c>
      <c r="Y28" s="168"/>
      <c r="Z28" s="168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2"/>
      <c r="AL28" s="2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349"/>
      <c r="BK28" s="349"/>
      <c r="BL28" s="349"/>
      <c r="BM28" s="349"/>
      <c r="BN28" s="349"/>
      <c r="BO28" s="349"/>
      <c r="BP28" s="349"/>
      <c r="BQ28" s="349"/>
      <c r="BR28" s="349"/>
      <c r="BS28" s="349"/>
      <c r="BT28" s="349"/>
      <c r="BU28" s="349"/>
      <c r="BV28" s="349"/>
      <c r="BW28" s="349"/>
      <c r="BX28" s="349"/>
      <c r="BY28" s="349"/>
      <c r="BZ28" s="349"/>
      <c r="CA28" s="349"/>
      <c r="CB28" s="349"/>
      <c r="CC28" s="349"/>
      <c r="CD28" s="349"/>
      <c r="CE28" s="2"/>
      <c r="CF28" s="2"/>
    </row>
    <row r="29" spans="3:84" ht="20.25">
      <c r="C29" s="90" t="s">
        <v>582</v>
      </c>
      <c r="D29" s="360"/>
      <c r="E29" s="360"/>
      <c r="F29" s="8"/>
      <c r="G29" s="2"/>
      <c r="H29" s="2"/>
      <c r="I29" s="2"/>
      <c r="N29" s="84"/>
      <c r="O29" s="84"/>
      <c r="P29" s="84"/>
      <c r="Q29" s="84"/>
      <c r="R29" s="84"/>
      <c r="S29" s="84"/>
      <c r="T29" s="84"/>
      <c r="U29" s="84"/>
      <c r="V29" s="4"/>
      <c r="W29" s="4"/>
      <c r="X29" s="4"/>
      <c r="Y29" s="4" t="s">
        <v>431</v>
      </c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2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377" t="s">
        <v>512</v>
      </c>
      <c r="BK29" s="349"/>
      <c r="BL29" s="349"/>
      <c r="BM29" s="349"/>
      <c r="BN29" s="349"/>
      <c r="BO29" s="349"/>
      <c r="BP29" s="349"/>
      <c r="BQ29" s="349"/>
      <c r="BR29" s="349"/>
      <c r="BS29" s="349"/>
      <c r="BT29" s="349"/>
      <c r="BU29" s="349"/>
      <c r="BV29" s="349"/>
      <c r="BW29" s="349"/>
      <c r="BX29" s="349"/>
      <c r="BY29" s="349"/>
      <c r="BZ29" s="349"/>
      <c r="CA29" s="349"/>
      <c r="CB29" s="349"/>
      <c r="CC29" s="349"/>
      <c r="CD29" s="349"/>
      <c r="CE29" s="2"/>
      <c r="CF29" s="2"/>
    </row>
    <row r="30" spans="3:84">
      <c r="C30" s="90" t="s">
        <v>583</v>
      </c>
      <c r="D30" s="360"/>
      <c r="E30" s="482"/>
      <c r="F30" s="8"/>
      <c r="G30" s="2"/>
      <c r="H30" s="2"/>
      <c r="I30" s="2"/>
      <c r="N30" s="84"/>
      <c r="O30" s="84"/>
      <c r="P30" s="84"/>
      <c r="Q30" s="84"/>
      <c r="R30" s="84"/>
      <c r="S30" s="84"/>
      <c r="T30" s="84"/>
      <c r="U30" s="84"/>
      <c r="V30" s="4"/>
      <c r="W30" s="4"/>
      <c r="X30" s="4"/>
      <c r="Y30" s="4"/>
      <c r="Z30" s="147" t="s">
        <v>541</v>
      </c>
      <c r="AA30" s="168"/>
      <c r="AB30" s="168"/>
      <c r="AC30" s="4"/>
      <c r="AD30" s="4"/>
      <c r="AE30" s="4"/>
      <c r="AF30" s="4"/>
      <c r="AG30" s="4"/>
      <c r="AH30" s="4"/>
      <c r="AI30" s="4"/>
      <c r="AJ30" s="4"/>
      <c r="AK30" s="2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349"/>
      <c r="BK30" s="349"/>
      <c r="BL30" s="349"/>
      <c r="BM30" s="349"/>
      <c r="BN30" s="349"/>
      <c r="BO30" s="349"/>
      <c r="BP30" s="349"/>
      <c r="BQ30" s="349"/>
      <c r="BR30" s="349"/>
      <c r="BS30" s="349"/>
      <c r="BT30" s="349"/>
      <c r="BU30" s="349"/>
      <c r="BV30" s="349"/>
      <c r="BW30" s="349"/>
      <c r="BX30" s="349"/>
      <c r="BY30" s="349"/>
      <c r="BZ30" s="349"/>
      <c r="CA30" s="349"/>
      <c r="CB30" s="349"/>
      <c r="CC30" s="349"/>
      <c r="CD30" s="349"/>
      <c r="CE30" s="2"/>
      <c r="CF30" s="2"/>
    </row>
    <row r="31" spans="3:84">
      <c r="C31" s="3"/>
      <c r="D31" s="76"/>
      <c r="E31" s="9"/>
      <c r="F31" s="8"/>
      <c r="G31" s="2"/>
      <c r="H31" s="2"/>
      <c r="I31" s="2"/>
      <c r="N31" s="84"/>
      <c r="O31" s="84"/>
      <c r="P31" s="84"/>
      <c r="Q31" s="84"/>
      <c r="R31" s="84"/>
      <c r="S31" s="84"/>
      <c r="T31" s="84"/>
      <c r="U31" s="84"/>
      <c r="V31" s="4"/>
      <c r="W31" s="4"/>
      <c r="X31" s="4"/>
      <c r="Y31" s="4"/>
      <c r="Z31" s="4"/>
      <c r="AA31" s="168" t="s">
        <v>469</v>
      </c>
      <c r="AB31" s="168"/>
      <c r="AC31" s="4"/>
      <c r="AD31" s="4"/>
      <c r="AE31" s="4"/>
      <c r="AF31" s="4"/>
      <c r="AG31" s="4"/>
      <c r="AH31" s="4"/>
      <c r="AI31" s="4"/>
      <c r="AJ31" s="4"/>
      <c r="AK31" s="2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349"/>
      <c r="BK31" s="349"/>
      <c r="BL31" s="349"/>
      <c r="BM31" s="349"/>
      <c r="BN31" s="349"/>
      <c r="BO31" s="349"/>
      <c r="BP31" s="349"/>
      <c r="BQ31" s="349"/>
      <c r="BR31" s="349"/>
      <c r="BS31" s="349"/>
      <c r="BT31" s="349"/>
      <c r="BU31" s="349"/>
      <c r="BV31" s="349"/>
      <c r="BW31" s="349"/>
      <c r="BX31" s="349"/>
      <c r="BY31" s="349"/>
      <c r="BZ31" s="349"/>
      <c r="CA31" s="349"/>
      <c r="CB31" s="349"/>
      <c r="CC31" s="349"/>
      <c r="CD31" s="349"/>
      <c r="CE31" s="2"/>
      <c r="CF31" s="2"/>
    </row>
    <row r="32" spans="3:84">
      <c r="C32" s="3" t="s">
        <v>563</v>
      </c>
      <c r="D32" s="76" t="s">
        <v>570</v>
      </c>
      <c r="E32" s="9"/>
      <c r="F32" s="8"/>
      <c r="G32" s="2"/>
      <c r="H32" s="2"/>
      <c r="I32" s="2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4"/>
      <c r="AB32" s="147" t="s">
        <v>543</v>
      </c>
      <c r="AC32" s="168"/>
      <c r="AD32" s="4"/>
      <c r="AE32" s="4"/>
      <c r="AF32" s="4"/>
      <c r="AG32" s="4"/>
      <c r="AH32" s="4"/>
      <c r="AI32" s="4"/>
      <c r="AJ32" s="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349"/>
      <c r="BK32" s="349"/>
      <c r="BL32" s="349"/>
      <c r="BM32" s="349"/>
      <c r="BN32" s="349"/>
      <c r="BO32" s="349"/>
      <c r="BP32" s="349"/>
      <c r="BQ32" s="349"/>
      <c r="BR32" s="349"/>
      <c r="BS32" s="349"/>
      <c r="BT32" s="349"/>
      <c r="BU32" s="349"/>
      <c r="BV32" s="349"/>
      <c r="BW32" s="349"/>
      <c r="BX32" s="349"/>
      <c r="BY32" s="349"/>
      <c r="BZ32" s="349"/>
      <c r="CA32" s="349"/>
      <c r="CB32" s="349"/>
      <c r="CC32" s="349"/>
      <c r="CD32" s="349"/>
    </row>
    <row r="33" spans="3:82">
      <c r="C33" s="90" t="s">
        <v>579</v>
      </c>
      <c r="D33" s="360" t="s">
        <v>534</v>
      </c>
      <c r="E33" s="9"/>
      <c r="F33" s="8"/>
      <c r="G33" s="2"/>
      <c r="H33" s="2"/>
      <c r="I33" s="2"/>
      <c r="M33" s="3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4"/>
      <c r="AB33" s="4"/>
      <c r="AC33" s="168" t="s">
        <v>477</v>
      </c>
      <c r="AD33" s="4"/>
      <c r="AE33" s="4"/>
      <c r="AF33" s="4"/>
      <c r="AG33" s="4"/>
      <c r="AH33" s="4"/>
      <c r="AI33" s="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349"/>
      <c r="BK33" s="349"/>
      <c r="BL33" s="349"/>
      <c r="BM33" s="349"/>
      <c r="BN33" s="349"/>
      <c r="BO33" s="349"/>
      <c r="BP33" s="349"/>
      <c r="BQ33" s="349"/>
      <c r="BR33" s="349"/>
      <c r="BS33" s="349"/>
      <c r="BT33" s="349"/>
      <c r="BU33" s="349"/>
      <c r="BV33" s="349"/>
      <c r="BW33" s="349"/>
      <c r="BX33" s="349"/>
      <c r="BY33" s="349"/>
      <c r="BZ33" s="349"/>
      <c r="CA33" s="349"/>
      <c r="CB33" s="349"/>
      <c r="CC33" s="349"/>
      <c r="CD33" s="349"/>
    </row>
    <row r="34" spans="3:82">
      <c r="C34" s="90" t="s">
        <v>582</v>
      </c>
      <c r="D34" s="360" t="s">
        <v>536</v>
      </c>
      <c r="E34" s="360"/>
      <c r="F34" s="8"/>
      <c r="G34" s="2"/>
      <c r="H34" s="2"/>
      <c r="I34" s="2"/>
      <c r="M34" s="3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4"/>
      <c r="AB34" s="4"/>
      <c r="AC34" s="4"/>
      <c r="AD34" s="4" t="s">
        <v>470</v>
      </c>
      <c r="AE34" s="4"/>
      <c r="AF34" s="4"/>
      <c r="AG34" s="4"/>
      <c r="AH34" s="4"/>
      <c r="AI34" s="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349"/>
      <c r="BK34" s="349"/>
      <c r="BL34" s="349"/>
      <c r="BM34" s="349"/>
      <c r="BN34" s="349"/>
      <c r="BO34" s="349"/>
      <c r="BP34" s="349"/>
      <c r="BQ34" s="349"/>
      <c r="BR34" s="349"/>
      <c r="BS34" s="349"/>
      <c r="BT34" s="349"/>
      <c r="BU34" s="349"/>
      <c r="BV34" s="349"/>
      <c r="BW34" s="349"/>
      <c r="BX34" s="349"/>
      <c r="BY34" s="349"/>
      <c r="BZ34" s="349"/>
      <c r="CA34" s="349"/>
      <c r="CB34" s="349"/>
      <c r="CC34" s="349"/>
      <c r="CD34" s="349"/>
    </row>
    <row r="35" spans="3:82">
      <c r="C35" s="3"/>
      <c r="D35" s="360"/>
      <c r="E35" s="482"/>
      <c r="F35" s="8"/>
      <c r="G35" s="2"/>
      <c r="H35" s="2"/>
      <c r="I35" s="2"/>
      <c r="M35" s="3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4"/>
      <c r="AB35" s="4"/>
      <c r="AC35" s="4"/>
      <c r="AD35" s="4"/>
      <c r="AE35" s="167" t="s">
        <v>397</v>
      </c>
      <c r="AF35" s="4"/>
      <c r="AG35" s="4"/>
      <c r="AH35" s="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349"/>
      <c r="BK35" s="349"/>
      <c r="BL35" s="349"/>
      <c r="BM35" s="349"/>
      <c r="BN35" s="349"/>
      <c r="BO35" s="349"/>
      <c r="BP35" s="349"/>
      <c r="BQ35" s="349"/>
      <c r="BR35" s="349"/>
      <c r="BS35" s="349"/>
      <c r="BT35" s="349"/>
      <c r="BU35" s="349"/>
      <c r="BV35" s="349"/>
      <c r="BW35" s="349"/>
      <c r="BX35" s="349"/>
      <c r="BY35" s="349"/>
      <c r="BZ35" s="349"/>
      <c r="CA35" s="349"/>
      <c r="CB35" s="349"/>
      <c r="CC35" s="349"/>
      <c r="CD35" s="349"/>
    </row>
    <row r="36" spans="3:82">
      <c r="C36" s="3"/>
      <c r="D36" s="76"/>
      <c r="E36" s="9"/>
      <c r="F36" s="8"/>
      <c r="G36" s="2"/>
      <c r="H36" s="2"/>
      <c r="I36" s="2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4"/>
      <c r="AD36" s="4"/>
      <c r="AE36" s="4"/>
      <c r="AF36" s="168" t="s">
        <v>471</v>
      </c>
      <c r="AG36" s="84"/>
      <c r="AH36" s="349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349"/>
      <c r="BK36" s="349"/>
      <c r="BL36" s="349"/>
      <c r="BM36" s="349"/>
      <c r="BN36" s="349"/>
      <c r="BO36" s="349"/>
      <c r="BP36" s="349"/>
      <c r="BQ36" s="349"/>
      <c r="BR36" s="349"/>
      <c r="BS36" s="349"/>
      <c r="BT36" s="349"/>
      <c r="BU36" s="349"/>
      <c r="BV36" s="349"/>
      <c r="BW36" s="349"/>
      <c r="BX36" s="349"/>
      <c r="BY36" s="349"/>
      <c r="BZ36" s="349"/>
      <c r="CA36" s="349"/>
      <c r="CB36" s="349"/>
      <c r="CC36" s="349"/>
      <c r="CD36" s="349"/>
    </row>
    <row r="37" spans="3:82">
      <c r="C37" s="3" t="s">
        <v>565</v>
      </c>
      <c r="D37" s="76" t="s">
        <v>571</v>
      </c>
      <c r="E37" s="3"/>
      <c r="F37" s="8"/>
      <c r="G37" s="2"/>
      <c r="H37" s="2"/>
      <c r="I37" s="2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349"/>
      <c r="AF37" s="84"/>
      <c r="AG37" s="147" t="s">
        <v>451</v>
      </c>
      <c r="AH37" s="349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349"/>
      <c r="BK37" s="349"/>
      <c r="BL37" s="349"/>
      <c r="BM37" s="349"/>
      <c r="BN37" s="349"/>
      <c r="BO37" s="349"/>
      <c r="BP37" s="349"/>
      <c r="BQ37" s="349"/>
      <c r="BR37" s="349"/>
      <c r="BS37" s="349"/>
      <c r="BT37" s="349"/>
      <c r="BU37" s="349"/>
      <c r="BV37" s="349"/>
      <c r="BW37" s="349"/>
      <c r="BX37" s="349"/>
      <c r="BY37" s="349"/>
      <c r="BZ37" s="349"/>
      <c r="CA37" s="349"/>
      <c r="CB37" s="349"/>
      <c r="CC37" s="349"/>
      <c r="CD37" s="349"/>
    </row>
    <row r="38" spans="3:82">
      <c r="C38" s="90" t="s">
        <v>579</v>
      </c>
      <c r="D38" s="360" t="s">
        <v>534</v>
      </c>
      <c r="E38" s="3"/>
      <c r="F38" s="8"/>
      <c r="G38" s="2"/>
      <c r="H38" s="2"/>
      <c r="I38" s="2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349"/>
      <c r="AF38" s="84"/>
      <c r="AG38" s="84"/>
      <c r="AH38" s="168" t="s">
        <v>481</v>
      </c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349"/>
      <c r="BK38" s="349"/>
      <c r="BL38" s="349"/>
      <c r="BM38" s="349"/>
      <c r="BN38" s="349"/>
      <c r="BO38" s="349"/>
      <c r="BP38" s="349"/>
      <c r="BQ38" s="349"/>
      <c r="BR38" s="349"/>
      <c r="BS38" s="349"/>
      <c r="BT38" s="349"/>
      <c r="BU38" s="349"/>
      <c r="BV38" s="349"/>
      <c r="BW38" s="349"/>
      <c r="BX38" s="349"/>
      <c r="BY38" s="349"/>
      <c r="BZ38" s="349"/>
      <c r="CA38" s="349"/>
      <c r="CB38" s="349"/>
      <c r="CC38" s="349"/>
      <c r="CD38" s="349"/>
    </row>
    <row r="39" spans="3:82">
      <c r="C39" s="90" t="s">
        <v>582</v>
      </c>
      <c r="D39" s="360" t="s">
        <v>536</v>
      </c>
      <c r="E39" s="360"/>
      <c r="F39" s="8"/>
      <c r="G39" s="2"/>
      <c r="H39" s="2"/>
      <c r="I39" s="2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349"/>
      <c r="AF39" s="84"/>
      <c r="AG39" s="84"/>
      <c r="AH39" s="349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349"/>
      <c r="BK39" s="349"/>
      <c r="BL39" s="349"/>
      <c r="BM39" s="349"/>
      <c r="BN39" s="349"/>
      <c r="BO39" s="349"/>
      <c r="BP39" s="349"/>
      <c r="BQ39" s="349"/>
      <c r="BR39" s="349"/>
      <c r="BS39" s="349"/>
      <c r="BT39" s="349"/>
      <c r="BU39" s="349"/>
      <c r="BV39" s="349"/>
      <c r="BW39" s="349"/>
      <c r="BX39" s="349"/>
      <c r="BY39" s="349"/>
      <c r="BZ39" s="349"/>
      <c r="CA39" s="349"/>
      <c r="CB39" s="349"/>
      <c r="CC39" s="349"/>
      <c r="CD39" s="349"/>
    </row>
    <row r="40" spans="3:82">
      <c r="C40" s="440"/>
      <c r="D40" s="360"/>
      <c r="E40" s="482"/>
      <c r="F40" s="3"/>
      <c r="G40" s="2"/>
      <c r="H40" s="2"/>
      <c r="I40" s="2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349"/>
      <c r="AF40" s="84"/>
      <c r="AG40" s="84"/>
      <c r="AH40" s="349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349"/>
      <c r="BK40" s="349"/>
      <c r="BL40" s="349"/>
      <c r="BM40" s="349"/>
      <c r="BN40" s="349"/>
      <c r="BO40" s="349"/>
      <c r="BP40" s="349"/>
      <c r="BQ40" s="349"/>
      <c r="BR40" s="349"/>
      <c r="BS40" s="349"/>
      <c r="BT40" s="349"/>
      <c r="BU40" s="349"/>
      <c r="BV40" s="349"/>
      <c r="BW40" s="349"/>
      <c r="BX40" s="349"/>
      <c r="BY40" s="349"/>
      <c r="BZ40" s="349"/>
      <c r="CA40" s="349"/>
      <c r="CB40" s="349"/>
      <c r="CC40" s="349"/>
      <c r="CD40" s="349"/>
    </row>
    <row r="41" spans="3:82">
      <c r="C41" s="3"/>
      <c r="E41" s="3"/>
      <c r="F41" s="3"/>
      <c r="G41" s="2"/>
      <c r="H41" s="2"/>
      <c r="I41" s="2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349"/>
      <c r="AF41" s="84"/>
      <c r="AG41" s="84"/>
      <c r="AH41" s="349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349"/>
      <c r="BK41" s="349"/>
      <c r="BL41" s="349"/>
      <c r="BM41" s="349"/>
      <c r="BN41" s="349"/>
      <c r="BO41" s="349"/>
      <c r="BP41" s="349"/>
      <c r="BQ41" s="349"/>
      <c r="BR41" s="349"/>
      <c r="BS41" s="349"/>
      <c r="BT41" s="349"/>
      <c r="BU41" s="349"/>
      <c r="BV41" s="349"/>
      <c r="BW41" s="349"/>
      <c r="BX41" s="349"/>
      <c r="BY41" s="349"/>
      <c r="BZ41" s="349"/>
      <c r="CA41" s="349"/>
      <c r="CB41" s="349"/>
      <c r="CC41" s="349"/>
      <c r="CD41" s="349"/>
    </row>
    <row r="42" spans="3:82">
      <c r="C42" s="90" t="s">
        <v>563</v>
      </c>
      <c r="D42" s="76" t="s">
        <v>572</v>
      </c>
      <c r="E42" s="360"/>
      <c r="F42" s="3"/>
      <c r="G42" s="2"/>
      <c r="H42" s="2"/>
      <c r="I42" s="2"/>
    </row>
    <row r="43" spans="3:82">
      <c r="C43" s="90" t="s">
        <v>574</v>
      </c>
      <c r="D43" s="360" t="s">
        <v>537</v>
      </c>
      <c r="E43" s="482"/>
      <c r="F43" s="3"/>
      <c r="G43" s="2"/>
      <c r="H43" s="2"/>
      <c r="I43" s="2"/>
    </row>
    <row r="44" spans="3:82">
      <c r="C44" s="90" t="s">
        <v>575</v>
      </c>
      <c r="D44" s="360" t="s">
        <v>536</v>
      </c>
      <c r="E44" s="3"/>
      <c r="F44" s="3"/>
      <c r="G44" s="2"/>
      <c r="H44" s="2"/>
      <c r="I44" s="2"/>
    </row>
    <row r="45" spans="3:82">
      <c r="C45" s="90" t="s">
        <v>576</v>
      </c>
      <c r="D45" s="360"/>
      <c r="E45" s="3"/>
      <c r="F45" s="3"/>
      <c r="G45" s="2"/>
      <c r="H45" s="2"/>
      <c r="I45" s="2"/>
    </row>
    <row r="46" spans="3:82">
      <c r="C46" s="90" t="s">
        <v>577</v>
      </c>
      <c r="E46" s="3"/>
      <c r="F46" s="3"/>
      <c r="G46" s="2"/>
      <c r="H46" s="2"/>
      <c r="I46" s="2"/>
    </row>
    <row r="47" spans="3:82">
      <c r="C47" s="90" t="s">
        <v>578</v>
      </c>
      <c r="D47" s="76"/>
      <c r="E47" s="360"/>
      <c r="F47" s="3"/>
      <c r="G47" s="2"/>
      <c r="H47" s="2"/>
      <c r="I47" s="2"/>
    </row>
    <row r="48" spans="3:82">
      <c r="C48" s="90" t="s">
        <v>580</v>
      </c>
      <c r="D48" s="360"/>
      <c r="E48" s="482"/>
      <c r="F48" s="3"/>
      <c r="G48" s="2"/>
      <c r="H48" s="2"/>
      <c r="I48" s="2"/>
    </row>
    <row r="49" spans="3:9">
      <c r="C49" s="90" t="s">
        <v>581</v>
      </c>
      <c r="E49" s="3"/>
      <c r="F49" s="3"/>
      <c r="G49" s="2"/>
      <c r="H49" s="2"/>
      <c r="I49" s="2"/>
    </row>
    <row r="50" spans="3:9">
      <c r="C50" s="440"/>
      <c r="E50" s="360"/>
      <c r="F50" s="3"/>
      <c r="G50" s="2"/>
      <c r="H50" s="2"/>
      <c r="I50" s="2"/>
    </row>
    <row r="51" spans="3:9">
      <c r="C51" s="3"/>
      <c r="E51" s="482"/>
      <c r="F51" s="3"/>
      <c r="G51" s="2"/>
      <c r="H51" s="2"/>
      <c r="I51" s="2"/>
    </row>
    <row r="52" spans="3:9">
      <c r="C52" s="3" t="s">
        <v>565</v>
      </c>
      <c r="D52" s="76" t="s">
        <v>573</v>
      </c>
      <c r="E52" s="3"/>
      <c r="F52" s="3"/>
      <c r="G52" s="2"/>
      <c r="H52" s="2"/>
      <c r="I52" s="2"/>
    </row>
    <row r="53" spans="3:9">
      <c r="C53" s="90" t="s">
        <v>574</v>
      </c>
      <c r="D53" s="360" t="s">
        <v>537</v>
      </c>
      <c r="E53" s="3"/>
      <c r="F53" s="3"/>
      <c r="G53" s="2"/>
      <c r="H53" s="2"/>
      <c r="I53" s="2"/>
    </row>
    <row r="54" spans="3:9">
      <c r="C54" s="90" t="s">
        <v>575</v>
      </c>
      <c r="D54" s="360" t="s">
        <v>536</v>
      </c>
      <c r="E54" s="3"/>
      <c r="F54" s="3"/>
      <c r="G54" s="2"/>
      <c r="H54" s="2"/>
      <c r="I54" s="2"/>
    </row>
    <row r="55" spans="3:9">
      <c r="C55" s="90" t="s">
        <v>576</v>
      </c>
      <c r="D55" s="76"/>
      <c r="E55" s="360"/>
      <c r="F55" s="3"/>
      <c r="G55" s="2"/>
      <c r="H55" s="2"/>
      <c r="I55" s="2"/>
    </row>
    <row r="56" spans="3:9">
      <c r="C56" s="90" t="s">
        <v>577</v>
      </c>
      <c r="D56" s="360"/>
      <c r="E56" s="482"/>
      <c r="F56" s="3"/>
      <c r="G56" s="2"/>
      <c r="H56" s="2"/>
      <c r="I56" s="2"/>
    </row>
    <row r="57" spans="3:9">
      <c r="C57" s="90" t="s">
        <v>578</v>
      </c>
      <c r="E57" s="3"/>
      <c r="F57" s="3"/>
      <c r="G57" s="2"/>
      <c r="H57" s="2"/>
      <c r="I57" s="2"/>
    </row>
    <row r="58" spans="3:9">
      <c r="C58" s="90" t="s">
        <v>580</v>
      </c>
      <c r="D58" s="76"/>
      <c r="E58" s="360"/>
      <c r="F58" s="3"/>
      <c r="G58" s="2"/>
      <c r="H58" s="2"/>
      <c r="I58" s="2"/>
    </row>
    <row r="59" spans="3:9">
      <c r="C59" s="90" t="s">
        <v>581</v>
      </c>
      <c r="D59" s="360"/>
      <c r="E59" s="482"/>
      <c r="F59" s="3"/>
      <c r="G59" s="2"/>
      <c r="H59" s="2"/>
      <c r="I59" s="2"/>
    </row>
    <row r="60" spans="3:9">
      <c r="C60" s="90" t="s">
        <v>583</v>
      </c>
      <c r="E60" s="3"/>
      <c r="F60" s="3"/>
      <c r="G60" s="2"/>
      <c r="H60" s="2"/>
      <c r="I60" s="2"/>
    </row>
    <row r="61" spans="3:9">
      <c r="C61" s="3"/>
      <c r="D61" s="76"/>
      <c r="E61" s="360"/>
      <c r="F61" s="3"/>
      <c r="G61" s="2"/>
      <c r="H61" s="2"/>
      <c r="I61" s="2"/>
    </row>
    <row r="62" spans="3:9">
      <c r="C62" s="386"/>
      <c r="D62" s="360"/>
      <c r="E62" s="482"/>
      <c r="F62" s="3"/>
      <c r="G62" s="2"/>
      <c r="H62" s="2"/>
      <c r="I62" s="2"/>
    </row>
    <row r="63" spans="3:9">
      <c r="C63" s="90"/>
      <c r="E63" s="3"/>
      <c r="F63" s="3"/>
      <c r="G63" s="2"/>
      <c r="H63" s="2"/>
      <c r="I63" s="2"/>
    </row>
    <row r="64" spans="3:9">
      <c r="C64" s="3"/>
      <c r="D64" s="76"/>
      <c r="E64" s="360"/>
      <c r="F64" s="3"/>
      <c r="G64" s="2"/>
      <c r="H64" s="2"/>
      <c r="I64" s="2"/>
    </row>
    <row r="65" spans="3:9">
      <c r="C65" s="386"/>
      <c r="D65" s="360"/>
      <c r="E65" s="482"/>
      <c r="F65" s="3"/>
      <c r="G65" s="2"/>
      <c r="H65" s="2"/>
      <c r="I65" s="2"/>
    </row>
    <row r="66" spans="3:9">
      <c r="C66" s="90"/>
      <c r="E66" s="3"/>
      <c r="F66" s="3"/>
      <c r="G66" s="2"/>
      <c r="H66" s="2"/>
      <c r="I66" s="2"/>
    </row>
    <row r="67" spans="3:9">
      <c r="C67" s="90"/>
      <c r="E67" s="360"/>
      <c r="F67" s="3"/>
      <c r="G67" s="2"/>
      <c r="H67" s="2"/>
      <c r="I67" s="2"/>
    </row>
    <row r="68" spans="3:9">
      <c r="C68" s="90"/>
      <c r="D68" s="8"/>
      <c r="E68" s="482"/>
      <c r="F68" s="3"/>
      <c r="G68" s="2"/>
      <c r="H68" s="2"/>
      <c r="I68" s="2"/>
    </row>
    <row r="69" spans="3:9">
      <c r="C69" s="90"/>
      <c r="D69" s="76"/>
      <c r="E69" s="3"/>
      <c r="F69" s="3"/>
      <c r="G69" s="2"/>
      <c r="H69" s="2"/>
      <c r="I69" s="2"/>
    </row>
    <row r="70" spans="3:9">
      <c r="C70" s="90"/>
      <c r="D70" s="8"/>
      <c r="E70" s="9"/>
      <c r="F70" s="3"/>
      <c r="G70" s="2"/>
      <c r="H70" s="2"/>
      <c r="I70" s="2"/>
    </row>
    <row r="71" spans="3:9">
      <c r="C71" s="90"/>
      <c r="D71" s="8"/>
      <c r="E71" s="499"/>
      <c r="F71" s="3"/>
      <c r="G71" s="2"/>
      <c r="H71" s="2"/>
      <c r="I71" s="2"/>
    </row>
    <row r="72" spans="3:9">
      <c r="C72" s="90"/>
      <c r="D72" s="8"/>
      <c r="E72" s="3"/>
      <c r="F72" s="3"/>
      <c r="G72" s="2"/>
      <c r="H72" s="2"/>
      <c r="I72" s="2"/>
    </row>
    <row r="73" spans="3:9">
      <c r="C73" s="90"/>
      <c r="D73" s="8"/>
      <c r="E73" s="9"/>
      <c r="F73" s="3"/>
      <c r="G73" s="2"/>
      <c r="H73" s="2"/>
      <c r="I73" s="2"/>
    </row>
    <row r="74" spans="3:9">
      <c r="C74" s="90"/>
      <c r="D74" s="76"/>
      <c r="E74" s="499"/>
      <c r="F74" s="3"/>
      <c r="G74" s="2"/>
      <c r="H74" s="2"/>
      <c r="I74" s="2"/>
    </row>
    <row r="75" spans="3:9">
      <c r="C75" s="90"/>
      <c r="D75" s="8"/>
      <c r="E75" s="3"/>
      <c r="F75" s="3"/>
      <c r="G75" s="2"/>
      <c r="H75" s="2"/>
      <c r="I75" s="2"/>
    </row>
    <row r="76" spans="3:9">
      <c r="C76" s="90"/>
      <c r="D76" s="8"/>
      <c r="E76" s="9"/>
      <c r="F76" s="3"/>
      <c r="G76" s="2"/>
      <c r="H76" s="2"/>
      <c r="I76" s="2"/>
    </row>
    <row r="77" spans="3:9">
      <c r="C77" s="90"/>
      <c r="D77" s="76"/>
      <c r="E77" s="499"/>
      <c r="F77" s="3"/>
      <c r="G77" s="2"/>
      <c r="H77" s="2"/>
      <c r="I77" s="2"/>
    </row>
    <row r="78" spans="3:9">
      <c r="C78" s="90"/>
      <c r="D78" s="8"/>
      <c r="E78" s="3"/>
      <c r="F78" s="3"/>
      <c r="G78" s="2"/>
      <c r="H78" s="2"/>
      <c r="I78" s="2"/>
    </row>
    <row r="79" spans="3:9">
      <c r="C79" s="90"/>
      <c r="D79" s="8"/>
      <c r="E79" s="9"/>
      <c r="F79" s="3"/>
      <c r="G79" s="2"/>
      <c r="H79" s="2"/>
      <c r="I79" s="2"/>
    </row>
    <row r="80" spans="3:9">
      <c r="C80" s="90"/>
      <c r="D80" s="76"/>
      <c r="E80" s="499"/>
      <c r="F80" s="3"/>
      <c r="G80" s="2"/>
      <c r="H80" s="2"/>
      <c r="I80" s="2"/>
    </row>
    <row r="81" spans="3:9">
      <c r="C81" s="90"/>
      <c r="D81" s="8"/>
      <c r="E81" s="3"/>
      <c r="F81" s="3"/>
      <c r="G81" s="2"/>
      <c r="H81" s="2"/>
      <c r="I81" s="2"/>
    </row>
    <row r="82" spans="3:9">
      <c r="C82" s="90"/>
      <c r="D82" s="8"/>
      <c r="E82" s="9"/>
      <c r="F82" s="3"/>
      <c r="G82" s="2"/>
      <c r="H82" s="2"/>
      <c r="I82" s="2"/>
    </row>
    <row r="83" spans="3:9">
      <c r="C83" s="90"/>
      <c r="D83" s="76"/>
      <c r="E83" s="499"/>
      <c r="F83" s="3"/>
      <c r="G83" s="2"/>
      <c r="H83" s="2"/>
      <c r="I83" s="2"/>
    </row>
    <row r="84" spans="3:9">
      <c r="C84" s="90"/>
      <c r="D84" s="8"/>
      <c r="E84" s="9"/>
      <c r="F84" s="3"/>
      <c r="G84" s="2"/>
      <c r="H84" s="2"/>
      <c r="I84" s="2"/>
    </row>
    <row r="85" spans="3:9">
      <c r="C85" s="90"/>
      <c r="D85" s="8"/>
      <c r="E85" s="9"/>
      <c r="F85" s="3"/>
      <c r="G85" s="2"/>
      <c r="H85" s="2"/>
      <c r="I85" s="2"/>
    </row>
    <row r="86" spans="3:9">
      <c r="C86" s="90"/>
      <c r="D86" s="76"/>
      <c r="E86" s="499"/>
      <c r="F86" s="3"/>
      <c r="G86" s="2"/>
      <c r="H86" s="2"/>
      <c r="I86" s="2"/>
    </row>
    <row r="87" spans="3:9">
      <c r="C87" s="90"/>
      <c r="D87" s="8"/>
      <c r="E87" s="3"/>
      <c r="F87" s="3"/>
      <c r="G87" s="2"/>
      <c r="H87" s="2"/>
      <c r="I87" s="2"/>
    </row>
    <row r="88" spans="3:9">
      <c r="C88" s="90"/>
      <c r="D88" s="8"/>
      <c r="E88" s="9"/>
      <c r="F88" s="3"/>
      <c r="G88" s="2"/>
      <c r="H88" s="2"/>
      <c r="I88" s="2"/>
    </row>
    <row r="89" spans="3:9">
      <c r="C89" s="90"/>
      <c r="D89" s="76"/>
      <c r="E89" s="499"/>
      <c r="F89" s="3"/>
      <c r="G89" s="2"/>
      <c r="H89" s="2"/>
      <c r="I89" s="2"/>
    </row>
    <row r="90" spans="3:9">
      <c r="C90" s="90"/>
      <c r="E90" s="3"/>
      <c r="F90" s="3"/>
      <c r="G90" s="2"/>
      <c r="H90" s="2"/>
      <c r="I90" s="2"/>
    </row>
    <row r="91" spans="3:9">
      <c r="C91" s="90"/>
      <c r="E91" s="3"/>
      <c r="F91" s="3"/>
      <c r="G91" s="2"/>
      <c r="H91" s="2"/>
      <c r="I91" s="2"/>
    </row>
    <row r="92" spans="3:9">
      <c r="C92" s="90"/>
      <c r="E92" s="3"/>
      <c r="F92" s="3"/>
      <c r="G92" s="2"/>
      <c r="H92" s="2"/>
      <c r="I92" s="2"/>
    </row>
    <row r="93" spans="3:9">
      <c r="C93" s="90"/>
      <c r="E93" s="3"/>
      <c r="F93" s="3"/>
      <c r="G93" s="2"/>
      <c r="H93" s="2"/>
      <c r="I93" s="2"/>
    </row>
    <row r="94" spans="3:9">
      <c r="C94" s="90"/>
      <c r="E94" s="3"/>
      <c r="F94" s="3"/>
      <c r="G94" s="2"/>
      <c r="H94" s="2"/>
      <c r="I94" s="2"/>
    </row>
    <row r="95" spans="3:9">
      <c r="C95" s="90"/>
      <c r="E95" s="3"/>
      <c r="F95" s="3"/>
      <c r="G95" s="2"/>
      <c r="H95" s="2"/>
      <c r="I95" s="2"/>
    </row>
  </sheetData>
  <mergeCells count="15">
    <mergeCell ref="CE1:CF1"/>
    <mergeCell ref="A14:C14"/>
    <mergeCell ref="F1:H1"/>
    <mergeCell ref="BB1:BG1"/>
    <mergeCell ref="BH1:BK1"/>
    <mergeCell ref="BL1:BW1"/>
    <mergeCell ref="A1:A2"/>
    <mergeCell ref="C1:C2"/>
    <mergeCell ref="L1:AL1"/>
    <mergeCell ref="AM1:BA1"/>
    <mergeCell ref="D1:E1"/>
    <mergeCell ref="BX1:CC1"/>
    <mergeCell ref="CD1:CD2"/>
    <mergeCell ref="I1:K1"/>
    <mergeCell ref="B1:B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Y18"/>
  <sheetViews>
    <sheetView workbookViewId="0">
      <pane ySplit="2" topLeftCell="A3" activePane="bottomLeft" state="frozen"/>
      <selection pane="bottomLeft" activeCell="C24" sqref="C24:C25"/>
    </sheetView>
  </sheetViews>
  <sheetFormatPr defaultRowHeight="11.25"/>
  <cols>
    <col min="1" max="1" width="7.28515625" style="8" bestFit="1" customWidth="1"/>
    <col min="2" max="2" width="10.7109375" style="130" customWidth="1"/>
    <col min="3" max="3" width="52.42578125" style="88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1" customWidth="1"/>
    <col min="20" max="21" width="8.7109375" style="3" customWidth="1"/>
    <col min="22" max="23" width="3.28515625" style="3" bestFit="1" customWidth="1"/>
    <col min="24" max="16384" width="9.140625" style="3"/>
  </cols>
  <sheetData>
    <row r="1" spans="1:25" ht="15.75" customHeight="1">
      <c r="A1" s="789" t="s">
        <v>1</v>
      </c>
      <c r="B1" s="790" t="s">
        <v>2</v>
      </c>
      <c r="C1" s="792" t="s">
        <v>0</v>
      </c>
      <c r="D1" s="794" t="s">
        <v>7</v>
      </c>
      <c r="E1" s="784" t="s">
        <v>6</v>
      </c>
      <c r="F1" s="785"/>
      <c r="G1" s="786" t="s">
        <v>5</v>
      </c>
      <c r="H1" s="787"/>
      <c r="I1" s="784" t="s">
        <v>64</v>
      </c>
      <c r="J1" s="785"/>
      <c r="K1" s="651" t="s">
        <v>9</v>
      </c>
      <c r="L1" s="596" t="s">
        <v>398</v>
      </c>
      <c r="M1" s="798"/>
      <c r="N1" s="596" t="s">
        <v>82</v>
      </c>
      <c r="O1" s="597"/>
      <c r="P1" s="597"/>
      <c r="Q1" s="597"/>
      <c r="R1" s="597"/>
      <c r="S1" s="795" t="s">
        <v>84</v>
      </c>
      <c r="T1" s="795"/>
      <c r="U1" s="795"/>
    </row>
    <row r="2" spans="1:25" ht="15.75" customHeight="1" thickBot="1">
      <c r="A2" s="783"/>
      <c r="B2" s="791"/>
      <c r="C2" s="793"/>
      <c r="D2" s="593"/>
      <c r="E2" s="61"/>
      <c r="F2" s="36" t="s">
        <v>9</v>
      </c>
      <c r="G2" s="61"/>
      <c r="H2" s="62" t="s">
        <v>9</v>
      </c>
      <c r="I2" s="61"/>
      <c r="J2" s="36" t="s">
        <v>9</v>
      </c>
      <c r="K2" s="652"/>
      <c r="L2" s="329"/>
      <c r="M2" s="170" t="s">
        <v>9</v>
      </c>
      <c r="N2" s="171" t="s">
        <v>140</v>
      </c>
      <c r="O2" s="171" t="s">
        <v>398</v>
      </c>
      <c r="P2" s="171" t="s">
        <v>362</v>
      </c>
      <c r="Q2" s="171" t="s">
        <v>59</v>
      </c>
      <c r="R2" s="171" t="s">
        <v>139</v>
      </c>
      <c r="S2" s="796"/>
      <c r="T2" s="797"/>
      <c r="U2" s="172"/>
    </row>
    <row r="3" spans="1:25" s="5" customFormat="1">
      <c r="A3" s="484" t="str">
        <f>'1-συμβολαια'!A3</f>
        <v>7ο</v>
      </c>
      <c r="B3" s="355">
        <f>'1-συμβολαια'!B3</f>
        <v>38525</v>
      </c>
      <c r="C3" s="347" t="str">
        <f>'1-συμβολαια'!C3</f>
        <v>*γονική ΨΙΛΗΣ ΚΥΡΙΟΤΗΤΑΣ [αγροτεμάχιο ;;;??? Πρίνος -'';;;???'' 580μ2</v>
      </c>
      <c r="D3" s="353">
        <f>'1-συμβολαια'!D3</f>
        <v>1874.74</v>
      </c>
      <c r="E3" s="313"/>
      <c r="F3" s="313"/>
      <c r="G3" s="313"/>
      <c r="H3" s="313"/>
      <c r="I3" s="313"/>
      <c r="J3" s="313"/>
      <c r="K3" s="315">
        <f>'1-συμβολαια'!N3</f>
        <v>70.28</v>
      </c>
      <c r="L3" s="315">
        <f>'2-δικαιώμ'!N3+'5-αντίγρ'!O3</f>
        <v>9.0945320000000009</v>
      </c>
      <c r="M3" s="315">
        <v>8.2200000000000006</v>
      </c>
      <c r="N3" s="315">
        <f>'1-συμβολαια'!O3</f>
        <v>143.52234799999999</v>
      </c>
      <c r="O3" s="315">
        <f t="shared" ref="O3:O7" si="0">L3-M3</f>
        <v>0.87453200000000031</v>
      </c>
      <c r="P3" s="315">
        <f>'8-κ-15-17'!AG3</f>
        <v>-7.649999999976842E-4</v>
      </c>
      <c r="Q3" s="315">
        <f>'5-αντίγρ'!AM3+'6-μεταγρ'!P3+'6-μεταγρ'!Q3+'7-προςΔΟΥ'!L3+'11-χαρτόσ'!H3+'13-ντιΜιΧο'!CF3</f>
        <v>11.879999999999999</v>
      </c>
      <c r="R3" s="315">
        <f>'13-ντιΜιΧο'!CE3</f>
        <v>278.09999999999997</v>
      </c>
      <c r="S3" s="269"/>
      <c r="T3" s="261"/>
      <c r="U3" s="264"/>
    </row>
    <row r="4" spans="1:25" s="5" customFormat="1" ht="12" thickBot="1">
      <c r="A4" s="485">
        <f>'1-συμβολαια'!A4</f>
        <v>0</v>
      </c>
      <c r="B4" s="478">
        <f>'1-συμβολαια'!B4</f>
        <v>0</v>
      </c>
      <c r="C4" s="479" t="str">
        <f>'1-συμβολαια'!C4</f>
        <v>ΧΡΗΣΙΚΤΗΣΙΑ αγροτεμαχίου = 1961 μητρος ΔΩΡΕΑ άτυπη</v>
      </c>
      <c r="D4" s="480">
        <f>'1-συμβολαια'!D4</f>
        <v>1111</v>
      </c>
      <c r="E4" s="388"/>
      <c r="F4" s="388"/>
      <c r="G4" s="388"/>
      <c r="H4" s="388"/>
      <c r="I4" s="388"/>
      <c r="J4" s="388"/>
      <c r="K4" s="442">
        <f>'1-συμβολαια'!N4</f>
        <v>0</v>
      </c>
      <c r="L4" s="442">
        <f>'2-δικαιώμ'!N4+'5-αντίγρ'!O4</f>
        <v>3.3198000000000003</v>
      </c>
      <c r="M4" s="442"/>
      <c r="N4" s="442">
        <f>'1-συμβολαια'!O4</f>
        <v>158.41219999999998</v>
      </c>
      <c r="O4" s="442">
        <f t="shared" si="0"/>
        <v>3.3198000000000003</v>
      </c>
      <c r="P4" s="442">
        <f>'8-κ-15-17'!AG4</f>
        <v>8.6102500000000006</v>
      </c>
      <c r="Q4" s="442">
        <f>'5-αντίγρ'!AM4+'6-μεταγρ'!P4+'6-μεταγρ'!Q4+'7-προςΔΟΥ'!L4+'11-χαρτόσ'!H4+'13-ντιΜιΧο'!CF4</f>
        <v>3</v>
      </c>
      <c r="R4" s="442">
        <f>'13-ντιΜιΧο'!CE4</f>
        <v>0</v>
      </c>
      <c r="S4" s="495"/>
      <c r="T4" s="496"/>
      <c r="U4" s="393"/>
    </row>
    <row r="5" spans="1:25" s="5" customFormat="1">
      <c r="A5" s="396" t="str">
        <f>'1-συμβολαια'!A5</f>
        <v>8ο</v>
      </c>
      <c r="B5" s="355">
        <f>'1-συμβολαια'!B5</f>
        <v>39548</v>
      </c>
      <c r="C5" s="476" t="str">
        <f>'1-συμβολαια'!C5</f>
        <v>κληρονομιάς ΑΠΟΔΟΧΗ</v>
      </c>
      <c r="D5" s="477">
        <f>'1-συμβολαια'!D5</f>
        <v>0</v>
      </c>
      <c r="E5" s="316"/>
      <c r="F5" s="316"/>
      <c r="G5" s="316"/>
      <c r="H5" s="316"/>
      <c r="I5" s="316"/>
      <c r="J5" s="316"/>
      <c r="K5" s="315">
        <f>'1-συμβολαια'!N5</f>
        <v>86.88</v>
      </c>
      <c r="L5" s="315">
        <f>'2-δικαιώμ'!N5+'5-αντίγρ'!O5</f>
        <v>9.3170000000000019</v>
      </c>
      <c r="M5" s="315">
        <v>9.32</v>
      </c>
      <c r="N5" s="315">
        <f>'1-συμβολαια'!O5</f>
        <v>192.70300000000003</v>
      </c>
      <c r="O5" s="315">
        <f t="shared" si="0"/>
        <v>-2.9999999999983373E-3</v>
      </c>
      <c r="P5" s="315">
        <f>'8-κ-15-17'!AG5</f>
        <v>0</v>
      </c>
      <c r="Q5" s="315">
        <f>'5-αντίγρ'!AM5+'6-μεταγρ'!P5+'6-μεταγρ'!Q5+'7-προςΔΟΥ'!L5+'11-χαρτόσ'!H5+'13-ντιΜιΧο'!CF5</f>
        <v>24.259999999999998</v>
      </c>
      <c r="R5" s="315">
        <f>'13-ντιΜιΧο'!CE5</f>
        <v>880</v>
      </c>
      <c r="S5" s="269"/>
      <c r="T5" s="265"/>
      <c r="U5" s="260"/>
    </row>
    <row r="6" spans="1:25" s="5" customFormat="1">
      <c r="A6" s="454">
        <f>'1-συμβολαια'!A6</f>
        <v>0</v>
      </c>
      <c r="B6" s="355"/>
      <c r="C6" s="347" t="str">
        <f>'1-συμβολαια'!C6</f>
        <v>διανομή [ = 2/8 μήτηρ &amp; από 3/8 τέκνα</v>
      </c>
      <c r="D6" s="353">
        <f>'1-συμβολαια'!D6</f>
        <v>28896.59</v>
      </c>
      <c r="E6" s="330"/>
      <c r="F6" s="330"/>
      <c r="G6" s="330"/>
      <c r="H6" s="330"/>
      <c r="I6" s="330"/>
      <c r="J6" s="330"/>
      <c r="K6" s="314">
        <f>'1-συμβολαια'!N6</f>
        <v>0</v>
      </c>
      <c r="L6" s="314">
        <f>'2-δικαιώμ'!N6+'5-αντίγρ'!O6</f>
        <v>53.333861999999996</v>
      </c>
      <c r="M6" s="314"/>
      <c r="N6" s="314">
        <f>'1-συμβολαια'!O6</f>
        <v>431.42521799999997</v>
      </c>
      <c r="O6" s="314">
        <f t="shared" si="0"/>
        <v>53.333861999999996</v>
      </c>
      <c r="P6" s="314">
        <f>'8-κ-15-17'!AG6</f>
        <v>0</v>
      </c>
      <c r="Q6" s="314">
        <f>'5-αντίγρ'!AM6+'6-μεταγρ'!P6+'6-μεταγρ'!Q6+'7-προςΔΟΥ'!L6+'11-χαρτόσ'!H6+'13-ντιΜιΧο'!CF6</f>
        <v>6.9600000000000009</v>
      </c>
      <c r="R6" s="314">
        <f>'13-ντιΜιΧο'!CE6</f>
        <v>4</v>
      </c>
      <c r="S6" s="438"/>
      <c r="T6" s="261"/>
      <c r="U6" s="264"/>
    </row>
    <row r="7" spans="1:25" s="5" customFormat="1">
      <c r="A7" s="454">
        <f>'1-συμβολαια'!A7</f>
        <v>0</v>
      </c>
      <c r="B7" s="380"/>
      <c r="C7" s="347" t="str">
        <f>'1-συμβολαια'!C7</f>
        <v>εξισορρόπηση διαφοράς διανεμομένων μεριδίων</v>
      </c>
      <c r="D7" s="353">
        <f>'1-συμβολαια'!D7</f>
        <v>666.66</v>
      </c>
      <c r="E7" s="330"/>
      <c r="F7" s="330"/>
      <c r="G7" s="330"/>
      <c r="H7" s="330"/>
      <c r="I7" s="330"/>
      <c r="J7" s="330"/>
      <c r="K7" s="314">
        <f>'1-συμβολαια'!N7</f>
        <v>0</v>
      </c>
      <c r="L7" s="314">
        <f>'2-δικαιώμ'!N7+'5-αντίγρ'!O7</f>
        <v>2.5199880000000001</v>
      </c>
      <c r="M7" s="314"/>
      <c r="N7" s="314">
        <f>'1-συμβολαια'!O7</f>
        <v>165.47993199999999</v>
      </c>
      <c r="O7" s="314">
        <f t="shared" si="0"/>
        <v>2.5199880000000001</v>
      </c>
      <c r="P7" s="314">
        <f>'8-κ-15-17'!AG7</f>
        <v>8.6665799999999997</v>
      </c>
      <c r="Q7" s="314">
        <f>'5-αντίγρ'!AM7+'6-μεταγρ'!P7+'6-μεταγρ'!Q7+'7-προςΔΟΥ'!L7+'11-χαρτόσ'!H7+'13-ντιΜιΧο'!CF7</f>
        <v>3</v>
      </c>
      <c r="R7" s="314">
        <f>'13-ντιΜιΧο'!CE7</f>
        <v>15.4</v>
      </c>
      <c r="S7" s="438"/>
      <c r="T7" s="261"/>
      <c r="U7" s="264"/>
    </row>
    <row r="8" spans="1:25" s="5" customFormat="1">
      <c r="A8" s="454">
        <f>'1-συμβολαια'!A8</f>
        <v>0</v>
      </c>
      <c r="B8" s="355"/>
      <c r="C8" s="347" t="str">
        <f>'1-συμβολαια'!C8</f>
        <v>χρησικτησία αγροτεμάχιο 1' = 1968 ΑΝΑΔΑΣΜΟΣ</v>
      </c>
      <c r="D8" s="353">
        <f>'1-συμβολαια'!D8</f>
        <v>333.33</v>
      </c>
      <c r="E8" s="313"/>
      <c r="F8" s="313"/>
      <c r="G8" s="313"/>
      <c r="H8" s="313"/>
      <c r="I8" s="313"/>
      <c r="J8" s="313"/>
      <c r="K8" s="314">
        <f>'1-συμβολαια'!N8</f>
        <v>0</v>
      </c>
      <c r="L8" s="315">
        <f>'2-δικαιώμ'!N8+'5-αντίγρ'!O8</f>
        <v>1.919994</v>
      </c>
      <c r="M8" s="315"/>
      <c r="N8" s="315">
        <f>'1-συμβολαια'!O8</f>
        <v>136.07996600000001</v>
      </c>
      <c r="O8" s="315">
        <f t="shared" ref="O8:O13" si="1">L8-M8</f>
        <v>1.919994</v>
      </c>
      <c r="P8" s="315">
        <f>'8-κ-15-17'!AG8</f>
        <v>2.5833075000000001</v>
      </c>
      <c r="Q8" s="315">
        <f>'5-αντίγρ'!AM8+'6-μεταγρ'!P8+'6-μεταγρ'!Q8+'7-προςΔΟΥ'!L8+'11-χαρτόσ'!H8+'13-ντιΜιΧο'!CF8</f>
        <v>6.9600000000000009</v>
      </c>
      <c r="R8" s="315">
        <f>'13-ντιΜιΧο'!CE8</f>
        <v>8</v>
      </c>
      <c r="S8" s="269"/>
      <c r="T8" s="261"/>
      <c r="U8" s="264"/>
    </row>
    <row r="9" spans="1:25" s="5" customFormat="1" ht="12" thickBot="1">
      <c r="A9" s="392">
        <f>'1-συμβολαια'!A9</f>
        <v>0</v>
      </c>
      <c r="B9" s="478"/>
      <c r="C9" s="479" t="str">
        <f>'1-συμβολαια'!C9</f>
        <v xml:space="preserve">χρησικτησία αγροτεμαχίων 2' έως 10' = 1961 πατρός ΔΩΡΕΑ άτυπος </v>
      </c>
      <c r="D9" s="480">
        <f>'1-συμβολαια'!D9</f>
        <v>2222.2199999999998</v>
      </c>
      <c r="E9" s="388"/>
      <c r="F9" s="388"/>
      <c r="G9" s="388"/>
      <c r="H9" s="388"/>
      <c r="I9" s="388"/>
      <c r="J9" s="388"/>
      <c r="K9" s="442">
        <f>'1-συμβολαια'!N9</f>
        <v>0</v>
      </c>
      <c r="L9" s="442">
        <f>'2-δικαιώμ'!N9+'5-αντίγρ'!O9</f>
        <v>5.3199960000000006</v>
      </c>
      <c r="M9" s="442"/>
      <c r="N9" s="442">
        <f>'1-συμβολαια'!O9</f>
        <v>122.54664399999999</v>
      </c>
      <c r="O9" s="442">
        <f t="shared" si="1"/>
        <v>5.3199960000000006</v>
      </c>
      <c r="P9" s="442">
        <f>'8-κ-15-17'!AG9</f>
        <v>17.222204999999999</v>
      </c>
      <c r="Q9" s="442">
        <f>'5-αντίγρ'!AM9+'6-μεταγρ'!P9+'6-μεταγρ'!Q9+'7-προςΔΟΥ'!L9+'11-χαρτόσ'!H9+'13-ντιΜιΧο'!CF9</f>
        <v>6.9600000000000009</v>
      </c>
      <c r="R9" s="442">
        <f>'13-ντιΜιΧο'!CE9</f>
        <v>8</v>
      </c>
      <c r="S9" s="495"/>
      <c r="T9" s="496"/>
      <c r="U9" s="264"/>
    </row>
    <row r="10" spans="1:25" s="5" customFormat="1">
      <c r="A10" s="452" t="str">
        <f>'1-συμβολαια'!A10</f>
        <v>9ο</v>
      </c>
      <c r="B10" s="355">
        <f>'1-συμβολαια'!B10</f>
        <v>40009</v>
      </c>
      <c r="C10" s="476" t="str">
        <f>'1-συμβολαια'!C10</f>
        <v>γονική</v>
      </c>
      <c r="D10" s="477">
        <f>'1-συμβολαια'!D10</f>
        <v>1292.5</v>
      </c>
      <c r="E10" s="323"/>
      <c r="F10" s="323"/>
      <c r="G10" s="323"/>
      <c r="H10" s="323"/>
      <c r="I10" s="323"/>
      <c r="J10" s="323"/>
      <c r="K10" s="315">
        <f>'1-συμβολαια'!N10</f>
        <v>69.23</v>
      </c>
      <c r="L10" s="315">
        <f>'2-δικαιώμ'!N10+'5-αντίγρ'!O10</f>
        <v>8.0465</v>
      </c>
      <c r="M10" s="315">
        <v>7.28</v>
      </c>
      <c r="N10" s="315">
        <f>'1-συμβολαια'!O10</f>
        <v>65.033500000000018</v>
      </c>
      <c r="O10" s="315">
        <f t="shared" si="1"/>
        <v>0.76649999999999974</v>
      </c>
      <c r="P10" s="315">
        <f>'8-κ-15-17'!AG10</f>
        <v>-3.1249999999989342E-3</v>
      </c>
      <c r="Q10" s="315">
        <f>'5-αντίγρ'!AM10+'6-μεταγρ'!P10+'6-μεταγρ'!Q10+'7-προςΔΟΥ'!L10+'11-χαρτόσ'!H10+'13-ντιΜιΧο'!CF10</f>
        <v>11.879999999999999</v>
      </c>
      <c r="R10" s="315">
        <f>'13-ντιΜιΧο'!CE10</f>
        <v>349.69999999999993</v>
      </c>
      <c r="S10" s="269"/>
      <c r="T10" s="265"/>
      <c r="U10" s="264"/>
    </row>
    <row r="11" spans="1:25" s="5" customFormat="1">
      <c r="A11" s="338" t="str">
        <f>'1-συμβολαια'!A11</f>
        <v>10ο</v>
      </c>
      <c r="B11" s="355">
        <f>'1-συμβολαια'!B11</f>
        <v>40009</v>
      </c>
      <c r="C11" s="347" t="str">
        <f>'1-συμβολαια'!C11</f>
        <v>δωρεά</v>
      </c>
      <c r="D11" s="353">
        <f>'1-συμβολαια'!D11</f>
        <v>1938.73</v>
      </c>
      <c r="E11" s="313"/>
      <c r="F11" s="313"/>
      <c r="G11" s="313"/>
      <c r="H11" s="313"/>
      <c r="I11" s="313"/>
      <c r="J11" s="313"/>
      <c r="K11" s="314">
        <f>'1-συμβολαια'!N11</f>
        <v>75.050000000000011</v>
      </c>
      <c r="L11" s="315">
        <f>'2-δικαιώμ'!N11+'5-αντίγρ'!O11</f>
        <v>9.2097140000000017</v>
      </c>
      <c r="M11" s="315">
        <v>9.2100000000000009</v>
      </c>
      <c r="N11" s="315">
        <f>'1-συμβολαια'!O11</f>
        <v>121.00504599999999</v>
      </c>
      <c r="O11" s="315">
        <f t="shared" si="1"/>
        <v>-2.8599999999912029E-4</v>
      </c>
      <c r="P11" s="315">
        <f>'8-κ-15-17'!AG11</f>
        <v>-4.8424999999987506E-3</v>
      </c>
      <c r="Q11" s="315">
        <f>'5-αντίγρ'!AM11+'6-μεταγρ'!P11+'6-μεταγρ'!Q11+'7-προςΔΟΥ'!L11+'11-χαρτόσ'!H11+'13-ντιΜιΧο'!CF11</f>
        <v>11.879999999999999</v>
      </c>
      <c r="R11" s="315">
        <f>'13-ντιΜιΧο'!CE11</f>
        <v>431.7</v>
      </c>
      <c r="S11" s="269"/>
      <c r="T11" s="261"/>
      <c r="U11" s="264"/>
    </row>
    <row r="12" spans="1:25" s="5" customFormat="1">
      <c r="A12" s="338" t="str">
        <f>'1-συμβολαια'!A12</f>
        <v>11ο</v>
      </c>
      <c r="B12" s="355">
        <f>'1-συμβολαια'!B12</f>
        <v>40009</v>
      </c>
      <c r="C12" s="347" t="str">
        <f>'1-συμβολαια'!C12</f>
        <v>γονική</v>
      </c>
      <c r="D12" s="353">
        <f>'1-συμβολαια'!D12</f>
        <v>8416.32</v>
      </c>
      <c r="E12" s="313"/>
      <c r="F12" s="313"/>
      <c r="G12" s="313"/>
      <c r="H12" s="313"/>
      <c r="I12" s="313"/>
      <c r="J12" s="313"/>
      <c r="K12" s="314">
        <f>'1-συμβολαια'!N12</f>
        <v>152.71</v>
      </c>
      <c r="L12" s="315">
        <f>'2-δικαιώμ'!N12+'5-αντίγρ'!O12</f>
        <v>21.749376000000002</v>
      </c>
      <c r="M12" s="315">
        <v>21.29</v>
      </c>
      <c r="N12" s="315">
        <f>'1-συμβολαια'!O12</f>
        <v>124.536464</v>
      </c>
      <c r="O12" s="315">
        <f t="shared" si="1"/>
        <v>0.45937600000000245</v>
      </c>
      <c r="P12" s="315">
        <f>'8-κ-15-17'!AG12</f>
        <v>-3.5200000000088494E-3</v>
      </c>
      <c r="Q12" s="315">
        <f>'5-αντίγρ'!AM12+'6-μεταγρ'!P12+'6-μεταγρ'!Q12+'7-προςΔΟΥ'!L12+'11-χαρτόσ'!H12+'13-ντιΜιΧο'!CF12</f>
        <v>11.879999999999999</v>
      </c>
      <c r="R12" s="315">
        <f>'13-ντιΜιΧο'!CE12</f>
        <v>892.69999999999993</v>
      </c>
      <c r="S12" s="269"/>
      <c r="T12" s="261"/>
      <c r="U12" s="264"/>
    </row>
    <row r="13" spans="1:25" s="5" customFormat="1">
      <c r="A13" s="338" t="str">
        <f>'1-συμβολαια'!A13</f>
        <v>12ο</v>
      </c>
      <c r="B13" s="355">
        <f>'1-συμβολαια'!B13</f>
        <v>40009</v>
      </c>
      <c r="C13" s="347" t="str">
        <f>'1-συμβολαια'!C13</f>
        <v>δωρεά</v>
      </c>
      <c r="D13" s="353">
        <f>'1-συμβολαια'!D13</f>
        <v>12624.63</v>
      </c>
      <c r="E13" s="313"/>
      <c r="F13" s="313"/>
      <c r="G13" s="313"/>
      <c r="H13" s="313"/>
      <c r="I13" s="313"/>
      <c r="J13" s="313"/>
      <c r="K13" s="314">
        <f>'1-συμβολαια'!N13</f>
        <v>195.10000000000002</v>
      </c>
      <c r="L13" s="314">
        <f>'2-δικαιώμ'!N13+'5-αντίγρ'!O13</f>
        <v>29.324334</v>
      </c>
      <c r="M13" s="314">
        <v>29.16</v>
      </c>
      <c r="N13" s="314">
        <f>'1-συμβολαια'!O13</f>
        <v>88.271225999999956</v>
      </c>
      <c r="O13" s="314">
        <f t="shared" si="1"/>
        <v>0.1643340000000002</v>
      </c>
      <c r="P13" s="314">
        <f>'8-κ-15-17'!AG13</f>
        <v>8.8250000000300588E-4</v>
      </c>
      <c r="Q13" s="314">
        <f>'5-αντίγρ'!AM13+'6-μεταγρ'!P13+'6-μεταγρ'!Q13+'7-προςΔΟΥ'!L13+'11-χαρτόσ'!H13+'13-ντιΜιΧο'!CF13</f>
        <v>11.879999999999999</v>
      </c>
      <c r="R13" s="314">
        <f>'13-ντιΜιΧο'!CE13</f>
        <v>730.69999999999993</v>
      </c>
      <c r="S13" s="438"/>
      <c r="T13" s="261"/>
      <c r="U13" s="264"/>
    </row>
    <row r="14" spans="1:25">
      <c r="A14" s="788" t="s">
        <v>56</v>
      </c>
      <c r="B14" s="788"/>
      <c r="C14" s="788"/>
      <c r="D14" s="788"/>
      <c r="E14" s="401">
        <f t="shared" ref="E14:U14" si="2">SUM(E3:E13)</f>
        <v>0</v>
      </c>
      <c r="F14" s="401">
        <f t="shared" si="2"/>
        <v>0</v>
      </c>
      <c r="G14" s="401">
        <f t="shared" si="2"/>
        <v>0</v>
      </c>
      <c r="H14" s="401">
        <f t="shared" si="2"/>
        <v>0</v>
      </c>
      <c r="I14" s="401">
        <f t="shared" si="2"/>
        <v>0</v>
      </c>
      <c r="J14" s="401">
        <f t="shared" si="2"/>
        <v>0</v>
      </c>
      <c r="K14" s="401">
        <f t="shared" si="2"/>
        <v>649.25</v>
      </c>
      <c r="L14" s="401">
        <f t="shared" si="2"/>
        <v>153.15509599999999</v>
      </c>
      <c r="M14" s="401">
        <f t="shared" si="2"/>
        <v>84.48</v>
      </c>
      <c r="N14" s="401">
        <f t="shared" si="2"/>
        <v>1749.0155439999999</v>
      </c>
      <c r="O14" s="401">
        <f t="shared" si="2"/>
        <v>68.675095999999996</v>
      </c>
      <c r="P14" s="401">
        <f t="shared" si="2"/>
        <v>37.070972499999996</v>
      </c>
      <c r="Q14" s="401">
        <f t="shared" si="2"/>
        <v>110.53999999999999</v>
      </c>
      <c r="R14" s="401">
        <f t="shared" si="2"/>
        <v>3598.2999999999997</v>
      </c>
      <c r="S14" s="422">
        <f t="shared" si="2"/>
        <v>0</v>
      </c>
      <c r="T14" s="422">
        <f t="shared" si="2"/>
        <v>0</v>
      </c>
      <c r="U14" s="423">
        <f t="shared" si="2"/>
        <v>0</v>
      </c>
    </row>
    <row r="16" spans="1:25">
      <c r="T16" s="81"/>
      <c r="U16" s="81"/>
      <c r="V16" s="81"/>
      <c r="W16" s="81"/>
      <c r="X16" s="81"/>
      <c r="Y16" s="81"/>
    </row>
    <row r="17" spans="1:25">
      <c r="T17" s="81"/>
      <c r="U17" s="81"/>
      <c r="V17" s="81"/>
      <c r="W17" s="81"/>
      <c r="X17" s="81"/>
      <c r="Y17" s="81"/>
    </row>
    <row r="18" spans="1:25" s="5" customFormat="1">
      <c r="A18" s="57"/>
      <c r="B18" s="108"/>
      <c r="C18" s="109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81"/>
      <c r="T18" s="81"/>
      <c r="U18" s="81"/>
      <c r="V18" s="81"/>
      <c r="W18" s="81"/>
      <c r="X18" s="81"/>
      <c r="Y18" s="81"/>
    </row>
  </sheetData>
  <mergeCells count="13">
    <mergeCell ref="S1:U1"/>
    <mergeCell ref="S2:T2"/>
    <mergeCell ref="N1:R1"/>
    <mergeCell ref="K1:K2"/>
    <mergeCell ref="L1:M1"/>
    <mergeCell ref="E1:F1"/>
    <mergeCell ref="G1:H1"/>
    <mergeCell ref="I1:J1"/>
    <mergeCell ref="A14:D1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8"/>
  <sheetViews>
    <sheetView workbookViewId="0">
      <pane ySplit="2" topLeftCell="A3" activePane="bottomLeft" state="frozen"/>
      <selection pane="bottomLeft" activeCell="A14" sqref="A14:XFD4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801" t="s">
        <v>76</v>
      </c>
      <c r="B1" s="801"/>
      <c r="C1" s="801"/>
      <c r="D1" s="801"/>
      <c r="E1" s="801"/>
      <c r="F1" s="801"/>
      <c r="G1" s="801"/>
      <c r="H1" s="801"/>
      <c r="I1" s="801"/>
      <c r="J1" s="801"/>
      <c r="K1" s="801"/>
      <c r="L1" s="801"/>
      <c r="M1" s="801"/>
      <c r="N1" s="801"/>
      <c r="O1" s="801"/>
      <c r="P1" s="801"/>
      <c r="Q1" s="801"/>
    </row>
    <row r="2" spans="1:17" s="9" customFormat="1" ht="23.25" customHeight="1" thickBot="1">
      <c r="A2" s="237" t="s">
        <v>19</v>
      </c>
      <c r="B2" s="802" t="s">
        <v>29</v>
      </c>
      <c r="C2" s="803"/>
      <c r="D2" s="804"/>
      <c r="E2" s="805" t="s">
        <v>84</v>
      </c>
      <c r="F2" s="806"/>
      <c r="G2" s="806"/>
      <c r="H2" s="807"/>
      <c r="I2" s="808" t="s">
        <v>84</v>
      </c>
      <c r="J2" s="809"/>
      <c r="K2" s="809"/>
      <c r="L2" s="810"/>
      <c r="M2" s="238" t="s">
        <v>38</v>
      </c>
      <c r="N2" s="238" t="s">
        <v>39</v>
      </c>
      <c r="O2" s="238" t="s">
        <v>40</v>
      </c>
      <c r="P2" s="238" t="s">
        <v>41</v>
      </c>
      <c r="Q2" s="238" t="s">
        <v>42</v>
      </c>
    </row>
    <row r="3" spans="1:17" s="17" customFormat="1">
      <c r="A3" s="29" t="str">
        <f>'1-συμβολαια'!A3</f>
        <v>7ο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 t="str">
        <f>'1-συμβολαια'!A5</f>
        <v>8ο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>
        <f>'1-συμβολαια'!A9</f>
        <v>0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 t="str">
        <f>'1-συμβολαια'!A10</f>
        <v>9ο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29" t="str">
        <f>'1-συμβολαια'!A11</f>
        <v>10ο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>
      <c r="A12" s="29" t="str">
        <f>'1-συμβολαια'!A12</f>
        <v>11ο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>
      <c r="A13" s="29" t="str">
        <f>'1-συμβολαια'!A13</f>
        <v>12ο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5" spans="1:17" ht="15.75" customHeight="1">
      <c r="B15" s="799" t="s">
        <v>104</v>
      </c>
      <c r="C15" s="799"/>
      <c r="D15" s="799"/>
      <c r="E15" s="799"/>
      <c r="F15" s="799"/>
      <c r="G15" s="799"/>
      <c r="H15" s="799"/>
      <c r="I15" s="799"/>
      <c r="J15" s="799"/>
      <c r="K15" s="799"/>
      <c r="L15" s="3"/>
      <c r="M15" s="3"/>
      <c r="N15" s="3"/>
      <c r="O15" s="3"/>
      <c r="P15" s="3"/>
      <c r="Q15" s="3"/>
    </row>
    <row r="16" spans="1:17" ht="15.75" customHeight="1">
      <c r="C16" s="800" t="s">
        <v>105</v>
      </c>
      <c r="D16" s="800"/>
      <c r="E16" s="800"/>
      <c r="F16" s="800"/>
      <c r="G16" s="800"/>
      <c r="H16" s="800"/>
      <c r="I16" s="800"/>
      <c r="J16" s="800"/>
      <c r="K16" s="800"/>
      <c r="L16" s="3"/>
      <c r="M16" s="3"/>
      <c r="N16" s="3"/>
      <c r="O16" s="3"/>
      <c r="P16" s="3"/>
      <c r="Q16" s="3"/>
    </row>
    <row r="17" spans="1:23" ht="15.75" customHeight="1">
      <c r="D17" s="799" t="s">
        <v>290</v>
      </c>
      <c r="E17" s="799"/>
      <c r="F17" s="799"/>
      <c r="G17" s="799"/>
      <c r="H17" s="799"/>
      <c r="I17" s="799"/>
      <c r="J17" s="799"/>
      <c r="K17" s="799"/>
      <c r="L17" s="799"/>
      <c r="M17" s="799"/>
      <c r="N17" s="799"/>
      <c r="O17" s="799"/>
      <c r="P17" s="3"/>
      <c r="Q17" s="3"/>
    </row>
    <row r="18" spans="1:23" s="5" customFormat="1" ht="15.75" customHeight="1">
      <c r="A18" s="57"/>
      <c r="B18" s="235"/>
      <c r="C18" s="235"/>
      <c r="D18" s="236"/>
      <c r="E18" s="800" t="s">
        <v>399</v>
      </c>
      <c r="F18" s="800"/>
      <c r="G18" s="800"/>
      <c r="H18" s="800"/>
      <c r="I18" s="800"/>
      <c r="J18" s="800"/>
      <c r="K18" s="800"/>
      <c r="L18" s="800"/>
      <c r="M18" s="800"/>
      <c r="N18" s="3"/>
      <c r="O18" s="3"/>
      <c r="P18" s="3"/>
      <c r="Q18" s="3"/>
    </row>
    <row r="19" spans="1:23" s="5" customFormat="1" ht="15.75" customHeight="1">
      <c r="A19" s="57"/>
      <c r="B19" s="235"/>
      <c r="C19" s="235"/>
      <c r="D19" s="236"/>
      <c r="E19" s="6"/>
      <c r="F19" s="799" t="s">
        <v>127</v>
      </c>
      <c r="G19" s="799"/>
      <c r="H19" s="799"/>
      <c r="I19" s="799"/>
      <c r="J19" s="799"/>
      <c r="K19" s="799"/>
      <c r="L19" s="799"/>
      <c r="M19" s="799"/>
      <c r="N19" s="799"/>
      <c r="O19" s="799"/>
      <c r="P19" s="799"/>
      <c r="Q19" s="3"/>
    </row>
    <row r="20" spans="1:23" s="5" customFormat="1" ht="15.75" customHeight="1">
      <c r="A20" s="57"/>
      <c r="B20" s="235"/>
      <c r="C20" s="235"/>
      <c r="D20" s="236"/>
      <c r="E20" s="6"/>
      <c r="F20" s="6"/>
      <c r="G20" s="800" t="s">
        <v>400</v>
      </c>
      <c r="H20" s="800"/>
      <c r="I20" s="800"/>
      <c r="J20" s="800"/>
      <c r="K20" s="800"/>
      <c r="L20" s="800"/>
      <c r="M20" s="800"/>
      <c r="N20" s="800"/>
      <c r="O20" s="800"/>
      <c r="P20" s="800"/>
      <c r="Q20" s="800"/>
    </row>
    <row r="21" spans="1:23" s="5" customFormat="1" ht="15.75" customHeight="1">
      <c r="A21" s="57"/>
      <c r="B21" s="235"/>
      <c r="C21" s="235"/>
      <c r="D21" s="236"/>
      <c r="E21" s="6"/>
      <c r="F21" s="6"/>
      <c r="G21" s="230"/>
      <c r="H21" s="799" t="s">
        <v>106</v>
      </c>
      <c r="I21" s="799"/>
      <c r="J21" s="799"/>
      <c r="K21" s="799"/>
      <c r="L21" s="799"/>
      <c r="M21" s="799"/>
      <c r="N21" s="799"/>
      <c r="O21" s="3"/>
      <c r="P21" s="3"/>
      <c r="Q21" s="3"/>
      <c r="R21" s="3"/>
      <c r="S21" s="3"/>
      <c r="T21" s="3"/>
      <c r="U21" s="3"/>
      <c r="V21" s="3"/>
      <c r="W21" s="3"/>
    </row>
    <row r="22" spans="1:23" s="5" customFormat="1" ht="15.75" customHeight="1">
      <c r="A22" s="57"/>
      <c r="B22" s="235"/>
      <c r="C22" s="235"/>
      <c r="D22" s="236"/>
      <c r="E22" s="6"/>
      <c r="F22" s="6"/>
      <c r="G22" s="230"/>
      <c r="H22" s="6"/>
      <c r="I22" s="800" t="s">
        <v>107</v>
      </c>
      <c r="J22" s="800"/>
      <c r="K22" s="800"/>
      <c r="L22" s="800"/>
      <c r="M22" s="800"/>
      <c r="N22" s="800"/>
      <c r="O22" s="800"/>
      <c r="P22" s="800"/>
      <c r="Q22" s="800"/>
      <c r="R22" s="800"/>
      <c r="S22" s="3"/>
      <c r="T22" s="3"/>
      <c r="U22" s="3"/>
      <c r="V22" s="3"/>
      <c r="W22" s="3"/>
    </row>
    <row r="23" spans="1:23" s="5" customFormat="1" ht="15.75" customHeight="1">
      <c r="A23" s="57"/>
      <c r="B23" s="235"/>
      <c r="C23" s="235"/>
      <c r="D23" s="236"/>
      <c r="E23" s="6"/>
      <c r="F23" s="6"/>
      <c r="G23" s="230"/>
      <c r="H23" s="6"/>
      <c r="I23" s="6"/>
      <c r="J23" s="799" t="s">
        <v>108</v>
      </c>
      <c r="K23" s="799"/>
      <c r="L23" s="799"/>
      <c r="M23" s="799"/>
      <c r="N23" s="799"/>
      <c r="O23" s="799"/>
      <c r="P23" s="799"/>
      <c r="Q23" s="799"/>
      <c r="R23" s="3"/>
      <c r="S23" s="3"/>
      <c r="T23" s="3"/>
      <c r="U23" s="3"/>
      <c r="V23" s="3"/>
      <c r="W23" s="3"/>
    </row>
    <row r="24" spans="1:23" s="5" customFormat="1" ht="15.75" customHeight="1">
      <c r="A24" s="57"/>
      <c r="B24" s="235"/>
      <c r="C24" s="235"/>
      <c r="D24" s="236"/>
      <c r="E24" s="6"/>
      <c r="F24" s="6"/>
      <c r="G24" s="230"/>
      <c r="H24" s="6"/>
      <c r="I24" s="6"/>
      <c r="J24" s="6"/>
      <c r="K24" s="811" t="s">
        <v>128</v>
      </c>
      <c r="L24" s="811"/>
      <c r="M24" s="811"/>
      <c r="N24" s="811"/>
      <c r="O24" s="811"/>
      <c r="P24" s="811"/>
      <c r="Q24" s="811"/>
      <c r="R24" s="811"/>
      <c r="S24" s="811"/>
      <c r="T24" s="811"/>
      <c r="U24" s="811"/>
      <c r="V24" s="3"/>
      <c r="W24" s="3"/>
    </row>
    <row r="25" spans="1:23" s="5" customFormat="1" ht="15.75" customHeight="1">
      <c r="A25" s="57"/>
      <c r="B25" s="235"/>
      <c r="C25" s="235"/>
      <c r="D25" s="236"/>
      <c r="E25" s="6"/>
      <c r="F25" s="6"/>
      <c r="G25" s="230"/>
      <c r="H25" s="6"/>
      <c r="I25" s="6"/>
      <c r="J25" s="6"/>
      <c r="K25" s="6"/>
      <c r="L25" s="799" t="s">
        <v>109</v>
      </c>
      <c r="M25" s="799"/>
      <c r="N25" s="799"/>
      <c r="O25" s="799"/>
      <c r="P25" s="799"/>
      <c r="Q25" s="799"/>
      <c r="R25" s="799"/>
      <c r="S25" s="799"/>
      <c r="T25" s="3"/>
      <c r="U25" s="3"/>
      <c r="V25" s="3"/>
      <c r="W25" s="3"/>
    </row>
    <row r="26" spans="1:23" s="5" customFormat="1" ht="15.75" customHeight="1">
      <c r="A26" s="57"/>
      <c r="B26" s="235"/>
      <c r="C26" s="235"/>
      <c r="D26" s="236"/>
      <c r="E26" s="6"/>
      <c r="F26" s="6"/>
      <c r="G26" s="230"/>
      <c r="H26" s="6"/>
      <c r="I26" s="6"/>
      <c r="J26" s="6"/>
      <c r="K26" s="6"/>
      <c r="L26" s="3"/>
      <c r="M26" s="800" t="s">
        <v>110</v>
      </c>
      <c r="N26" s="800"/>
      <c r="O26" s="800"/>
      <c r="P26" s="800"/>
      <c r="Q26" s="800"/>
      <c r="R26" s="800"/>
      <c r="S26" s="800"/>
      <c r="T26" s="800"/>
      <c r="U26" s="3"/>
      <c r="V26" s="3"/>
      <c r="W26" s="3"/>
    </row>
    <row r="27" spans="1:23" s="5" customFormat="1" ht="15.75" customHeight="1">
      <c r="A27" s="57"/>
      <c r="B27" s="235"/>
      <c r="C27" s="235"/>
      <c r="D27" s="236"/>
      <c r="E27" s="6"/>
      <c r="F27" s="6"/>
      <c r="G27" s="230"/>
      <c r="H27" s="6"/>
      <c r="I27" s="6"/>
      <c r="J27" s="6"/>
      <c r="K27" s="6"/>
      <c r="L27" s="3"/>
      <c r="M27" s="3"/>
      <c r="N27" s="799" t="s">
        <v>111</v>
      </c>
      <c r="O27" s="799"/>
      <c r="P27" s="799"/>
      <c r="Q27" s="799"/>
      <c r="R27" s="799"/>
      <c r="S27" s="799"/>
      <c r="T27" s="799"/>
      <c r="U27" s="799"/>
      <c r="V27" s="799"/>
      <c r="W27" s="799"/>
    </row>
    <row r="28" spans="1:23" s="5" customFormat="1" ht="15.75" customHeight="1">
      <c r="A28" s="57"/>
      <c r="B28" s="235"/>
      <c r="C28" s="235"/>
      <c r="D28" s="236"/>
      <c r="E28" s="6"/>
      <c r="F28" s="6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</row>
  </sheetData>
  <mergeCells count="17">
    <mergeCell ref="J23:Q23"/>
    <mergeCell ref="K24:U24"/>
    <mergeCell ref="L25:S25"/>
    <mergeCell ref="M26:T26"/>
    <mergeCell ref="N27:W27"/>
    <mergeCell ref="A1:Q1"/>
    <mergeCell ref="B2:D2"/>
    <mergeCell ref="E2:H2"/>
    <mergeCell ref="I2:L2"/>
    <mergeCell ref="B15:K15"/>
    <mergeCell ref="H21:N21"/>
    <mergeCell ref="I22:R22"/>
    <mergeCell ref="C16:K16"/>
    <mergeCell ref="D17:O17"/>
    <mergeCell ref="E18:M18"/>
    <mergeCell ref="F19:P19"/>
    <mergeCell ref="G20:Q2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pane ySplit="2" topLeftCell="A3" activePane="bottomLeft" state="frozen"/>
      <selection pane="bottomLeft" activeCell="A14" sqref="A14:XFD45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801" t="s">
        <v>76</v>
      </c>
      <c r="B1" s="801"/>
      <c r="C1" s="801"/>
      <c r="D1" s="801"/>
      <c r="E1" s="801"/>
      <c r="F1" s="801"/>
      <c r="G1" s="801"/>
      <c r="H1" s="801"/>
      <c r="I1" s="801"/>
      <c r="J1" s="801"/>
      <c r="K1" s="801"/>
      <c r="L1" s="801"/>
      <c r="M1" s="801"/>
      <c r="N1" s="801"/>
      <c r="O1" s="801"/>
      <c r="P1" s="801"/>
      <c r="Q1" s="801"/>
      <c r="R1" s="801"/>
      <c r="S1" s="801"/>
      <c r="T1" s="801"/>
    </row>
    <row r="2" spans="1:20" s="9" customFormat="1" ht="23.25" customHeight="1" thickBot="1">
      <c r="A2" s="237" t="s">
        <v>19</v>
      </c>
      <c r="B2" s="802" t="s">
        <v>29</v>
      </c>
      <c r="C2" s="803"/>
      <c r="D2" s="804"/>
      <c r="E2" s="805" t="s">
        <v>84</v>
      </c>
      <c r="F2" s="806"/>
      <c r="G2" s="807"/>
      <c r="H2" s="812" t="s">
        <v>84</v>
      </c>
      <c r="I2" s="813"/>
      <c r="J2" s="814"/>
      <c r="K2" s="808" t="s">
        <v>84</v>
      </c>
      <c r="L2" s="809"/>
      <c r="M2" s="810"/>
      <c r="N2" s="238" t="s">
        <v>36</v>
      </c>
      <c r="O2" s="238" t="s">
        <v>37</v>
      </c>
      <c r="P2" s="238" t="s">
        <v>38</v>
      </c>
      <c r="Q2" s="238" t="s">
        <v>39</v>
      </c>
      <c r="R2" s="238" t="s">
        <v>40</v>
      </c>
      <c r="S2" s="238" t="s">
        <v>41</v>
      </c>
      <c r="T2" s="238" t="s">
        <v>42</v>
      </c>
    </row>
    <row r="3" spans="1:20" s="17" customFormat="1">
      <c r="A3" s="29" t="str">
        <f>'1-συμβολαια'!A3</f>
        <v>7ο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7" customFormat="1">
      <c r="A4" s="29">
        <f>'1-συμβολαια'!A4</f>
        <v>0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s="17" customFormat="1">
      <c r="A5" s="29" t="str">
        <f>'1-συμβολαια'!A5</f>
        <v>8ο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s="17" customFormat="1">
      <c r="A6" s="29">
        <f>'1-συμβολαια'!A6</f>
        <v>0</v>
      </c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0" s="17" customFormat="1">
      <c r="A7" s="29">
        <f>'1-συμβολαια'!A7</f>
        <v>0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8" spans="1:20" s="17" customFormat="1">
      <c r="A8" s="29">
        <f>'1-συμβολαια'!A8</f>
        <v>0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</row>
    <row r="9" spans="1:20" s="17" customFormat="1">
      <c r="A9" s="29">
        <f>'1-συμβολαια'!A9</f>
        <v>0</v>
      </c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</row>
    <row r="10" spans="1:20" s="17" customFormat="1">
      <c r="A10" s="29" t="str">
        <f>'1-συμβολαια'!A10</f>
        <v>9ο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</row>
    <row r="11" spans="1:20" s="17" customFormat="1">
      <c r="A11" s="29" t="str">
        <f>'1-συμβολαια'!A11</f>
        <v>10ο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</row>
    <row r="12" spans="1:20" s="17" customFormat="1">
      <c r="A12" s="29" t="str">
        <f>'1-συμβολαια'!A12</f>
        <v>11ο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</row>
    <row r="13" spans="1:20" s="17" customFormat="1">
      <c r="A13" s="29" t="str">
        <f>'1-συμβολαια'!A13</f>
        <v>12ο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</row>
    <row r="15" spans="1:20" ht="15.75">
      <c r="B15" s="799" t="s">
        <v>112</v>
      </c>
      <c r="C15" s="799"/>
      <c r="D15" s="799"/>
      <c r="E15" s="799"/>
      <c r="F15" s="799"/>
      <c r="G15" s="799"/>
      <c r="H15" s="799"/>
      <c r="I15" s="115"/>
      <c r="J15" s="6"/>
      <c r="K15" s="6"/>
      <c r="L15" s="3"/>
      <c r="M15" s="3"/>
      <c r="N15" s="3"/>
      <c r="O15" s="3"/>
    </row>
    <row r="16" spans="1:20" ht="15.75">
      <c r="B16" s="6"/>
      <c r="C16" s="800" t="s">
        <v>113</v>
      </c>
      <c r="D16" s="800"/>
      <c r="E16" s="800"/>
      <c r="F16" s="800"/>
      <c r="G16" s="800"/>
      <c r="H16" s="800"/>
      <c r="I16" s="800"/>
      <c r="J16" s="6"/>
      <c r="K16" s="6"/>
      <c r="L16" s="3"/>
      <c r="M16" s="3"/>
      <c r="N16" s="3"/>
      <c r="O16" s="3"/>
    </row>
    <row r="17" spans="2:15" ht="15.75" customHeight="1">
      <c r="B17" s="6"/>
      <c r="C17" s="6"/>
      <c r="D17" s="799" t="s">
        <v>114</v>
      </c>
      <c r="E17" s="799"/>
      <c r="F17" s="799"/>
      <c r="G17" s="799"/>
      <c r="H17" s="799"/>
      <c r="I17" s="799"/>
      <c r="J17" s="799"/>
      <c r="K17" s="799"/>
      <c r="L17" s="3"/>
      <c r="M17" s="3"/>
      <c r="N17" s="3"/>
      <c r="O17" s="3"/>
    </row>
    <row r="18" spans="2:15" ht="15.75" customHeight="1">
      <c r="B18" s="6"/>
      <c r="C18" s="6"/>
      <c r="D18" s="6"/>
      <c r="E18" s="815" t="s">
        <v>119</v>
      </c>
      <c r="F18" s="815"/>
      <c r="G18" s="815"/>
      <c r="H18" s="815"/>
      <c r="I18" s="815"/>
      <c r="J18" s="815"/>
      <c r="K18" s="815"/>
      <c r="L18" s="815"/>
      <c r="M18" s="3"/>
      <c r="N18" s="3"/>
      <c r="O18" s="3"/>
    </row>
    <row r="19" spans="2:15" ht="15.75" customHeight="1">
      <c r="B19" s="6"/>
      <c r="C19" s="6"/>
      <c r="D19" s="6"/>
      <c r="E19" s="6"/>
      <c r="F19" s="799" t="s">
        <v>115</v>
      </c>
      <c r="G19" s="799"/>
      <c r="H19" s="799"/>
      <c r="I19" s="799"/>
      <c r="J19" s="799"/>
      <c r="K19" s="799"/>
      <c r="L19" s="799"/>
      <c r="M19" s="3"/>
      <c r="N19" s="3"/>
      <c r="O19" s="3"/>
    </row>
    <row r="20" spans="2:15" ht="15.75" customHeight="1">
      <c r="B20" s="6"/>
      <c r="C20" s="6"/>
      <c r="D20" s="6"/>
      <c r="E20" s="6"/>
      <c r="F20" s="6"/>
      <c r="G20" s="800" t="s">
        <v>116</v>
      </c>
      <c r="H20" s="800"/>
      <c r="I20" s="800"/>
      <c r="J20" s="800"/>
      <c r="K20" s="800"/>
      <c r="L20" s="800"/>
      <c r="M20" s="800"/>
      <c r="N20" s="3"/>
      <c r="O20" s="3"/>
    </row>
    <row r="21" spans="2:15" ht="15.75">
      <c r="B21" s="6"/>
      <c r="C21" s="6"/>
      <c r="D21" s="6"/>
      <c r="E21" s="6"/>
      <c r="F21" s="6"/>
      <c r="G21" s="6"/>
      <c r="H21" s="799" t="s">
        <v>117</v>
      </c>
      <c r="I21" s="799"/>
      <c r="J21" s="799"/>
      <c r="K21" s="799"/>
      <c r="L21" s="799"/>
      <c r="M21" s="799"/>
      <c r="N21" s="799"/>
      <c r="O21" s="3"/>
    </row>
    <row r="22" spans="2:15" ht="15.75">
      <c r="B22" s="6"/>
      <c r="C22" s="6"/>
      <c r="D22" s="6"/>
      <c r="E22" s="6"/>
      <c r="F22" s="6"/>
      <c r="G22" s="6"/>
      <c r="H22" s="6"/>
      <c r="I22" s="800" t="s">
        <v>118</v>
      </c>
      <c r="J22" s="800"/>
      <c r="K22" s="800"/>
      <c r="L22" s="800"/>
      <c r="M22" s="800"/>
      <c r="N22" s="800"/>
      <c r="O22" s="800"/>
    </row>
  </sheetData>
  <mergeCells count="13">
    <mergeCell ref="G20:M20"/>
    <mergeCell ref="H21:N21"/>
    <mergeCell ref="I22:O22"/>
    <mergeCell ref="B15:H15"/>
    <mergeCell ref="C16:I16"/>
    <mergeCell ref="D17:K17"/>
    <mergeCell ref="E18:L18"/>
    <mergeCell ref="F19:L1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2"/>
  <sheetViews>
    <sheetView zoomScaleNormal="100" workbookViewId="0">
      <pane ySplit="2" topLeftCell="A3" activePane="bottomLeft" state="frozen"/>
      <selection pane="bottomLeft" activeCell="E26" sqref="E26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0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4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49" t="s">
        <v>66</v>
      </c>
      <c r="B1" s="649"/>
      <c r="C1" s="819" t="s">
        <v>67</v>
      </c>
      <c r="D1" s="819"/>
      <c r="E1" s="649" t="s">
        <v>0</v>
      </c>
      <c r="F1" s="649"/>
      <c r="G1" s="820" t="s">
        <v>10</v>
      </c>
      <c r="H1" s="820"/>
      <c r="I1" s="820"/>
      <c r="J1" s="649" t="s">
        <v>8</v>
      </c>
      <c r="K1" s="649"/>
      <c r="L1" s="821" t="s">
        <v>401</v>
      </c>
      <c r="M1" s="822"/>
      <c r="N1" s="822"/>
      <c r="O1" s="823"/>
      <c r="P1" s="818" t="s">
        <v>65</v>
      </c>
      <c r="Q1" s="818"/>
      <c r="R1" s="820" t="s">
        <v>55</v>
      </c>
      <c r="S1" s="820"/>
      <c r="T1" s="826" t="s">
        <v>46</v>
      </c>
      <c r="U1" s="824" t="s">
        <v>84</v>
      </c>
      <c r="V1" s="824"/>
      <c r="W1" s="824"/>
      <c r="X1" s="824"/>
      <c r="Y1" s="824"/>
      <c r="Z1" s="824"/>
      <c r="AA1" s="824"/>
      <c r="AB1" s="824"/>
      <c r="AC1" s="824"/>
    </row>
    <row r="2" spans="1:35" s="11" customFormat="1" ht="15.75" customHeight="1" thickBot="1">
      <c r="A2" s="93"/>
      <c r="B2" s="50"/>
      <c r="C2" s="82"/>
      <c r="D2" s="53" t="s">
        <v>68</v>
      </c>
      <c r="E2" s="94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319</v>
      </c>
      <c r="M2" s="72" t="s">
        <v>320</v>
      </c>
      <c r="N2" s="72" t="s">
        <v>321</v>
      </c>
      <c r="O2" s="234" t="s">
        <v>29</v>
      </c>
      <c r="P2" s="59" t="s">
        <v>23</v>
      </c>
      <c r="Q2" s="52" t="s">
        <v>68</v>
      </c>
      <c r="R2" s="72" t="s">
        <v>23</v>
      </c>
      <c r="S2" s="35" t="s">
        <v>68</v>
      </c>
      <c r="T2" s="827"/>
      <c r="U2" s="825"/>
      <c r="V2" s="825"/>
      <c r="W2" s="825"/>
      <c r="X2" s="825"/>
      <c r="Y2" s="825"/>
      <c r="Z2" s="825"/>
      <c r="AA2" s="825"/>
      <c r="AB2" s="825"/>
      <c r="AC2" s="825"/>
    </row>
    <row r="3" spans="1:35" s="17" customFormat="1">
      <c r="A3" s="12" t="str">
        <f>'1-συμβολαια'!A3</f>
        <v>7ο</v>
      </c>
      <c r="B3" s="49"/>
      <c r="C3" s="78">
        <f>'1-συμβολαια'!B3</f>
        <v>38525</v>
      </c>
      <c r="D3" s="18"/>
      <c r="E3" s="89" t="str">
        <f>'1-συμβολαια'!C3</f>
        <v>*γονική ΨΙΛΗΣ ΚΥΡΙΟΤΗΤΑΣ [αγροτεμάχιο ;;;??? Πρίνος -'';;;???'' 580μ2</v>
      </c>
      <c r="F3" s="13"/>
      <c r="G3" s="14" t="str">
        <f>'4-πολλυπρ'!D3</f>
        <v>219-119 = σύζυγος</v>
      </c>
      <c r="H3" s="14" t="str">
        <f>'4-πολλυπρ'!I3</f>
        <v>219-119 = υιός</v>
      </c>
      <c r="I3" s="19"/>
      <c r="J3" s="19">
        <f>'1-συμβολαια'!D3</f>
        <v>1874.74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9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9"/>
      <c r="C4" s="78">
        <f>'1-συμβολαια'!B4</f>
        <v>0</v>
      </c>
      <c r="D4" s="18"/>
      <c r="E4" s="89" t="str">
        <f>'1-συμβολαια'!C4</f>
        <v>ΧΡΗΣΙΚΤΗΣΙΑ αγροτεμαχίου = 1961 μητρος ΔΩΡΕΑ άτυπη</v>
      </c>
      <c r="F4" s="13"/>
      <c r="G4" s="14">
        <f>'4-πολλυπρ'!D4</f>
        <v>0</v>
      </c>
      <c r="H4" s="14" t="str">
        <f>'4-πολλυπρ'!I4</f>
        <v>219-119 = σύζυγος</v>
      </c>
      <c r="I4" s="19"/>
      <c r="J4" s="19">
        <f>'1-συμβολαια'!D4</f>
        <v>1111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9"/>
      <c r="X4" s="24"/>
      <c r="Y4" s="24"/>
      <c r="Z4" s="24"/>
      <c r="AA4" s="24"/>
      <c r="AB4" s="24"/>
      <c r="AC4" s="24"/>
    </row>
    <row r="5" spans="1:35" s="17" customFormat="1">
      <c r="A5" s="12" t="str">
        <f>'1-συμβολαια'!A5</f>
        <v>8ο</v>
      </c>
      <c r="B5" s="49"/>
      <c r="C5" s="78">
        <f>'1-συμβολαια'!B5</f>
        <v>39548</v>
      </c>
      <c r="D5" s="18"/>
      <c r="E5" s="89" t="str">
        <f>'1-συμβολαια'!C5</f>
        <v>κληρονομιάς ΑΠΟΔΟΧΗ</v>
      </c>
      <c r="F5" s="13"/>
      <c r="G5" s="14" t="str">
        <f>'4-πολλυπρ'!D5</f>
        <v>219-119</v>
      </c>
      <c r="H5" s="14" t="str">
        <f>'4-πολλυπρ'!I5</f>
        <v>219-119 = σύζυγος</v>
      </c>
      <c r="I5" s="19"/>
      <c r="J5" s="19">
        <f>'1-συμβολαια'!D5</f>
        <v>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1.7600000000000011</v>
      </c>
      <c r="S5" s="22"/>
      <c r="T5" s="23"/>
      <c r="U5" s="83"/>
      <c r="V5" s="83"/>
      <c r="W5" s="79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9"/>
      <c r="C6" s="78">
        <f>'1-συμβολαια'!B6</f>
        <v>0</v>
      </c>
      <c r="D6" s="18"/>
      <c r="E6" s="89" t="str">
        <f>'1-συμβολαια'!C6</f>
        <v>διανομή [ = 2/8 μήτηρ &amp; από 3/8 τέκνα</v>
      </c>
      <c r="F6" s="13"/>
      <c r="G6" s="14" t="str">
        <f>'4-πολλυπρ'!D6</f>
        <v>219-119 = σύζυγος</v>
      </c>
      <c r="H6" s="14">
        <f>'4-πολλυπρ'!I6</f>
        <v>0</v>
      </c>
      <c r="I6" s="19"/>
      <c r="J6" s="19">
        <f>'1-συμβολαια'!D6</f>
        <v>28896.59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9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9"/>
      <c r="C7" s="78">
        <f>'1-συμβολαια'!B7</f>
        <v>0</v>
      </c>
      <c r="D7" s="18"/>
      <c r="E7" s="89" t="str">
        <f>'1-συμβολαια'!C7</f>
        <v>εξισορρόπηση διαφοράς διανεμομένων μεριδίων</v>
      </c>
      <c r="F7" s="13"/>
      <c r="G7" s="14">
        <f>'4-πολλυπρ'!D7</f>
        <v>0</v>
      </c>
      <c r="H7" s="14" t="str">
        <f>'4-πολλυπρ'!I7</f>
        <v>219-119 = σύζυγος</v>
      </c>
      <c r="I7" s="19"/>
      <c r="J7" s="19">
        <f>'1-συμβολαια'!D7</f>
        <v>666.66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3"/>
      <c r="V7" s="83"/>
      <c r="W7" s="79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9"/>
      <c r="C8" s="78">
        <f>'1-συμβολαια'!B8</f>
        <v>0</v>
      </c>
      <c r="D8" s="18"/>
      <c r="E8" s="89" t="str">
        <f>'1-συμβολαια'!C8</f>
        <v>χρησικτησία αγροτεμάχιο 1' = 1968 ΑΝΑΔΑΣΜΟΣ</v>
      </c>
      <c r="F8" s="13"/>
      <c r="G8" s="14">
        <f>'4-πολλυπρ'!D8</f>
        <v>0</v>
      </c>
      <c r="H8" s="14" t="str">
        <f>'4-πολλυπρ'!I8</f>
        <v>219-119</v>
      </c>
      <c r="I8" s="19"/>
      <c r="J8" s="19">
        <f>'1-συμβολαια'!D8</f>
        <v>333.33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3"/>
      <c r="V8" s="83"/>
      <c r="W8" s="79"/>
      <c r="X8" s="24"/>
      <c r="Y8" s="24"/>
      <c r="Z8" s="24"/>
      <c r="AA8" s="24"/>
      <c r="AB8" s="24"/>
      <c r="AC8" s="24"/>
    </row>
    <row r="9" spans="1:35" s="17" customFormat="1">
      <c r="A9" s="12">
        <f>'1-συμβολαια'!A9</f>
        <v>0</v>
      </c>
      <c r="B9" s="49"/>
      <c r="C9" s="78">
        <f>'1-συμβολαια'!B9</f>
        <v>0</v>
      </c>
      <c r="D9" s="18"/>
      <c r="E9" s="89" t="str">
        <f>'1-συμβολαια'!C9</f>
        <v xml:space="preserve">χρησικτησία αγροτεμαχίων 2' έως 10' = 1961 πατρός ΔΩΡΕΑ άτυπος </v>
      </c>
      <c r="F9" s="13"/>
      <c r="G9" s="14">
        <f>'4-πολλυπρ'!D9</f>
        <v>0</v>
      </c>
      <c r="H9" s="14" t="str">
        <f>'4-πολλυπρ'!I9</f>
        <v>219-119</v>
      </c>
      <c r="I9" s="19"/>
      <c r="J9" s="19">
        <f>'1-συμβολαια'!D9</f>
        <v>2222.2199999999998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0</v>
      </c>
      <c r="S9" s="22"/>
      <c r="T9" s="23"/>
      <c r="U9" s="83"/>
      <c r="V9" s="83"/>
      <c r="W9" s="79"/>
      <c r="X9" s="24"/>
      <c r="Y9" s="24"/>
      <c r="Z9" s="24"/>
      <c r="AA9" s="24"/>
      <c r="AB9" s="24"/>
      <c r="AC9" s="24"/>
    </row>
    <row r="10" spans="1:35" s="17" customFormat="1">
      <c r="A10" s="12" t="str">
        <f>'1-συμβολαια'!A10</f>
        <v>9ο</v>
      </c>
      <c r="B10" s="49"/>
      <c r="C10" s="78">
        <f>'1-συμβολαια'!B10</f>
        <v>40009</v>
      </c>
      <c r="D10" s="18"/>
      <c r="E10" s="89" t="str">
        <f>'1-συμβολαια'!C10</f>
        <v>γονική</v>
      </c>
      <c r="F10" s="13"/>
      <c r="G10" s="14" t="str">
        <f>'4-πολλυπρ'!D10</f>
        <v>219-119 = σύζυγος</v>
      </c>
      <c r="H10" s="14" t="str">
        <f>'4-πολλυπρ'!I10</f>
        <v>219-119 = θυγατέρα</v>
      </c>
      <c r="I10" s="19"/>
      <c r="J10" s="19">
        <f>'1-συμβολαια'!D10</f>
        <v>1292.5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83"/>
      <c r="V10" s="83"/>
      <c r="W10" s="79"/>
      <c r="X10" s="24"/>
      <c r="Y10" s="24"/>
      <c r="Z10" s="24"/>
      <c r="AA10" s="24"/>
      <c r="AB10" s="24"/>
      <c r="AC10" s="24"/>
    </row>
    <row r="11" spans="1:35" s="17" customFormat="1">
      <c r="A11" s="12" t="str">
        <f>'1-συμβολαια'!A11</f>
        <v>10ο</v>
      </c>
      <c r="B11" s="49"/>
      <c r="C11" s="78">
        <f>'1-συμβολαια'!B11</f>
        <v>40009</v>
      </c>
      <c r="D11" s="18"/>
      <c r="E11" s="89" t="str">
        <f>'1-συμβολαια'!C11</f>
        <v>δωρεά</v>
      </c>
      <c r="F11" s="13"/>
      <c r="G11" s="14" t="str">
        <f>'4-πολλυπρ'!D11</f>
        <v>219-119 = υιός</v>
      </c>
      <c r="H11" s="14" t="str">
        <f>'4-πολλυπρ'!I11</f>
        <v>219-119 = θυγατέρα</v>
      </c>
      <c r="I11" s="19"/>
      <c r="J11" s="19">
        <f>'1-συμβολαια'!D11</f>
        <v>1938.73</v>
      </c>
      <c r="K11" s="19"/>
      <c r="L11" s="26">
        <f>'11-χαρτόσ'!D11</f>
        <v>0</v>
      </c>
      <c r="M11" s="26"/>
      <c r="N11" s="26"/>
      <c r="O11" s="20"/>
      <c r="P11" s="16" t="e">
        <f>#REF!-R11</f>
        <v>#REF!</v>
      </c>
      <c r="Q11" s="15"/>
      <c r="R11" s="21">
        <f>'5-αντίγρ'!Q11</f>
        <v>0</v>
      </c>
      <c r="S11" s="22"/>
      <c r="T11" s="23"/>
      <c r="U11" s="83"/>
      <c r="V11" s="83"/>
      <c r="W11" s="79"/>
      <c r="X11" s="24"/>
      <c r="Y11" s="24"/>
      <c r="Z11" s="24"/>
      <c r="AA11" s="24"/>
      <c r="AB11" s="24"/>
      <c r="AC11" s="24"/>
    </row>
    <row r="12" spans="1:35" s="17" customFormat="1">
      <c r="A12" s="12" t="str">
        <f>'1-συμβολαια'!A12</f>
        <v>11ο</v>
      </c>
      <c r="B12" s="49"/>
      <c r="C12" s="78">
        <f>'1-συμβολαια'!B12</f>
        <v>40009</v>
      </c>
      <c r="D12" s="18"/>
      <c r="E12" s="89" t="str">
        <f>'1-συμβολαια'!C12</f>
        <v>γονική</v>
      </c>
      <c r="F12" s="13"/>
      <c r="G12" s="14" t="str">
        <f>'4-πολλυπρ'!D12</f>
        <v>219-119 = σύζυγος</v>
      </c>
      <c r="H12" s="14" t="str">
        <f>'4-πολλυπρ'!I12</f>
        <v>219-119 = υιός</v>
      </c>
      <c r="I12" s="19"/>
      <c r="J12" s="19">
        <f>'1-συμβολαια'!D12</f>
        <v>8416.32</v>
      </c>
      <c r="K12" s="19"/>
      <c r="L12" s="26">
        <f>'11-χαρτόσ'!D12</f>
        <v>0</v>
      </c>
      <c r="M12" s="26"/>
      <c r="N12" s="26"/>
      <c r="O12" s="20"/>
      <c r="P12" s="16" t="e">
        <f>#REF!-R12</f>
        <v>#REF!</v>
      </c>
      <c r="Q12" s="15"/>
      <c r="R12" s="21">
        <f>'5-αντίγρ'!Q12</f>
        <v>0</v>
      </c>
      <c r="S12" s="22"/>
      <c r="T12" s="23"/>
      <c r="U12" s="83"/>
      <c r="V12" s="83"/>
      <c r="W12" s="79"/>
      <c r="X12" s="24"/>
      <c r="Y12" s="24"/>
      <c r="Z12" s="24"/>
      <c r="AA12" s="24"/>
      <c r="AB12" s="24"/>
      <c r="AC12" s="24"/>
    </row>
    <row r="13" spans="1:35" s="17" customFormat="1">
      <c r="A13" s="12" t="str">
        <f>'1-συμβολαια'!A13</f>
        <v>12ο</v>
      </c>
      <c r="B13" s="49"/>
      <c r="C13" s="78">
        <f>'1-συμβολαια'!B13</f>
        <v>40009</v>
      </c>
      <c r="D13" s="18"/>
      <c r="E13" s="89" t="str">
        <f>'1-συμβολαια'!C13</f>
        <v>δωρεά</v>
      </c>
      <c r="F13" s="13"/>
      <c r="G13" s="14" t="str">
        <f>'4-πολλυπρ'!D13</f>
        <v>219-119 = θυγατέρα</v>
      </c>
      <c r="H13" s="14" t="str">
        <f>'4-πολλυπρ'!I13</f>
        <v>219-119 = υιός</v>
      </c>
      <c r="I13" s="19"/>
      <c r="J13" s="19">
        <f>'1-συμβολαια'!D13</f>
        <v>12624.63</v>
      </c>
      <c r="K13" s="19"/>
      <c r="L13" s="26">
        <f>'11-χαρτόσ'!D13</f>
        <v>0</v>
      </c>
      <c r="M13" s="26"/>
      <c r="N13" s="26"/>
      <c r="O13" s="20"/>
      <c r="P13" s="16" t="e">
        <f>#REF!-R13</f>
        <v>#REF!</v>
      </c>
      <c r="Q13" s="15"/>
      <c r="R13" s="21">
        <f>'5-αντίγρ'!Q13</f>
        <v>0</v>
      </c>
      <c r="S13" s="22"/>
      <c r="T13" s="23"/>
      <c r="U13" s="83"/>
      <c r="V13" s="83"/>
      <c r="W13" s="79"/>
      <c r="X13" s="24"/>
      <c r="Y13" s="24"/>
      <c r="Z13" s="24"/>
      <c r="AA13" s="24"/>
      <c r="AB13" s="24"/>
      <c r="AC13" s="24"/>
    </row>
    <row r="14" spans="1:35">
      <c r="A14" s="816" t="s">
        <v>56</v>
      </c>
      <c r="B14" s="817"/>
      <c r="C14" s="817"/>
      <c r="D14" s="817"/>
      <c r="E14" s="817"/>
      <c r="F14" s="817"/>
      <c r="G14" s="817"/>
      <c r="H14" s="817"/>
      <c r="I14" s="817"/>
      <c r="J14" s="817"/>
      <c r="K14" s="44"/>
      <c r="L14" s="1">
        <f>SUM(L3:L13)</f>
        <v>0</v>
      </c>
      <c r="M14" s="1"/>
      <c r="N14" s="1"/>
      <c r="O14" s="1">
        <f>SUM(O3:O13)</f>
        <v>0</v>
      </c>
      <c r="P14" s="37" t="e">
        <f>SUM(P3:P13)</f>
        <v>#REF!</v>
      </c>
      <c r="Q14" s="1">
        <f>SUM(Q3:Q13)</f>
        <v>0</v>
      </c>
      <c r="R14" s="1">
        <f>SUM(R3:R13)</f>
        <v>1.7600000000000011</v>
      </c>
      <c r="S14" s="1">
        <f>SUM(S3:S13)</f>
        <v>0</v>
      </c>
      <c r="T14" s="3"/>
      <c r="U14" s="80"/>
      <c r="V14" s="80"/>
    </row>
    <row r="15" spans="1:35">
      <c r="T15" s="117"/>
    </row>
    <row r="16" spans="1:35" ht="15.75" customHeight="1">
      <c r="T16" s="117"/>
      <c r="U16" s="799" t="s">
        <v>120</v>
      </c>
      <c r="V16" s="799"/>
      <c r="W16" s="799"/>
      <c r="X16" s="799"/>
      <c r="Y16" s="799"/>
      <c r="Z16" s="799"/>
      <c r="AA16" s="799"/>
      <c r="AB16" s="799"/>
      <c r="AC16" s="799"/>
      <c r="AD16" s="115"/>
      <c r="AE16" s="115"/>
      <c r="AF16" s="115"/>
      <c r="AG16" s="115"/>
      <c r="AH16" s="111"/>
      <c r="AI16" s="111"/>
    </row>
    <row r="17" spans="20:35" ht="15.75" customHeight="1">
      <c r="T17" s="117"/>
      <c r="U17" s="116"/>
      <c r="V17" s="800" t="s">
        <v>121</v>
      </c>
      <c r="W17" s="800"/>
      <c r="X17" s="800"/>
      <c r="Y17" s="800"/>
      <c r="Z17" s="800"/>
      <c r="AA17" s="800"/>
      <c r="AB17" s="800"/>
      <c r="AC17" s="800"/>
      <c r="AD17" s="800"/>
      <c r="AE17" s="111"/>
      <c r="AF17" s="111"/>
      <c r="AG17" s="111"/>
      <c r="AH17" s="111"/>
      <c r="AI17" s="111"/>
    </row>
    <row r="18" spans="20:35" ht="15.75" customHeight="1">
      <c r="T18" s="117"/>
      <c r="U18" s="116"/>
      <c r="V18" s="116"/>
      <c r="W18" s="799" t="s">
        <v>122</v>
      </c>
      <c r="X18" s="799"/>
      <c r="Y18" s="799"/>
      <c r="Z18" s="799"/>
      <c r="AA18" s="799"/>
      <c r="AB18" s="799"/>
      <c r="AC18" s="799"/>
      <c r="AD18" s="799"/>
      <c r="AE18" s="799"/>
      <c r="AF18" s="111"/>
      <c r="AG18" s="111"/>
      <c r="AH18" s="111"/>
      <c r="AI18" s="111"/>
    </row>
    <row r="19" spans="20:35" ht="15.75">
      <c r="U19" s="116"/>
      <c r="V19" s="116"/>
      <c r="W19" s="116"/>
      <c r="X19" s="800" t="s">
        <v>123</v>
      </c>
      <c r="Y19" s="800"/>
      <c r="Z19" s="800"/>
      <c r="AA19" s="800"/>
      <c r="AB19" s="800"/>
      <c r="AC19" s="800"/>
      <c r="AD19" s="800"/>
      <c r="AE19" s="800"/>
      <c r="AF19" s="800"/>
      <c r="AG19" s="111"/>
      <c r="AH19" s="111"/>
      <c r="AI19" s="111"/>
    </row>
    <row r="20" spans="20:35" ht="15.75">
      <c r="U20" s="116"/>
      <c r="V20" s="116"/>
      <c r="W20" s="116"/>
      <c r="X20" s="116"/>
      <c r="Y20" s="799" t="s">
        <v>124</v>
      </c>
      <c r="Z20" s="799"/>
      <c r="AA20" s="799"/>
      <c r="AB20" s="799"/>
      <c r="AC20" s="799"/>
      <c r="AD20" s="799"/>
      <c r="AE20" s="799"/>
      <c r="AF20" s="799"/>
      <c r="AG20" s="799"/>
      <c r="AH20" s="111"/>
      <c r="AI20" s="111"/>
    </row>
    <row r="21" spans="20:35" ht="15.75">
      <c r="U21" s="116"/>
      <c r="V21" s="116"/>
      <c r="W21" s="116"/>
      <c r="X21" s="116"/>
      <c r="Y21" s="116"/>
      <c r="Z21" s="800" t="s">
        <v>125</v>
      </c>
      <c r="AA21" s="800"/>
      <c r="AB21" s="800"/>
      <c r="AC21" s="800"/>
      <c r="AD21" s="800"/>
      <c r="AE21" s="800"/>
      <c r="AF21" s="800"/>
      <c r="AG21" s="800"/>
      <c r="AH21" s="800"/>
      <c r="AI21" s="111"/>
    </row>
    <row r="22" spans="20:35" ht="15.75">
      <c r="U22" s="116"/>
      <c r="V22" s="116"/>
      <c r="W22" s="116"/>
      <c r="X22" s="116"/>
      <c r="Y22" s="116"/>
      <c r="Z22" s="116"/>
      <c r="AA22" s="799" t="s">
        <v>126</v>
      </c>
      <c r="AB22" s="799"/>
      <c r="AC22" s="799"/>
      <c r="AD22" s="799"/>
      <c r="AE22" s="799"/>
      <c r="AF22" s="799"/>
      <c r="AG22" s="799"/>
      <c r="AH22" s="799"/>
      <c r="AI22" s="799"/>
    </row>
  </sheetData>
  <mergeCells count="18">
    <mergeCell ref="W18:AE18"/>
    <mergeCell ref="X19:AF19"/>
    <mergeCell ref="Y20:AG20"/>
    <mergeCell ref="Z21:AH21"/>
    <mergeCell ref="AA22:AI22"/>
    <mergeCell ref="U16:AC16"/>
    <mergeCell ref="V17:AD17"/>
    <mergeCell ref="U1:AC2"/>
    <mergeCell ref="T1:T2"/>
    <mergeCell ref="R1:S1"/>
    <mergeCell ref="A14:J1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6"/>
  <sheetViews>
    <sheetView workbookViewId="0">
      <pane ySplit="2" topLeftCell="A3" activePane="bottomLeft" state="frozen"/>
      <selection pane="bottomLeft" activeCell="C26" sqref="C2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5" customFormat="1" ht="32.25" customHeight="1">
      <c r="A1" s="832" t="s">
        <v>31</v>
      </c>
      <c r="B1" s="833"/>
      <c r="C1" s="833"/>
      <c r="D1" s="833"/>
      <c r="E1" s="834"/>
      <c r="F1" s="835" t="s">
        <v>292</v>
      </c>
      <c r="G1" s="836"/>
      <c r="H1" s="836"/>
      <c r="I1" s="837"/>
      <c r="J1" s="828" t="s">
        <v>293</v>
      </c>
      <c r="K1" s="829"/>
      <c r="L1" s="829"/>
      <c r="M1" s="829"/>
      <c r="N1" s="829"/>
      <c r="O1" s="829"/>
      <c r="P1" s="829"/>
      <c r="Q1" s="829"/>
      <c r="R1" s="829"/>
      <c r="S1" s="829"/>
      <c r="T1" s="829"/>
      <c r="U1" s="829"/>
      <c r="V1" s="829"/>
      <c r="W1" s="829"/>
      <c r="X1" s="829"/>
      <c r="Y1" s="830"/>
      <c r="Z1" s="838" t="s">
        <v>294</v>
      </c>
      <c r="AA1" s="839"/>
      <c r="AB1" s="839"/>
      <c r="AC1" s="840"/>
      <c r="AD1" s="828" t="s">
        <v>295</v>
      </c>
      <c r="AE1" s="829"/>
      <c r="AF1" s="829"/>
      <c r="AG1" s="829"/>
      <c r="AH1" s="829"/>
      <c r="AI1" s="829"/>
      <c r="AJ1" s="829"/>
      <c r="AK1" s="829"/>
      <c r="AL1" s="829"/>
      <c r="AM1" s="829"/>
      <c r="AN1" s="829"/>
      <c r="AO1" s="829"/>
      <c r="AP1" s="829"/>
      <c r="AQ1" s="829"/>
      <c r="AR1" s="829"/>
      <c r="AS1" s="830"/>
      <c r="AT1" s="835" t="s">
        <v>296</v>
      </c>
      <c r="AU1" s="836"/>
      <c r="AV1" s="836"/>
      <c r="AW1" s="837"/>
      <c r="AX1" s="828" t="s">
        <v>297</v>
      </c>
      <c r="AY1" s="829"/>
      <c r="AZ1" s="829"/>
      <c r="BA1" s="829"/>
      <c r="BB1" s="829"/>
      <c r="BC1" s="829"/>
      <c r="BD1" s="829"/>
      <c r="BE1" s="829"/>
      <c r="BF1" s="829"/>
      <c r="BG1" s="829"/>
      <c r="BH1" s="829"/>
      <c r="BI1" s="829"/>
      <c r="BJ1" s="829"/>
      <c r="BK1" s="829"/>
      <c r="BL1" s="829"/>
      <c r="BM1" s="830"/>
    </row>
    <row r="2" spans="1:65" s="4" customFormat="1" ht="23.25" customHeight="1">
      <c r="A2" s="177" t="s">
        <v>19</v>
      </c>
      <c r="B2" s="177" t="s">
        <v>298</v>
      </c>
      <c r="C2" s="178" t="s">
        <v>299</v>
      </c>
      <c r="D2" s="596" t="s">
        <v>29</v>
      </c>
      <c r="E2" s="798"/>
      <c r="F2" s="179" t="s">
        <v>300</v>
      </c>
      <c r="G2" s="177" t="s">
        <v>18</v>
      </c>
      <c r="H2" s="179" t="s">
        <v>23</v>
      </c>
      <c r="I2" s="180" t="s">
        <v>84</v>
      </c>
      <c r="J2" s="181" t="s">
        <v>301</v>
      </c>
      <c r="K2" s="181" t="s">
        <v>302</v>
      </c>
      <c r="L2" s="179" t="s">
        <v>303</v>
      </c>
      <c r="M2" s="179" t="s">
        <v>304</v>
      </c>
      <c r="N2" s="179" t="s">
        <v>305</v>
      </c>
      <c r="O2" s="179" t="s">
        <v>306</v>
      </c>
      <c r="P2" s="179" t="s">
        <v>307</v>
      </c>
      <c r="Q2" s="179" t="s">
        <v>308</v>
      </c>
      <c r="R2" s="179" t="s">
        <v>309</v>
      </c>
      <c r="S2" s="179" t="s">
        <v>310</v>
      </c>
      <c r="T2" s="179" t="s">
        <v>311</v>
      </c>
      <c r="U2" s="179" t="s">
        <v>23</v>
      </c>
      <c r="V2" s="179" t="s">
        <v>312</v>
      </c>
      <c r="W2" s="179" t="s">
        <v>313</v>
      </c>
      <c r="X2" s="179" t="s">
        <v>314</v>
      </c>
      <c r="Y2" s="182" t="s">
        <v>315</v>
      </c>
      <c r="Z2" s="179" t="s">
        <v>300</v>
      </c>
      <c r="AA2" s="177" t="s">
        <v>18</v>
      </c>
      <c r="AB2" s="179" t="s">
        <v>23</v>
      </c>
      <c r="AC2" s="183" t="s">
        <v>84</v>
      </c>
      <c r="AD2" s="181" t="s">
        <v>301</v>
      </c>
      <c r="AE2" s="181" t="s">
        <v>302</v>
      </c>
      <c r="AF2" s="179" t="s">
        <v>303</v>
      </c>
      <c r="AG2" s="179" t="s">
        <v>304</v>
      </c>
      <c r="AH2" s="179" t="s">
        <v>305</v>
      </c>
      <c r="AI2" s="179" t="s">
        <v>306</v>
      </c>
      <c r="AJ2" s="179" t="s">
        <v>307</v>
      </c>
      <c r="AK2" s="179" t="s">
        <v>308</v>
      </c>
      <c r="AL2" s="179" t="s">
        <v>309</v>
      </c>
      <c r="AM2" s="179" t="s">
        <v>310</v>
      </c>
      <c r="AN2" s="179" t="s">
        <v>311</v>
      </c>
      <c r="AO2" s="179" t="s">
        <v>23</v>
      </c>
      <c r="AP2" s="179" t="s">
        <v>312</v>
      </c>
      <c r="AQ2" s="179" t="s">
        <v>313</v>
      </c>
      <c r="AR2" s="179" t="s">
        <v>314</v>
      </c>
      <c r="AS2" s="182" t="s">
        <v>315</v>
      </c>
      <c r="AT2" s="179" t="s">
        <v>300</v>
      </c>
      <c r="AU2" s="177" t="s">
        <v>18</v>
      </c>
      <c r="AV2" s="179" t="s">
        <v>23</v>
      </c>
      <c r="AW2" s="180" t="s">
        <v>84</v>
      </c>
      <c r="AX2" s="181" t="s">
        <v>301</v>
      </c>
      <c r="AY2" s="181" t="s">
        <v>302</v>
      </c>
      <c r="AZ2" s="179" t="s">
        <v>303</v>
      </c>
      <c r="BA2" s="179" t="s">
        <v>304</v>
      </c>
      <c r="BB2" s="179" t="s">
        <v>305</v>
      </c>
      <c r="BC2" s="179" t="s">
        <v>306</v>
      </c>
      <c r="BD2" s="179" t="s">
        <v>307</v>
      </c>
      <c r="BE2" s="179" t="s">
        <v>308</v>
      </c>
      <c r="BF2" s="179" t="s">
        <v>309</v>
      </c>
      <c r="BG2" s="179" t="s">
        <v>310</v>
      </c>
      <c r="BH2" s="179" t="s">
        <v>311</v>
      </c>
      <c r="BI2" s="179" t="s">
        <v>23</v>
      </c>
      <c r="BJ2" s="179" t="s">
        <v>312</v>
      </c>
      <c r="BK2" s="179" t="s">
        <v>313</v>
      </c>
      <c r="BL2" s="179" t="s">
        <v>316</v>
      </c>
      <c r="BM2" s="182" t="s">
        <v>315</v>
      </c>
    </row>
    <row r="3" spans="1:65" s="33" customFormat="1">
      <c r="A3" s="29" t="str">
        <f>'1-συμβολαια'!A3</f>
        <v>7ο</v>
      </c>
      <c r="B3" s="14" t="str">
        <f>'4-πολλυπρ'!D3</f>
        <v>219-119 = σύζυγος</v>
      </c>
      <c r="C3" s="14" t="str">
        <f>'4-πολλυπρ'!I3</f>
        <v>219-119 = υιός</v>
      </c>
      <c r="D3" s="31"/>
      <c r="E3" s="29"/>
      <c r="F3" s="29"/>
      <c r="G3" s="30"/>
      <c r="H3" s="29"/>
      <c r="I3" s="29"/>
      <c r="J3" s="29"/>
      <c r="K3" s="136" t="s">
        <v>317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4" t="s">
        <v>317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4">
        <f>'4-πολλυπρ'!D4</f>
        <v>0</v>
      </c>
      <c r="C4" s="14" t="str">
        <f>'4-πολλυπρ'!I4</f>
        <v>219-119 = σύζυγος</v>
      </c>
      <c r="D4" s="31"/>
      <c r="E4" s="29"/>
      <c r="F4" s="29"/>
      <c r="G4" s="30"/>
      <c r="H4" s="29"/>
      <c r="I4" s="29"/>
      <c r="J4" s="29"/>
      <c r="K4" s="136" t="s">
        <v>317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4" t="s">
        <v>317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 t="str">
        <f>'1-συμβολαια'!A5</f>
        <v>8ο</v>
      </c>
      <c r="B5" s="14" t="str">
        <f>'4-πολλυπρ'!D5</f>
        <v>219-119</v>
      </c>
      <c r="C5" s="14" t="str">
        <f>'4-πολλυπρ'!I5</f>
        <v>219-119 = σύζυγος</v>
      </c>
      <c r="D5" s="31"/>
      <c r="E5" s="29"/>
      <c r="F5" s="29"/>
      <c r="G5" s="30"/>
      <c r="H5" s="29"/>
      <c r="I5" s="29"/>
      <c r="J5" s="29"/>
      <c r="K5" s="136" t="s">
        <v>317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84" t="s">
        <v>317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>
        <f>'1-συμβολαια'!A6</f>
        <v>0</v>
      </c>
      <c r="B6" s="14" t="str">
        <f>'4-πολλυπρ'!D6</f>
        <v>219-119 = σύζυγος</v>
      </c>
      <c r="C6" s="14">
        <f>'4-πολλυπρ'!I6</f>
        <v>0</v>
      </c>
      <c r="D6" s="31"/>
      <c r="E6" s="29"/>
      <c r="F6" s="29"/>
      <c r="G6" s="30"/>
      <c r="H6" s="29"/>
      <c r="I6" s="29"/>
      <c r="J6" s="29"/>
      <c r="K6" s="136" t="s">
        <v>317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84" t="s">
        <v>317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>
        <f>'1-συμβολαια'!A7</f>
        <v>0</v>
      </c>
      <c r="B7" s="14">
        <f>'4-πολλυπρ'!D7</f>
        <v>0</v>
      </c>
      <c r="C7" s="14" t="str">
        <f>'4-πολλυπρ'!I7</f>
        <v>219-119 = σύζυγος</v>
      </c>
      <c r="D7" s="31"/>
      <c r="E7" s="29"/>
      <c r="F7" s="29"/>
      <c r="G7" s="30"/>
      <c r="H7" s="29"/>
      <c r="I7" s="29"/>
      <c r="J7" s="29"/>
      <c r="K7" s="136" t="s">
        <v>317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84" t="s">
        <v>317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>
        <f>'1-συμβολαια'!A8</f>
        <v>0</v>
      </c>
      <c r="B8" s="14">
        <f>'4-πολλυπρ'!D8</f>
        <v>0</v>
      </c>
      <c r="C8" s="14" t="str">
        <f>'4-πολλυπρ'!I8</f>
        <v>219-119</v>
      </c>
      <c r="D8" s="31"/>
      <c r="E8" s="29"/>
      <c r="F8" s="29"/>
      <c r="G8" s="30"/>
      <c r="H8" s="29"/>
      <c r="I8" s="29"/>
      <c r="J8" s="29"/>
      <c r="K8" s="136" t="s">
        <v>317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84" t="s">
        <v>317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9" spans="1:65" s="33" customFormat="1">
      <c r="A9" s="29">
        <f>'1-συμβολαια'!A9</f>
        <v>0</v>
      </c>
      <c r="B9" s="14">
        <f>'4-πολλυπρ'!D9</f>
        <v>0</v>
      </c>
      <c r="C9" s="14" t="str">
        <f>'4-πολλυπρ'!I9</f>
        <v>219-119</v>
      </c>
      <c r="D9" s="31"/>
      <c r="E9" s="29"/>
      <c r="F9" s="29"/>
      <c r="G9" s="30"/>
      <c r="H9" s="29"/>
      <c r="I9" s="29"/>
      <c r="J9" s="29"/>
      <c r="K9" s="136" t="s">
        <v>317</v>
      </c>
      <c r="L9" s="32"/>
      <c r="M9" s="32"/>
      <c r="N9" s="32"/>
      <c r="O9" s="32"/>
      <c r="P9" s="32"/>
      <c r="Q9" s="32"/>
      <c r="R9" s="32"/>
      <c r="S9" s="32"/>
      <c r="T9" s="32"/>
      <c r="U9" s="29"/>
      <c r="V9" s="30"/>
      <c r="W9" s="30"/>
      <c r="X9" s="32"/>
      <c r="Y9" s="32"/>
      <c r="Z9" s="29"/>
      <c r="AA9" s="32"/>
      <c r="AB9" s="29"/>
      <c r="AC9" s="32"/>
      <c r="AD9" s="29"/>
      <c r="AE9" s="184" t="s">
        <v>317</v>
      </c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29"/>
      <c r="AU9" s="32"/>
      <c r="AV9" s="29"/>
      <c r="AW9" s="32"/>
      <c r="AX9" s="29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29"/>
      <c r="BJ9" s="32"/>
      <c r="BK9" s="32"/>
      <c r="BL9" s="32"/>
      <c r="BM9" s="32"/>
    </row>
    <row r="10" spans="1:65" s="33" customFormat="1">
      <c r="A10" s="29" t="str">
        <f>'1-συμβολαια'!A10</f>
        <v>9ο</v>
      </c>
      <c r="B10" s="14" t="str">
        <f>'4-πολλυπρ'!D10</f>
        <v>219-119 = σύζυγος</v>
      </c>
      <c r="C10" s="14" t="str">
        <f>'4-πολλυπρ'!I10</f>
        <v>219-119 = θυγατέρα</v>
      </c>
      <c r="D10" s="31"/>
      <c r="E10" s="29"/>
      <c r="F10" s="29"/>
      <c r="G10" s="30"/>
      <c r="H10" s="29"/>
      <c r="I10" s="29"/>
      <c r="J10" s="29"/>
      <c r="K10" s="136" t="s">
        <v>317</v>
      </c>
      <c r="L10" s="32"/>
      <c r="M10" s="32"/>
      <c r="N10" s="32"/>
      <c r="O10" s="32"/>
      <c r="P10" s="32"/>
      <c r="Q10" s="32"/>
      <c r="R10" s="32"/>
      <c r="S10" s="32"/>
      <c r="T10" s="32"/>
      <c r="U10" s="29"/>
      <c r="V10" s="30"/>
      <c r="W10" s="30"/>
      <c r="X10" s="32"/>
      <c r="Y10" s="32"/>
      <c r="Z10" s="29"/>
      <c r="AA10" s="32"/>
      <c r="AB10" s="29"/>
      <c r="AC10" s="32"/>
      <c r="AD10" s="29"/>
      <c r="AE10" s="184" t="s">
        <v>317</v>
      </c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29"/>
      <c r="AU10" s="32"/>
      <c r="AV10" s="29"/>
      <c r="AW10" s="32"/>
      <c r="AX10" s="29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29"/>
      <c r="BJ10" s="32"/>
      <c r="BK10" s="32"/>
      <c r="BL10" s="32"/>
      <c r="BM10" s="32"/>
    </row>
    <row r="11" spans="1:65" s="33" customFormat="1">
      <c r="A11" s="29" t="str">
        <f>'1-συμβολαια'!A11</f>
        <v>10ο</v>
      </c>
      <c r="B11" s="14" t="str">
        <f>'4-πολλυπρ'!D11</f>
        <v>219-119 = υιός</v>
      </c>
      <c r="C11" s="14" t="str">
        <f>'4-πολλυπρ'!I11</f>
        <v>219-119 = θυγατέρα</v>
      </c>
      <c r="D11" s="31"/>
      <c r="E11" s="29"/>
      <c r="F11" s="29"/>
      <c r="G11" s="30"/>
      <c r="H11" s="29"/>
      <c r="I11" s="29"/>
      <c r="J11" s="29"/>
      <c r="K11" s="136" t="s">
        <v>317</v>
      </c>
      <c r="L11" s="32"/>
      <c r="M11" s="32"/>
      <c r="N11" s="32"/>
      <c r="O11" s="32"/>
      <c r="P11" s="32"/>
      <c r="Q11" s="32"/>
      <c r="R11" s="32"/>
      <c r="S11" s="32"/>
      <c r="T11" s="32"/>
      <c r="U11" s="29"/>
      <c r="V11" s="30"/>
      <c r="W11" s="30"/>
      <c r="X11" s="32"/>
      <c r="Y11" s="32"/>
      <c r="Z11" s="29"/>
      <c r="AA11" s="32"/>
      <c r="AB11" s="29"/>
      <c r="AC11" s="32"/>
      <c r="AD11" s="29"/>
      <c r="AE11" s="184" t="s">
        <v>317</v>
      </c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29"/>
      <c r="AU11" s="32"/>
      <c r="AV11" s="29"/>
      <c r="AW11" s="32"/>
      <c r="AX11" s="29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29"/>
      <c r="BJ11" s="32"/>
      <c r="BK11" s="32"/>
      <c r="BL11" s="32"/>
      <c r="BM11" s="32"/>
    </row>
    <row r="12" spans="1:65" s="33" customFormat="1">
      <c r="A12" s="29" t="str">
        <f>'1-συμβολαια'!A12</f>
        <v>11ο</v>
      </c>
      <c r="B12" s="14" t="str">
        <f>'4-πολλυπρ'!D12</f>
        <v>219-119 = σύζυγος</v>
      </c>
      <c r="C12" s="14" t="str">
        <f>'4-πολλυπρ'!I12</f>
        <v>219-119 = υιός</v>
      </c>
      <c r="D12" s="31"/>
      <c r="E12" s="29"/>
      <c r="F12" s="29"/>
      <c r="G12" s="30"/>
      <c r="H12" s="29"/>
      <c r="I12" s="29"/>
      <c r="J12" s="29"/>
      <c r="K12" s="136" t="s">
        <v>317</v>
      </c>
      <c r="L12" s="32"/>
      <c r="M12" s="32"/>
      <c r="N12" s="32"/>
      <c r="O12" s="32"/>
      <c r="P12" s="32"/>
      <c r="Q12" s="32"/>
      <c r="R12" s="32"/>
      <c r="S12" s="32"/>
      <c r="T12" s="32"/>
      <c r="U12" s="29"/>
      <c r="V12" s="30"/>
      <c r="W12" s="30"/>
      <c r="X12" s="32"/>
      <c r="Y12" s="32"/>
      <c r="Z12" s="29"/>
      <c r="AA12" s="32"/>
      <c r="AB12" s="29"/>
      <c r="AC12" s="32"/>
      <c r="AD12" s="29"/>
      <c r="AE12" s="184" t="s">
        <v>317</v>
      </c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29"/>
      <c r="AU12" s="32"/>
      <c r="AV12" s="29"/>
      <c r="AW12" s="32"/>
      <c r="AX12" s="29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29"/>
      <c r="BJ12" s="32"/>
      <c r="BK12" s="32"/>
      <c r="BL12" s="32"/>
      <c r="BM12" s="32"/>
    </row>
    <row r="13" spans="1:65" s="33" customFormat="1">
      <c r="A13" s="29" t="str">
        <f>'1-συμβολαια'!A13</f>
        <v>12ο</v>
      </c>
      <c r="B13" s="14" t="str">
        <f>'4-πολλυπρ'!D13</f>
        <v>219-119 = θυγατέρα</v>
      </c>
      <c r="C13" s="14" t="str">
        <f>'4-πολλυπρ'!I13</f>
        <v>219-119 = υιός</v>
      </c>
      <c r="D13" s="31"/>
      <c r="E13" s="29"/>
      <c r="F13" s="29"/>
      <c r="G13" s="30"/>
      <c r="H13" s="29"/>
      <c r="I13" s="29"/>
      <c r="J13" s="29"/>
      <c r="K13" s="136" t="s">
        <v>317</v>
      </c>
      <c r="L13" s="32"/>
      <c r="M13" s="32"/>
      <c r="N13" s="32"/>
      <c r="O13" s="32"/>
      <c r="P13" s="32"/>
      <c r="Q13" s="32"/>
      <c r="R13" s="32"/>
      <c r="S13" s="32"/>
      <c r="T13" s="32"/>
      <c r="U13" s="29"/>
      <c r="V13" s="30"/>
      <c r="W13" s="30"/>
      <c r="X13" s="32"/>
      <c r="Y13" s="32"/>
      <c r="Z13" s="29"/>
      <c r="AA13" s="32"/>
      <c r="AB13" s="29"/>
      <c r="AC13" s="32"/>
      <c r="AD13" s="29"/>
      <c r="AE13" s="184" t="s">
        <v>317</v>
      </c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29"/>
      <c r="AU13" s="32"/>
      <c r="AV13" s="29"/>
      <c r="AW13" s="32"/>
      <c r="AX13" s="29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29"/>
      <c r="BJ13" s="32"/>
      <c r="BK13" s="32"/>
      <c r="BL13" s="32"/>
      <c r="BM13" s="32"/>
    </row>
    <row r="15" spans="1:65">
      <c r="F15" s="831" t="s">
        <v>318</v>
      </c>
      <c r="G15" s="831"/>
      <c r="H15" s="831"/>
      <c r="I15" s="831"/>
    </row>
    <row r="16" spans="1:65">
      <c r="F16" s="831"/>
      <c r="G16" s="831"/>
      <c r="H16" s="831"/>
      <c r="I16" s="831"/>
    </row>
  </sheetData>
  <mergeCells count="9">
    <mergeCell ref="AX1:BM1"/>
    <mergeCell ref="D2:E2"/>
    <mergeCell ref="F15:I1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N40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7.28515625" style="8" bestFit="1" customWidth="1"/>
    <col min="2" max="2" width="8.5703125" style="130" customWidth="1"/>
    <col min="3" max="3" width="51.42578125" style="90" bestFit="1" customWidth="1"/>
    <col min="4" max="4" width="6.28515625" style="3" customWidth="1"/>
    <col min="5" max="5" width="5.7109375" style="3" customWidth="1"/>
    <col min="6" max="6" width="8.140625" style="3" customWidth="1"/>
    <col min="7" max="7" width="8.5703125" style="2" customWidth="1"/>
    <col min="8" max="8" width="8.140625" style="2" bestFit="1" customWidth="1"/>
    <col min="9" max="9" width="7.7109375" style="2" bestFit="1" customWidth="1"/>
    <col min="10" max="10" width="10.5703125" style="2" customWidth="1"/>
    <col min="11" max="11" width="8.140625" style="2" bestFit="1" customWidth="1"/>
    <col min="12" max="12" width="9.42578125" style="2" bestFit="1" customWidth="1"/>
    <col min="13" max="14" width="10.5703125" style="2" customWidth="1"/>
    <col min="15" max="16" width="6" style="2" bestFit="1" customWidth="1"/>
    <col min="17" max="17" width="10.5703125" style="2" customWidth="1"/>
    <col min="18" max="18" width="9.42578125" style="2" customWidth="1"/>
    <col min="19" max="19" width="9.140625" style="2" customWidth="1"/>
    <col min="20" max="20" width="13.7109375" style="75" customWidth="1"/>
    <col min="21" max="21" width="10.42578125" style="75" customWidth="1"/>
    <col min="22" max="22" width="10" style="2" customWidth="1"/>
    <col min="23" max="23" width="9.42578125" style="2" customWidth="1"/>
    <col min="24" max="24" width="11.5703125" style="2" customWidth="1"/>
    <col min="25" max="25" width="9.42578125" style="8" bestFit="1" customWidth="1"/>
    <col min="26" max="26" width="11.7109375" style="2" customWidth="1"/>
    <col min="27" max="27" width="10.5703125" style="8" bestFit="1" customWidth="1"/>
    <col min="28" max="28" width="10.42578125" style="2" customWidth="1"/>
    <col min="29" max="29" width="9.85546875" style="2" customWidth="1"/>
    <col min="30" max="30" width="11" style="2" customWidth="1"/>
    <col min="31" max="31" width="10.5703125" style="28" customWidth="1"/>
    <col min="32" max="32" width="10.5703125" style="8" customWidth="1"/>
    <col min="33" max="33" width="21.42578125" style="76" customWidth="1"/>
    <col min="34" max="34" width="7.5703125" style="3" customWidth="1"/>
    <col min="35" max="35" width="9.5703125" style="3" customWidth="1"/>
    <col min="36" max="38" width="6.42578125" style="3" customWidth="1"/>
    <col min="39" max="39" width="7" style="3" customWidth="1"/>
    <col min="40" max="40" width="29.28515625" style="3" bestFit="1" customWidth="1"/>
    <col min="41" max="16384" width="9.140625" style="3"/>
  </cols>
  <sheetData>
    <row r="1" spans="1:38" ht="29.25" customHeight="1">
      <c r="A1" s="876" t="s">
        <v>1</v>
      </c>
      <c r="B1" s="878" t="s">
        <v>2</v>
      </c>
      <c r="C1" s="875" t="s">
        <v>0</v>
      </c>
      <c r="D1" s="879" t="s">
        <v>11</v>
      </c>
      <c r="E1" s="873" t="s">
        <v>12</v>
      </c>
      <c r="F1" s="845" t="s">
        <v>402</v>
      </c>
      <c r="G1" s="846"/>
      <c r="H1" s="846"/>
      <c r="I1" s="847" t="s">
        <v>362</v>
      </c>
      <c r="J1" s="851" t="s">
        <v>139</v>
      </c>
      <c r="K1" s="867" t="s">
        <v>547</v>
      </c>
      <c r="L1" s="868"/>
      <c r="M1" s="868"/>
      <c r="N1" s="868"/>
      <c r="O1" s="868"/>
      <c r="P1" s="868"/>
      <c r="Q1" s="869"/>
      <c r="R1" s="849" t="s">
        <v>492</v>
      </c>
      <c r="S1" s="855" t="s">
        <v>495</v>
      </c>
      <c r="T1" s="856"/>
      <c r="U1" s="856"/>
      <c r="V1" s="856"/>
      <c r="W1" s="354" t="s">
        <v>493</v>
      </c>
      <c r="X1" s="859" t="s">
        <v>43</v>
      </c>
      <c r="Y1" s="860"/>
      <c r="Z1" s="861" t="s">
        <v>58</v>
      </c>
      <c r="AA1" s="862"/>
      <c r="AB1" s="857" t="s">
        <v>77</v>
      </c>
      <c r="AC1" s="858"/>
      <c r="AD1" s="858"/>
      <c r="AE1" s="863" t="s">
        <v>54</v>
      </c>
      <c r="AF1" s="865" t="s">
        <v>44</v>
      </c>
      <c r="AG1" s="853" t="s">
        <v>80</v>
      </c>
      <c r="AH1" s="842" t="s">
        <v>29</v>
      </c>
      <c r="AI1" s="843"/>
      <c r="AJ1" s="843"/>
      <c r="AK1" s="843"/>
      <c r="AL1" s="844"/>
    </row>
    <row r="2" spans="1:38" ht="26.25" thickBot="1">
      <c r="A2" s="877"/>
      <c r="B2" s="589"/>
      <c r="C2" s="621"/>
      <c r="D2" s="880"/>
      <c r="E2" s="874"/>
      <c r="F2" s="243" t="s">
        <v>254</v>
      </c>
      <c r="G2" s="242" t="s">
        <v>91</v>
      </c>
      <c r="H2" s="312" t="s">
        <v>47</v>
      </c>
      <c r="I2" s="848"/>
      <c r="J2" s="852"/>
      <c r="K2" s="549" t="s">
        <v>362</v>
      </c>
      <c r="L2" s="550" t="s">
        <v>529</v>
      </c>
      <c r="M2" s="550" t="s">
        <v>548</v>
      </c>
      <c r="N2" s="549" t="s">
        <v>94</v>
      </c>
      <c r="O2" s="549" t="s">
        <v>23</v>
      </c>
      <c r="P2" s="550" t="s">
        <v>529</v>
      </c>
      <c r="Q2" s="550" t="s">
        <v>548</v>
      </c>
      <c r="R2" s="850"/>
      <c r="S2" s="69" t="s">
        <v>23</v>
      </c>
      <c r="T2" s="74" t="s">
        <v>81</v>
      </c>
      <c r="U2" s="74" t="s">
        <v>529</v>
      </c>
      <c r="V2" s="419" t="s">
        <v>530</v>
      </c>
      <c r="W2" s="69"/>
      <c r="X2" s="40" t="s">
        <v>23</v>
      </c>
      <c r="Y2" s="373" t="s">
        <v>34</v>
      </c>
      <c r="Z2" s="40" t="s">
        <v>23</v>
      </c>
      <c r="AA2" s="372" t="s">
        <v>34</v>
      </c>
      <c r="AB2" s="40" t="s">
        <v>549</v>
      </c>
      <c r="AC2" s="10" t="s">
        <v>550</v>
      </c>
      <c r="AD2" s="39" t="s">
        <v>33</v>
      </c>
      <c r="AE2" s="864"/>
      <c r="AF2" s="866"/>
      <c r="AG2" s="854"/>
      <c r="AH2" s="842"/>
      <c r="AI2" s="843"/>
      <c r="AJ2" s="843"/>
      <c r="AK2" s="843"/>
      <c r="AL2" s="844"/>
    </row>
    <row r="3" spans="1:38" s="5" customFormat="1">
      <c r="A3" s="397" t="str">
        <f>'1-συμβολαια'!A3</f>
        <v>7ο</v>
      </c>
      <c r="B3" s="356">
        <f>'1-συμβολαια'!B3</f>
        <v>38525</v>
      </c>
      <c r="C3" s="331" t="str">
        <f>'1-συμβολαια'!C3</f>
        <v>*γονική ΨΙΛΗΣ ΚΥΡΙΟΤΗΤΑΣ [αγροτεμάχιο ;;;??? Πρίνος -'';;;???'' 580μ2</v>
      </c>
      <c r="D3" s="322" t="str">
        <f>'4-πολλυπρ'!D3</f>
        <v>219-119 = σύζυγος</v>
      </c>
      <c r="E3" s="322" t="str">
        <f>'4-πολλυπρ'!I3</f>
        <v>219-119 = υιός</v>
      </c>
      <c r="F3" s="323">
        <f>'14-βιβλΕσ'!L3</f>
        <v>9.0945320000000009</v>
      </c>
      <c r="G3" s="316">
        <f>'14-βιβλΕσ'!Q3</f>
        <v>11.879999999999999</v>
      </c>
      <c r="H3" s="316">
        <f t="shared" ref="H3:H5" si="0">F3+G3</f>
        <v>20.974532</v>
      </c>
      <c r="I3" s="316">
        <f>'8-κ-15-17'!AG3</f>
        <v>-7.649999999976842E-4</v>
      </c>
      <c r="J3" s="316">
        <f>'14-βιβλΕσ'!R3</f>
        <v>278.09999999999997</v>
      </c>
      <c r="K3" s="316">
        <v>14.53</v>
      </c>
      <c r="L3" s="316">
        <v>175</v>
      </c>
      <c r="M3" s="260">
        <v>175</v>
      </c>
      <c r="N3" s="559" t="s">
        <v>535</v>
      </c>
      <c r="O3" s="316"/>
      <c r="P3" s="316"/>
      <c r="Q3" s="260"/>
      <c r="R3" s="316">
        <f>('14-βιβλΕσ'!N3+'14-βιβλΕσ'!O3+'14-βιβλΕσ'!R3)*40%</f>
        <v>168.99875199999997</v>
      </c>
      <c r="S3" s="316">
        <f>AC3</f>
        <v>96.03</v>
      </c>
      <c r="T3" s="565" t="s">
        <v>535</v>
      </c>
      <c r="U3" s="316">
        <v>1155</v>
      </c>
      <c r="V3" s="316">
        <f>AD3</f>
        <v>436.37611500000003</v>
      </c>
      <c r="W3" s="357"/>
      <c r="X3" s="316">
        <f>AD3</f>
        <v>436.37611500000003</v>
      </c>
      <c r="Y3" s="264">
        <v>6579.8008508916882</v>
      </c>
      <c r="Z3" s="357"/>
      <c r="AA3" s="357"/>
      <c r="AB3" s="316">
        <f>'1-συμβολαια'!L3+5+'8-κ-15-17'!AE3+'14-βιβλΕσ'!L3+'14-βιβλΕσ'!Q3+'14-βιβλΕσ'!R3</f>
        <v>532.406115</v>
      </c>
      <c r="AC3" s="316">
        <f>'1-συμβολαια'!M3</f>
        <v>96.03</v>
      </c>
      <c r="AD3" s="316">
        <f t="shared" ref="AD3:AD5" si="1">AB3-AC3</f>
        <v>436.37611500000003</v>
      </c>
      <c r="AE3" s="332">
        <v>46063</v>
      </c>
      <c r="AF3" s="260">
        <f>Y3+AA3</f>
        <v>6579.8008508916882</v>
      </c>
      <c r="AG3" s="333"/>
      <c r="AH3" s="73"/>
      <c r="AI3" s="73"/>
      <c r="AJ3" s="73"/>
      <c r="AK3" s="73"/>
      <c r="AL3" s="73"/>
    </row>
    <row r="4" spans="1:38" s="5" customFormat="1" ht="12" thickBot="1">
      <c r="A4" s="398">
        <f>'1-συμβολαια'!A4</f>
        <v>0</v>
      </c>
      <c r="B4" s="387"/>
      <c r="C4" s="389" t="str">
        <f>'1-συμβολαια'!C4</f>
        <v>ΧΡΗΣΙΚΤΗΣΙΑ αγροτεμαχίου = 1961 μητρος ΔΩΡΕΑ άτυπη</v>
      </c>
      <c r="D4" s="394">
        <f>'4-πολλυπρ'!D4</f>
        <v>0</v>
      </c>
      <c r="E4" s="394" t="str">
        <f>'4-πολλυπρ'!I4</f>
        <v>219-119 = σύζυγος</v>
      </c>
      <c r="F4" s="388">
        <f>'14-βιβλΕσ'!L4</f>
        <v>3.3198000000000003</v>
      </c>
      <c r="G4" s="391">
        <f>'14-βιβλΕσ'!Q4</f>
        <v>3</v>
      </c>
      <c r="H4" s="391">
        <f t="shared" si="0"/>
        <v>6.3198000000000008</v>
      </c>
      <c r="I4" s="391">
        <f>'8-κ-15-17'!AG4</f>
        <v>8.6102500000000006</v>
      </c>
      <c r="J4" s="391">
        <f>'14-βιβλΕσ'!R4</f>
        <v>0</v>
      </c>
      <c r="K4" s="391"/>
      <c r="L4" s="391"/>
      <c r="M4" s="393"/>
      <c r="N4" s="447"/>
      <c r="O4" s="391"/>
      <c r="P4" s="391"/>
      <c r="Q4" s="393"/>
      <c r="R4" s="391">
        <f>('14-βιβλΕσ'!N4+'14-βιβλΕσ'!O4+'14-βιβλΕσ'!R4)*40%</f>
        <v>64.692799999999991</v>
      </c>
      <c r="S4" s="391"/>
      <c r="T4" s="447"/>
      <c r="U4" s="391"/>
      <c r="V4" s="391">
        <f t="shared" ref="V4:V13" si="2">AD4</f>
        <v>173.34224999999998</v>
      </c>
      <c r="W4" s="551"/>
      <c r="X4" s="391">
        <f t="shared" ref="X4:X5" si="3">AD4</f>
        <v>173.34224999999998</v>
      </c>
      <c r="Y4" s="393">
        <v>4170.7155653653563</v>
      </c>
      <c r="Z4" s="551"/>
      <c r="AA4" s="551"/>
      <c r="AB4" s="391">
        <f>'1-συμβολαια'!L4+'8-κ-15-17'!AE4+'14-βιβλΕσ'!L4+'14-βιβλΕσ'!Q4+'14-βιβλΕσ'!R4</f>
        <v>173.34224999999998</v>
      </c>
      <c r="AC4" s="391">
        <f>'1-συμβολαια'!M4</f>
        <v>0</v>
      </c>
      <c r="AD4" s="391">
        <f t="shared" si="1"/>
        <v>173.34224999999998</v>
      </c>
      <c r="AE4" s="425"/>
      <c r="AF4" s="393">
        <f t="shared" ref="AF4:AF5" si="4">Y4+AA4</f>
        <v>4170.7155653653563</v>
      </c>
      <c r="AG4" s="553"/>
      <c r="AH4" s="73"/>
      <c r="AI4" s="73"/>
      <c r="AJ4" s="73"/>
      <c r="AK4" s="73"/>
      <c r="AL4" s="73"/>
    </row>
    <row r="5" spans="1:38" s="5" customFormat="1">
      <c r="A5" s="396" t="str">
        <f>'1-συμβολαια'!A5</f>
        <v>8ο</v>
      </c>
      <c r="B5" s="356">
        <f>'1-συμβολαια'!B5</f>
        <v>39548</v>
      </c>
      <c r="C5" s="331" t="str">
        <f>'1-συμβολαια'!C5</f>
        <v>κληρονομιάς ΑΠΟΔΟΧΗ</v>
      </c>
      <c r="D5" s="322" t="str">
        <f>'4-πολλυπρ'!D5</f>
        <v>219-119</v>
      </c>
      <c r="E5" s="322" t="str">
        <f>'4-πολλυπρ'!I5</f>
        <v>219-119 = σύζυγος</v>
      </c>
      <c r="F5" s="323">
        <f>'14-βιβλΕσ'!L5</f>
        <v>9.3170000000000019</v>
      </c>
      <c r="G5" s="316">
        <f>'14-βιβλΕσ'!Q5</f>
        <v>24.259999999999998</v>
      </c>
      <c r="H5" s="316">
        <f t="shared" si="0"/>
        <v>33.576999999999998</v>
      </c>
      <c r="I5" s="316">
        <f>'8-κ-15-17'!AG5</f>
        <v>0</v>
      </c>
      <c r="J5" s="316">
        <f>'14-βιβλΕσ'!R5</f>
        <v>880</v>
      </c>
      <c r="K5" s="316"/>
      <c r="L5" s="316"/>
      <c r="M5" s="260"/>
      <c r="N5" s="570">
        <v>39553</v>
      </c>
      <c r="O5" s="316"/>
      <c r="P5" s="316"/>
      <c r="Q5" s="260"/>
      <c r="R5" s="316">
        <f>('14-βιβλΕσ'!N5+'14-βιβλΕσ'!O5+'14-βιβλΕσ'!R5)*40%</f>
        <v>429.08000000000004</v>
      </c>
      <c r="S5" s="316"/>
      <c r="T5" s="316"/>
      <c r="U5" s="316"/>
      <c r="V5" s="316">
        <f t="shared" si="2"/>
        <v>1096.46</v>
      </c>
      <c r="W5" s="357"/>
      <c r="X5" s="316">
        <f t="shared" si="3"/>
        <v>1096.46</v>
      </c>
      <c r="Y5" s="260">
        <v>19216.508657901253</v>
      </c>
      <c r="Z5" s="357"/>
      <c r="AA5" s="357"/>
      <c r="AB5" s="316">
        <f>'1-συμβολαια'!L5+'8-κ-15-17'!AE5+'14-βιβλΕσ'!L5+'14-βιβλΕσ'!Q5+'14-βιβλΕσ'!R5</f>
        <v>1193.1600000000001</v>
      </c>
      <c r="AC5" s="316">
        <f>'1-συμβολαια'!M5</f>
        <v>96.7</v>
      </c>
      <c r="AD5" s="316">
        <f t="shared" si="1"/>
        <v>1096.46</v>
      </c>
      <c r="AE5" s="395">
        <v>46063</v>
      </c>
      <c r="AF5" s="260">
        <f t="shared" si="4"/>
        <v>19216.508657901253</v>
      </c>
      <c r="AG5" s="552"/>
      <c r="AH5" s="73"/>
      <c r="AI5" s="73"/>
      <c r="AJ5" s="73"/>
      <c r="AK5" s="73"/>
      <c r="AL5" s="73"/>
    </row>
    <row r="6" spans="1:38" s="5" customFormat="1">
      <c r="A6" s="454">
        <f>'1-συμβολαια'!A6</f>
        <v>0</v>
      </c>
      <c r="B6" s="356"/>
      <c r="C6" s="321" t="str">
        <f>'1-συμβολαια'!C6</f>
        <v>διανομή [ = 2/8 μήτηρ &amp; από 3/8 τέκνα</v>
      </c>
      <c r="D6" s="259" t="str">
        <f>'4-πολλυπρ'!D6</f>
        <v>219-119 = σύζυγος</v>
      </c>
      <c r="E6" s="259">
        <f>'4-πολλυπρ'!I6</f>
        <v>0</v>
      </c>
      <c r="F6" s="313">
        <f>'14-βιβλΕσ'!L6</f>
        <v>53.333861999999996</v>
      </c>
      <c r="G6" s="330">
        <f>'14-βιβλΕσ'!Q6</f>
        <v>6.9600000000000009</v>
      </c>
      <c r="H6" s="330">
        <f t="shared" ref="H6:H13" si="5">F6+G6</f>
        <v>60.293861999999997</v>
      </c>
      <c r="I6" s="330">
        <f>'8-κ-15-17'!AG6</f>
        <v>0</v>
      </c>
      <c r="J6" s="330">
        <f>'14-βιβλΕσ'!R6</f>
        <v>4</v>
      </c>
      <c r="K6" s="330"/>
      <c r="L6" s="330"/>
      <c r="M6" s="264"/>
      <c r="N6" s="332"/>
      <c r="O6" s="330"/>
      <c r="P6" s="330"/>
      <c r="Q6" s="264"/>
      <c r="R6" s="316">
        <f>('14-βιβλΕσ'!N6+'14-βιβλΕσ'!O6+'14-βιβλΕσ'!R6)*40%</f>
        <v>195.50363200000001</v>
      </c>
      <c r="S6" s="316"/>
      <c r="T6" s="330"/>
      <c r="U6" s="330"/>
      <c r="V6" s="316">
        <f t="shared" si="2"/>
        <v>495.71907999999996</v>
      </c>
      <c r="W6" s="548"/>
      <c r="X6" s="330">
        <f t="shared" ref="X6:X13" si="6">AD6</f>
        <v>495.71907999999996</v>
      </c>
      <c r="Y6" s="264">
        <v>8687.9503061733612</v>
      </c>
      <c r="Z6" s="548"/>
      <c r="AA6" s="548"/>
      <c r="AB6" s="330">
        <f>'1-συμβολαια'!L6+'8-κ-15-17'!AE6+'14-βιβλΕσ'!L6+'14-βιβλΕσ'!Q6+'14-βιβλΕσ'!R6</f>
        <v>495.71907999999996</v>
      </c>
      <c r="AC6" s="330">
        <f>'1-συμβολαια'!M6</f>
        <v>0</v>
      </c>
      <c r="AD6" s="330">
        <f t="shared" ref="AD6:AD13" si="7">AB6-AC6</f>
        <v>495.71907999999996</v>
      </c>
      <c r="AE6" s="332"/>
      <c r="AF6" s="264">
        <f t="shared" ref="AF6:AF13" si="8">Y6+AA6</f>
        <v>8687.9503061733612</v>
      </c>
      <c r="AG6" s="333"/>
      <c r="AH6" s="73"/>
      <c r="AI6" s="73"/>
      <c r="AJ6" s="73"/>
      <c r="AK6" s="73"/>
      <c r="AL6" s="73"/>
    </row>
    <row r="7" spans="1:38" s="5" customFormat="1">
      <c r="A7" s="454">
        <f>'1-συμβολαια'!A7</f>
        <v>0</v>
      </c>
      <c r="B7" s="356"/>
      <c r="C7" s="321" t="str">
        <f>'1-συμβολαια'!C7</f>
        <v>εξισορρόπηση διαφοράς διανεμομένων μεριδίων</v>
      </c>
      <c r="D7" s="259">
        <f>'4-πολλυπρ'!D7</f>
        <v>0</v>
      </c>
      <c r="E7" s="259" t="str">
        <f>'4-πολλυπρ'!I7</f>
        <v>219-119 = σύζυγος</v>
      </c>
      <c r="F7" s="313">
        <f>'14-βιβλΕσ'!L7</f>
        <v>2.5199880000000001</v>
      </c>
      <c r="G7" s="330">
        <f>'14-βιβλΕσ'!Q7</f>
        <v>3</v>
      </c>
      <c r="H7" s="330">
        <f t="shared" si="5"/>
        <v>5.5199879999999997</v>
      </c>
      <c r="I7" s="330">
        <f>'8-κ-15-17'!AG7</f>
        <v>8.6665799999999997</v>
      </c>
      <c r="J7" s="330">
        <f>'14-βιβλΕσ'!R7</f>
        <v>15.4</v>
      </c>
      <c r="K7" s="330"/>
      <c r="L7" s="330"/>
      <c r="M7" s="264"/>
      <c r="N7" s="332"/>
      <c r="O7" s="330"/>
      <c r="P7" s="330"/>
      <c r="Q7" s="264"/>
      <c r="R7" s="316">
        <f>('14-βιβλΕσ'!N7+'14-βιβλΕσ'!O7+'14-βιβλΕσ'!R7)*40%</f>
        <v>73.359968000000009</v>
      </c>
      <c r="S7" s="316"/>
      <c r="T7" s="330"/>
      <c r="U7" s="330"/>
      <c r="V7" s="316">
        <f t="shared" si="2"/>
        <v>195.06650000000002</v>
      </c>
      <c r="W7" s="548"/>
      <c r="X7" s="330">
        <f t="shared" si="6"/>
        <v>195.06650000000002</v>
      </c>
      <c r="Y7" s="264">
        <v>3418.7267078748832</v>
      </c>
      <c r="Z7" s="548"/>
      <c r="AA7" s="548"/>
      <c r="AB7" s="330">
        <f>'1-συμβολαια'!L7+'8-κ-15-17'!AE7+'14-βιβλΕσ'!L7+'14-βιβλΕσ'!Q7+'14-βιβλΕσ'!R7</f>
        <v>195.06650000000002</v>
      </c>
      <c r="AC7" s="330">
        <f>'1-συμβολαια'!M7</f>
        <v>0</v>
      </c>
      <c r="AD7" s="330">
        <f t="shared" si="7"/>
        <v>195.06650000000002</v>
      </c>
      <c r="AE7" s="332"/>
      <c r="AF7" s="264">
        <f t="shared" si="8"/>
        <v>3418.7267078748832</v>
      </c>
      <c r="AG7" s="333"/>
      <c r="AH7" s="73"/>
      <c r="AI7" s="73"/>
      <c r="AJ7" s="73"/>
      <c r="AK7" s="73"/>
      <c r="AL7" s="73"/>
    </row>
    <row r="8" spans="1:38" s="5" customFormat="1">
      <c r="A8" s="454">
        <f>'1-συμβολαια'!A8</f>
        <v>0</v>
      </c>
      <c r="B8" s="356"/>
      <c r="C8" s="321" t="str">
        <f>'1-συμβολαια'!C8</f>
        <v>χρησικτησία αγροτεμάχιο 1' = 1968 ΑΝΑΔΑΣΜΟΣ</v>
      </c>
      <c r="D8" s="259">
        <f>'4-πολλυπρ'!D8</f>
        <v>0</v>
      </c>
      <c r="E8" s="259" t="str">
        <f>'4-πολλυπρ'!I8</f>
        <v>219-119</v>
      </c>
      <c r="F8" s="313">
        <f>'14-βιβλΕσ'!L8</f>
        <v>1.919994</v>
      </c>
      <c r="G8" s="330">
        <f>'14-βιβλΕσ'!Q8</f>
        <v>6.9600000000000009</v>
      </c>
      <c r="H8" s="330">
        <f t="shared" si="5"/>
        <v>8.8799939999999999</v>
      </c>
      <c r="I8" s="330">
        <f>'8-κ-15-17'!AG8</f>
        <v>2.5833075000000001</v>
      </c>
      <c r="J8" s="330">
        <f>'14-βιβλΕσ'!R8</f>
        <v>8</v>
      </c>
      <c r="K8" s="330"/>
      <c r="L8" s="330"/>
      <c r="M8" s="264"/>
      <c r="N8" s="332"/>
      <c r="O8" s="330"/>
      <c r="P8" s="330"/>
      <c r="Q8" s="264"/>
      <c r="R8" s="316">
        <f>('14-βιβλΕσ'!N8+'14-βιβλΕσ'!O8+'14-βιβλΕσ'!R8)*40%</f>
        <v>58.399984000000011</v>
      </c>
      <c r="S8" s="316"/>
      <c r="T8" s="330"/>
      <c r="U8" s="330"/>
      <c r="V8" s="316">
        <f t="shared" si="2"/>
        <v>155.54326750000001</v>
      </c>
      <c r="W8" s="548"/>
      <c r="X8" s="330">
        <f t="shared" si="6"/>
        <v>155.54326750000001</v>
      </c>
      <c r="Y8" s="264">
        <v>2726.0443122339138</v>
      </c>
      <c r="Z8" s="548"/>
      <c r="AA8" s="548"/>
      <c r="AB8" s="330">
        <f>'1-συμβολαια'!L8+'8-κ-15-17'!AE8+'14-βιβλΕσ'!L8+'14-βιβλΕσ'!Q8+'14-βιβλΕσ'!R8</f>
        <v>155.54326750000001</v>
      </c>
      <c r="AC8" s="330">
        <f>'1-συμβολαια'!M8</f>
        <v>0</v>
      </c>
      <c r="AD8" s="330">
        <f t="shared" si="7"/>
        <v>155.54326750000001</v>
      </c>
      <c r="AE8" s="332"/>
      <c r="AF8" s="264">
        <f t="shared" si="8"/>
        <v>2726.0443122339138</v>
      </c>
      <c r="AG8" s="333"/>
      <c r="AH8" s="73"/>
      <c r="AI8" s="73"/>
      <c r="AJ8" s="73"/>
      <c r="AK8" s="73"/>
      <c r="AL8" s="73"/>
    </row>
    <row r="9" spans="1:38" s="5" customFormat="1" ht="12" thickBot="1">
      <c r="A9" s="392">
        <f>'1-συμβολαια'!A9</f>
        <v>0</v>
      </c>
      <c r="B9" s="387"/>
      <c r="C9" s="389" t="str">
        <f>'1-συμβολαια'!C9</f>
        <v xml:space="preserve">χρησικτησία αγροτεμαχίων 2' έως 10' = 1961 πατρός ΔΩΡΕΑ άτυπος </v>
      </c>
      <c r="D9" s="394">
        <f>'4-πολλυπρ'!D9</f>
        <v>0</v>
      </c>
      <c r="E9" s="394" t="str">
        <f>'4-πολλυπρ'!I9</f>
        <v>219-119</v>
      </c>
      <c r="F9" s="388">
        <f>'14-βιβλΕσ'!L9</f>
        <v>5.3199960000000006</v>
      </c>
      <c r="G9" s="391">
        <f>'14-βιβλΕσ'!Q9</f>
        <v>6.9600000000000009</v>
      </c>
      <c r="H9" s="391">
        <f t="shared" si="5"/>
        <v>12.279996000000001</v>
      </c>
      <c r="I9" s="391">
        <f>'8-κ-15-17'!AG9</f>
        <v>17.222204999999999</v>
      </c>
      <c r="J9" s="391">
        <f>'14-βιβλΕσ'!R9</f>
        <v>8</v>
      </c>
      <c r="K9" s="391"/>
      <c r="L9" s="391"/>
      <c r="M9" s="393"/>
      <c r="N9" s="425"/>
      <c r="O9" s="391"/>
      <c r="P9" s="391"/>
      <c r="Q9" s="393"/>
      <c r="R9" s="391">
        <f>('14-βιβλΕσ'!N9+'14-βιβλΕσ'!O9+'14-βιβλΕσ'!R9)*40%</f>
        <v>54.346655999999996</v>
      </c>
      <c r="S9" s="391"/>
      <c r="T9" s="391"/>
      <c r="U9" s="391"/>
      <c r="V9" s="391">
        <f t="shared" si="2"/>
        <v>160.048845</v>
      </c>
      <c r="W9" s="551"/>
      <c r="X9" s="391">
        <f t="shared" si="6"/>
        <v>160.048845</v>
      </c>
      <c r="Y9" s="393">
        <v>2805.0088609065519</v>
      </c>
      <c r="Z9" s="551"/>
      <c r="AA9" s="551"/>
      <c r="AB9" s="391">
        <f>'1-συμβολαια'!L9+'8-κ-15-17'!AE9+'14-βιβλΕσ'!L9+'14-βιβλΕσ'!Q9+'14-βιβλΕσ'!R9</f>
        <v>160.048845</v>
      </c>
      <c r="AC9" s="391">
        <f>'1-συμβολαια'!M9</f>
        <v>0</v>
      </c>
      <c r="AD9" s="391">
        <f t="shared" si="7"/>
        <v>160.048845</v>
      </c>
      <c r="AE9" s="425"/>
      <c r="AF9" s="393">
        <f t="shared" si="8"/>
        <v>2805.0088609065519</v>
      </c>
      <c r="AG9" s="553"/>
      <c r="AH9" s="446"/>
      <c r="AI9" s="73"/>
      <c r="AJ9" s="73"/>
      <c r="AK9" s="73"/>
      <c r="AL9" s="73"/>
    </row>
    <row r="10" spans="1:38" s="5" customFormat="1">
      <c r="A10" s="452" t="str">
        <f>'1-συμβολαια'!A10</f>
        <v>9ο</v>
      </c>
      <c r="B10" s="356">
        <f>'1-συμβολαια'!B10</f>
        <v>40009</v>
      </c>
      <c r="C10" s="331" t="str">
        <f>'1-συμβολαια'!C10</f>
        <v>γονική</v>
      </c>
      <c r="D10" s="322" t="str">
        <f>'4-πολλυπρ'!D10</f>
        <v>219-119 = σύζυγος</v>
      </c>
      <c r="E10" s="322" t="str">
        <f>'4-πολλυπρ'!I10</f>
        <v>219-119 = θυγατέρα</v>
      </c>
      <c r="F10" s="323">
        <f>'14-βιβλΕσ'!L10</f>
        <v>8.0465</v>
      </c>
      <c r="G10" s="316">
        <f>'14-βιβλΕσ'!Q10</f>
        <v>11.879999999999999</v>
      </c>
      <c r="H10" s="316">
        <f t="shared" si="5"/>
        <v>19.926499999999997</v>
      </c>
      <c r="I10" s="316">
        <f>'8-κ-15-17'!AG10</f>
        <v>-3.1249999999989342E-3</v>
      </c>
      <c r="J10" s="316">
        <f>'14-βιβλΕσ'!R10</f>
        <v>349.69999999999993</v>
      </c>
      <c r="K10" s="316"/>
      <c r="L10" s="316"/>
      <c r="M10" s="260"/>
      <c r="N10" s="570">
        <v>40010</v>
      </c>
      <c r="O10" s="316"/>
      <c r="P10" s="316"/>
      <c r="Q10" s="260"/>
      <c r="R10" s="316">
        <f>('14-βιβλΕσ'!N10+'14-βιβλΕσ'!O10+'14-βιβλΕσ'!R10)*35%</f>
        <v>145.42499999999998</v>
      </c>
      <c r="S10" s="316"/>
      <c r="T10" s="316"/>
      <c r="U10" s="316"/>
      <c r="V10" s="316">
        <f t="shared" si="2"/>
        <v>421.37687499999993</v>
      </c>
      <c r="W10" s="357"/>
      <c r="X10" s="316">
        <f t="shared" si="6"/>
        <v>421.37687499999993</v>
      </c>
      <c r="Y10" s="260">
        <v>6487.8811709034953</v>
      </c>
      <c r="Z10" s="357"/>
      <c r="AA10" s="357"/>
      <c r="AB10" s="316">
        <f>'1-συμβολαια'!L10+'8-κ-15-17'!AE10+'14-βιβλΕσ'!L10+'14-βιβλΕσ'!Q10+'14-βιβλΕσ'!R10</f>
        <v>513.9068749999999</v>
      </c>
      <c r="AC10" s="316">
        <f>'1-συμβολαια'!M10</f>
        <v>92.53</v>
      </c>
      <c r="AD10" s="316">
        <f t="shared" si="7"/>
        <v>421.37687499999993</v>
      </c>
      <c r="AE10" s="395">
        <v>46063</v>
      </c>
      <c r="AF10" s="260">
        <f t="shared" si="8"/>
        <v>6487.8811709034953</v>
      </c>
      <c r="AG10" s="552"/>
      <c r="AH10" s="445"/>
      <c r="AI10" s="73"/>
      <c r="AJ10" s="73"/>
      <c r="AK10" s="73"/>
      <c r="AL10" s="73"/>
    </row>
    <row r="11" spans="1:38" s="5" customFormat="1">
      <c r="A11" s="338" t="str">
        <f>'1-συμβολαια'!A11</f>
        <v>10ο</v>
      </c>
      <c r="B11" s="356"/>
      <c r="C11" s="321" t="str">
        <f>'1-συμβολαια'!C11</f>
        <v>δωρεά</v>
      </c>
      <c r="D11" s="259" t="str">
        <f>'4-πολλυπρ'!D11</f>
        <v>219-119 = υιός</v>
      </c>
      <c r="E11" s="259" t="str">
        <f>'4-πολλυπρ'!I11</f>
        <v>219-119 = θυγατέρα</v>
      </c>
      <c r="F11" s="313">
        <f>'14-βιβλΕσ'!L11</f>
        <v>9.2097140000000017</v>
      </c>
      <c r="G11" s="330">
        <f>'14-βιβλΕσ'!Q11</f>
        <v>11.879999999999999</v>
      </c>
      <c r="H11" s="330">
        <f t="shared" si="5"/>
        <v>21.089714000000001</v>
      </c>
      <c r="I11" s="330">
        <f>'8-κ-15-17'!AG11</f>
        <v>-4.8424999999987506E-3</v>
      </c>
      <c r="J11" s="330">
        <f>'14-βιβλΕσ'!R11</f>
        <v>431.7</v>
      </c>
      <c r="K11" s="330"/>
      <c r="L11" s="330"/>
      <c r="M11" s="264"/>
      <c r="N11" s="570">
        <v>40010</v>
      </c>
      <c r="O11" s="330"/>
      <c r="P11" s="330"/>
      <c r="Q11" s="264"/>
      <c r="R11" s="316">
        <f>('14-βιβλΕσ'!N11+'14-βιβλΕσ'!O11+'14-βιβλΕσ'!R11)*35%</f>
        <v>193.44666599999996</v>
      </c>
      <c r="S11" s="316"/>
      <c r="T11" s="330"/>
      <c r="U11" s="330"/>
      <c r="V11" s="316">
        <f t="shared" si="2"/>
        <v>558.57991749999997</v>
      </c>
      <c r="W11" s="548"/>
      <c r="X11" s="330">
        <f t="shared" si="6"/>
        <v>558.57991749999997</v>
      </c>
      <c r="Y11" s="264">
        <v>8600.3773443739374</v>
      </c>
      <c r="Z11" s="548"/>
      <c r="AA11" s="548"/>
      <c r="AB11" s="330">
        <f>'1-συμβολαια'!L11+'8-κ-15-17'!AE11+'14-βιβλΕσ'!L11+'14-βιβλΕσ'!Q11+'14-βιβλΕσ'!R11</f>
        <v>663.86991749999993</v>
      </c>
      <c r="AC11" s="330">
        <f>'1-συμβολαια'!M11</f>
        <v>105.29</v>
      </c>
      <c r="AD11" s="330">
        <f t="shared" si="7"/>
        <v>558.57991749999997</v>
      </c>
      <c r="AE11" s="395">
        <v>46063</v>
      </c>
      <c r="AF11" s="264">
        <f t="shared" si="8"/>
        <v>8600.3773443739374</v>
      </c>
      <c r="AG11" s="333"/>
      <c r="AH11" s="73"/>
      <c r="AI11" s="73"/>
      <c r="AJ11" s="73"/>
      <c r="AK11" s="73"/>
      <c r="AL11" s="73"/>
    </row>
    <row r="12" spans="1:38" s="5" customFormat="1">
      <c r="A12" s="338" t="str">
        <f>'1-συμβολαια'!A12</f>
        <v>11ο</v>
      </c>
      <c r="B12" s="356"/>
      <c r="C12" s="321" t="str">
        <f>'1-συμβολαια'!C12</f>
        <v>γονική</v>
      </c>
      <c r="D12" s="259" t="str">
        <f>'4-πολλυπρ'!D12</f>
        <v>219-119 = σύζυγος</v>
      </c>
      <c r="E12" s="259" t="str">
        <f>'4-πολλυπρ'!I12</f>
        <v>219-119 = υιός</v>
      </c>
      <c r="F12" s="313">
        <f>'14-βιβλΕσ'!L12</f>
        <v>21.749376000000002</v>
      </c>
      <c r="G12" s="330">
        <f>'14-βιβλΕσ'!Q12</f>
        <v>11.879999999999999</v>
      </c>
      <c r="H12" s="330">
        <f t="shared" si="5"/>
        <v>33.629376000000001</v>
      </c>
      <c r="I12" s="330">
        <f>'8-κ-15-17'!AG12</f>
        <v>-3.5200000000088494E-3</v>
      </c>
      <c r="J12" s="330">
        <f>'14-βιβλΕσ'!R12</f>
        <v>892.69999999999993</v>
      </c>
      <c r="K12" s="330"/>
      <c r="L12" s="330"/>
      <c r="M12" s="264"/>
      <c r="N12" s="570">
        <v>40010</v>
      </c>
      <c r="O12" s="330"/>
      <c r="P12" s="330"/>
      <c r="Q12" s="264"/>
      <c r="R12" s="316">
        <f>('14-βιβλΕσ'!N12+'14-βιβλΕσ'!O12+'14-βιβλΕσ'!R12)*35%</f>
        <v>356.19354399999997</v>
      </c>
      <c r="S12" s="316"/>
      <c r="T12" s="330"/>
      <c r="U12" s="330"/>
      <c r="V12" s="316">
        <f t="shared" si="2"/>
        <v>1023.5723199999998</v>
      </c>
      <c r="W12" s="548"/>
      <c r="X12" s="330">
        <f t="shared" si="6"/>
        <v>1023.5723199999998</v>
      </c>
      <c r="Y12" s="264">
        <v>15759.800729420725</v>
      </c>
      <c r="Z12" s="548"/>
      <c r="AA12" s="548"/>
      <c r="AB12" s="330">
        <f>'1-συμβολαια'!L12+'8-κ-15-17'!AE12+'14-βιβλΕσ'!L12+'14-βιβλΕσ'!Q12+'14-βιβλΕσ'!R12</f>
        <v>1268.8023199999998</v>
      </c>
      <c r="AC12" s="330">
        <f>'1-συμβολαια'!M12</f>
        <v>245.23</v>
      </c>
      <c r="AD12" s="330">
        <f t="shared" si="7"/>
        <v>1023.5723199999998</v>
      </c>
      <c r="AE12" s="395">
        <v>46063</v>
      </c>
      <c r="AF12" s="264">
        <f t="shared" si="8"/>
        <v>15759.800729420725</v>
      </c>
      <c r="AG12" s="333"/>
      <c r="AH12" s="73"/>
      <c r="AI12" s="73"/>
      <c r="AJ12" s="73"/>
      <c r="AK12" s="73"/>
      <c r="AL12" s="73"/>
    </row>
    <row r="13" spans="1:38" s="5" customFormat="1" ht="12" thickBot="1">
      <c r="A13" s="453" t="str">
        <f>'1-συμβολαια'!A13</f>
        <v>12ο</v>
      </c>
      <c r="B13" s="387"/>
      <c r="C13" s="389" t="str">
        <f>'1-συμβολαια'!C13</f>
        <v>δωρεά</v>
      </c>
      <c r="D13" s="394" t="str">
        <f>'4-πολλυπρ'!D13</f>
        <v>219-119 = θυγατέρα</v>
      </c>
      <c r="E13" s="394" t="str">
        <f>'4-πολλυπρ'!I13</f>
        <v>219-119 = υιός</v>
      </c>
      <c r="F13" s="388">
        <f>'14-βιβλΕσ'!L13</f>
        <v>29.324334</v>
      </c>
      <c r="G13" s="391">
        <f>'14-βιβλΕσ'!Q13</f>
        <v>11.879999999999999</v>
      </c>
      <c r="H13" s="391">
        <f t="shared" si="5"/>
        <v>41.204334000000003</v>
      </c>
      <c r="I13" s="391">
        <f>'8-κ-15-17'!AG13</f>
        <v>8.8250000000300588E-4</v>
      </c>
      <c r="J13" s="391">
        <f>'14-βιβλΕσ'!R13</f>
        <v>730.69999999999993</v>
      </c>
      <c r="K13" s="391"/>
      <c r="L13" s="391"/>
      <c r="M13" s="393"/>
      <c r="N13" s="585">
        <v>40010</v>
      </c>
      <c r="O13" s="391"/>
      <c r="P13" s="391"/>
      <c r="Q13" s="393"/>
      <c r="R13" s="391">
        <f>('14-βιβλΕσ'!N13+'14-βιβλΕσ'!O13+'14-βιβλΕσ'!R13)*35%</f>
        <v>286.69744599999996</v>
      </c>
      <c r="S13" s="391"/>
      <c r="T13" s="391"/>
      <c r="U13" s="391"/>
      <c r="V13" s="391">
        <f t="shared" si="2"/>
        <v>825.01644249999993</v>
      </c>
      <c r="W13" s="551"/>
      <c r="X13" s="391">
        <f t="shared" si="6"/>
        <v>825.01644249999993</v>
      </c>
      <c r="Y13" s="393">
        <v>12702.663483803044</v>
      </c>
      <c r="Z13" s="551"/>
      <c r="AA13" s="551"/>
      <c r="AB13" s="391">
        <f>'1-συμβολαια'!L13+'8-κ-15-17'!AE13+'14-βιβλΕσ'!L13+'14-βιβλΕσ'!Q13+'14-βιβλΕσ'!R13</f>
        <v>1153.1164424999999</v>
      </c>
      <c r="AC13" s="391">
        <f>'1-συμβολαια'!M13</f>
        <v>328.1</v>
      </c>
      <c r="AD13" s="391">
        <f t="shared" si="7"/>
        <v>825.01644249999993</v>
      </c>
      <c r="AE13" s="425">
        <v>46063</v>
      </c>
      <c r="AF13" s="393">
        <f t="shared" si="8"/>
        <v>12702.663483803044</v>
      </c>
      <c r="AG13" s="553"/>
      <c r="AH13" s="446"/>
      <c r="AI13" s="73"/>
      <c r="AJ13" s="73"/>
      <c r="AK13" s="73"/>
      <c r="AL13" s="73"/>
    </row>
    <row r="14" spans="1:38">
      <c r="A14" s="870" t="s">
        <v>35</v>
      </c>
      <c r="B14" s="871"/>
      <c r="C14" s="871"/>
      <c r="D14" s="871"/>
      <c r="E14" s="872"/>
      <c r="F14" s="42">
        <f t="shared" ref="F14:M14" si="9">SUM(F3:F13)</f>
        <v>153.15509599999999</v>
      </c>
      <c r="G14" s="42">
        <f t="shared" si="9"/>
        <v>110.53999999999999</v>
      </c>
      <c r="H14" s="42">
        <f t="shared" si="9"/>
        <v>263.69509599999998</v>
      </c>
      <c r="I14" s="42">
        <f t="shared" si="9"/>
        <v>37.070972499999996</v>
      </c>
      <c r="J14" s="42">
        <f t="shared" si="9"/>
        <v>3598.2999999999997</v>
      </c>
      <c r="K14" s="42">
        <f t="shared" si="9"/>
        <v>14.53</v>
      </c>
      <c r="L14" s="42">
        <f t="shared" si="9"/>
        <v>175</v>
      </c>
      <c r="M14" s="371">
        <f t="shared" si="9"/>
        <v>175</v>
      </c>
      <c r="N14" s="42"/>
      <c r="O14" s="42">
        <f>SUM(O3:O13)</f>
        <v>0</v>
      </c>
      <c r="P14" s="42">
        <f>SUM(P3:P13)</f>
        <v>0</v>
      </c>
      <c r="Q14" s="371">
        <f>SUM(Q3:Q13)</f>
        <v>0</v>
      </c>
      <c r="R14" s="42">
        <f>SUM(R3:R13)</f>
        <v>2026.1444479999998</v>
      </c>
      <c r="S14" s="424">
        <f>SUM(S3:S13)</f>
        <v>96.03</v>
      </c>
      <c r="T14" s="424"/>
      <c r="U14" s="424"/>
      <c r="V14" s="424">
        <f t="shared" ref="V14:AD14" si="10">SUM(V3:V13)</f>
        <v>5541.1016125000006</v>
      </c>
      <c r="W14" s="378">
        <f t="shared" si="10"/>
        <v>0</v>
      </c>
      <c r="X14" s="42">
        <f t="shared" si="10"/>
        <v>5541.1016125000006</v>
      </c>
      <c r="Y14" s="371">
        <f t="shared" si="10"/>
        <v>91155.477989848194</v>
      </c>
      <c r="Z14" s="378">
        <f t="shared" si="10"/>
        <v>0</v>
      </c>
      <c r="AA14" s="379">
        <f t="shared" si="10"/>
        <v>0</v>
      </c>
      <c r="AB14" s="42">
        <f t="shared" si="10"/>
        <v>6504.9816124999998</v>
      </c>
      <c r="AC14" s="42">
        <f t="shared" si="10"/>
        <v>963.88</v>
      </c>
      <c r="AD14" s="42">
        <f t="shared" si="10"/>
        <v>5541.1016125000006</v>
      </c>
      <c r="AE14" s="42"/>
      <c r="AF14" s="371">
        <f>SUM(AF3:AF13)</f>
        <v>91155.477989848194</v>
      </c>
    </row>
    <row r="15" spans="1:38">
      <c r="J15" s="75"/>
      <c r="K15" s="75"/>
      <c r="L15" s="75"/>
      <c r="M15" s="75"/>
      <c r="N15" s="75"/>
      <c r="O15" s="75"/>
      <c r="P15" s="75"/>
      <c r="Q15" s="75"/>
      <c r="R15" s="75"/>
    </row>
    <row r="16" spans="1:38">
      <c r="J16" s="127"/>
      <c r="K16" s="127"/>
      <c r="L16" s="127"/>
      <c r="M16" s="127"/>
      <c r="N16" s="127"/>
      <c r="O16" s="127"/>
      <c r="P16" s="127"/>
      <c r="Q16" s="127"/>
      <c r="R16" s="127"/>
      <c r="AB16" s="127"/>
      <c r="AF16" s="8">
        <f>SUM(AF3:AF4)</f>
        <v>10750.516416257044</v>
      </c>
    </row>
    <row r="17" spans="20:40">
      <c r="AB17" s="128"/>
      <c r="AC17" s="2">
        <f>SUM(AC3:AC13)</f>
        <v>963.88</v>
      </c>
      <c r="AF17" s="8">
        <f>SUM(AF5:AF9)</f>
        <v>36854.23884508996</v>
      </c>
    </row>
    <row r="18" spans="20:40" ht="15.75">
      <c r="AH18" s="119"/>
      <c r="AI18" s="121"/>
      <c r="AJ18" s="121"/>
      <c r="AK18" s="121"/>
      <c r="AL18" s="121"/>
      <c r="AM18" s="120"/>
      <c r="AN18" s="120"/>
    </row>
    <row r="19" spans="20:40" ht="15.75">
      <c r="X19" s="841" t="s">
        <v>531</v>
      </c>
      <c r="Y19" s="841"/>
      <c r="Z19" s="841"/>
      <c r="AA19" s="841"/>
      <c r="AH19" s="120"/>
      <c r="AI19" s="120"/>
      <c r="AJ19" s="120"/>
      <c r="AK19" s="120"/>
      <c r="AL19" s="120"/>
      <c r="AM19" s="120"/>
      <c r="AN19" s="120"/>
    </row>
    <row r="20" spans="20:40">
      <c r="AH20" s="11"/>
      <c r="AI20" s="11"/>
      <c r="AJ20" s="11"/>
      <c r="AK20" s="11"/>
      <c r="AL20" s="11"/>
      <c r="AM20" s="426"/>
      <c r="AN20" s="11"/>
    </row>
    <row r="21" spans="20:40">
      <c r="T21" s="559" t="s">
        <v>535</v>
      </c>
      <c r="V21" s="8">
        <v>4868</v>
      </c>
      <c r="W21" s="8"/>
      <c r="X21" s="330">
        <f t="shared" ref="X21:X31" si="11">H3+I3+R3</f>
        <v>189.97251899999998</v>
      </c>
      <c r="Y21" s="264">
        <v>2285.4247651249675</v>
      </c>
      <c r="Z21" s="330">
        <f t="shared" ref="Z21:Z31" si="12">AD3-X21</f>
        <v>246.40359600000005</v>
      </c>
      <c r="AA21" s="264">
        <v>1494.4998721865936</v>
      </c>
      <c r="AC21" s="8">
        <v>4868</v>
      </c>
      <c r="AF21" s="264">
        <f>Y21+AA21</f>
        <v>3779.9246373115611</v>
      </c>
      <c r="AH21" s="11"/>
      <c r="AI21" s="11"/>
      <c r="AJ21" s="11"/>
      <c r="AK21" s="11"/>
      <c r="AL21" s="11"/>
      <c r="AM21" s="11"/>
      <c r="AN21" s="11"/>
    </row>
    <row r="22" spans="20:40" ht="12" thickBot="1">
      <c r="T22" s="447"/>
      <c r="V22" s="8"/>
      <c r="W22" s="8"/>
      <c r="X22" s="391">
        <f t="shared" si="11"/>
        <v>79.62285</v>
      </c>
      <c r="Y22" s="393">
        <v>957.88608909181482</v>
      </c>
      <c r="Z22" s="391">
        <f t="shared" si="12"/>
        <v>93.719399999999979</v>
      </c>
      <c r="AA22" s="393">
        <v>568.43176639923809</v>
      </c>
      <c r="AC22" s="8"/>
      <c r="AD22" s="2">
        <f>SUM(Y21:Y22)</f>
        <v>3243.3108542167824</v>
      </c>
      <c r="AE22" s="584">
        <f>SUM(AA21:AA22)</f>
        <v>2062.9316385858319</v>
      </c>
      <c r="AF22" s="393">
        <f t="shared" ref="AF22:AF31" si="13">Y22+AA22</f>
        <v>1526.3178554910528</v>
      </c>
      <c r="AG22" s="76">
        <f>SUM(AF21:AF22)</f>
        <v>5306.2424928026139</v>
      </c>
      <c r="AH22" s="11"/>
      <c r="AI22" s="11"/>
      <c r="AJ22" s="11"/>
      <c r="AK22" s="11"/>
      <c r="AL22" s="11"/>
      <c r="AM22" s="11"/>
      <c r="AN22" s="11"/>
    </row>
    <row r="23" spans="20:40">
      <c r="T23" s="570">
        <v>39553</v>
      </c>
      <c r="V23" s="8">
        <v>7760</v>
      </c>
      <c r="W23" s="8"/>
      <c r="X23" s="316">
        <f t="shared" si="11"/>
        <v>462.65700000000004</v>
      </c>
      <c r="Y23" s="260">
        <v>4054.2528893614981</v>
      </c>
      <c r="Z23" s="316">
        <f t="shared" si="12"/>
        <v>633.803</v>
      </c>
      <c r="AA23" s="260">
        <v>2804.7707269925118</v>
      </c>
      <c r="AC23" s="8">
        <v>7760</v>
      </c>
      <c r="AF23" s="260">
        <f t="shared" si="13"/>
        <v>6859.0236163540103</v>
      </c>
      <c r="AH23" s="11"/>
      <c r="AI23" s="11"/>
      <c r="AJ23" s="11"/>
      <c r="AK23" s="11"/>
      <c r="AL23" s="11"/>
      <c r="AM23" s="11"/>
      <c r="AN23" s="11"/>
    </row>
    <row r="24" spans="20:40">
      <c r="T24" s="332"/>
      <c r="V24" s="8"/>
      <c r="W24" s="8"/>
      <c r="X24" s="330">
        <f t="shared" si="11"/>
        <v>255.797494</v>
      </c>
      <c r="Y24" s="264">
        <v>2241.5476889811048</v>
      </c>
      <c r="Z24" s="330">
        <f t="shared" si="12"/>
        <v>239.92158599999996</v>
      </c>
      <c r="AA24" s="264">
        <v>1061.7258693733156</v>
      </c>
      <c r="AC24" s="8"/>
      <c r="AD24" s="2">
        <f>SUM(Y23:Y27)</f>
        <v>8409.9449539646357</v>
      </c>
      <c r="AE24" s="499">
        <f>SUM(AA23:AA27)</f>
        <v>5058.6731066330785</v>
      </c>
      <c r="AF24" s="264">
        <f t="shared" si="13"/>
        <v>3303.2735583544204</v>
      </c>
      <c r="AG24" s="76">
        <f>SUM(AF23:AF27)</f>
        <v>13468.618060597713</v>
      </c>
      <c r="AH24" s="11"/>
      <c r="AI24" s="11"/>
      <c r="AJ24" s="11"/>
      <c r="AK24" s="11"/>
      <c r="AL24" s="11"/>
      <c r="AM24" s="11"/>
      <c r="AN24" s="11"/>
    </row>
    <row r="25" spans="20:40">
      <c r="T25" s="332"/>
      <c r="V25" s="8"/>
      <c r="W25" s="8"/>
      <c r="X25" s="330">
        <f t="shared" si="11"/>
        <v>87.546536000000003</v>
      </c>
      <c r="Y25" s="264">
        <v>767.16832671199268</v>
      </c>
      <c r="Z25" s="330">
        <f t="shared" si="12"/>
        <v>107.51996400000002</v>
      </c>
      <c r="AA25" s="264">
        <v>475.80848874885163</v>
      </c>
      <c r="AC25" s="8"/>
      <c r="AE25" s="499"/>
      <c r="AF25" s="264">
        <f t="shared" si="13"/>
        <v>1242.9768154608444</v>
      </c>
    </row>
    <row r="26" spans="20:40">
      <c r="T26" s="332"/>
      <c r="V26" s="8"/>
      <c r="X26" s="330">
        <f t="shared" si="11"/>
        <v>69.863285500000018</v>
      </c>
      <c r="Y26" s="264">
        <v>612.21040014235734</v>
      </c>
      <c r="Z26" s="330">
        <f t="shared" si="12"/>
        <v>85.679981999999995</v>
      </c>
      <c r="AA26" s="264">
        <v>379.15993676717397</v>
      </c>
      <c r="AC26" s="8"/>
      <c r="AE26" s="499"/>
      <c r="AF26" s="264">
        <f t="shared" si="13"/>
        <v>991.37033690953126</v>
      </c>
    </row>
    <row r="27" spans="20:40" ht="12" thickBot="1">
      <c r="T27" s="425"/>
      <c r="V27" s="8"/>
      <c r="X27" s="391">
        <f t="shared" si="11"/>
        <v>83.848856999999995</v>
      </c>
      <c r="Y27" s="393">
        <v>734.7656487676818</v>
      </c>
      <c r="Z27" s="391">
        <f t="shared" si="12"/>
        <v>76.199988000000005</v>
      </c>
      <c r="AA27" s="393">
        <v>337.20808475122487</v>
      </c>
      <c r="AC27" s="8"/>
      <c r="AF27" s="393">
        <f t="shared" si="13"/>
        <v>1071.9737335189066</v>
      </c>
    </row>
    <row r="28" spans="20:40">
      <c r="T28" s="570">
        <v>40010</v>
      </c>
      <c r="V28" s="8">
        <v>8770</v>
      </c>
      <c r="X28" s="316">
        <f t="shared" si="11"/>
        <v>165.34837499999998</v>
      </c>
      <c r="Y28" s="260">
        <v>1272.9229728161897</v>
      </c>
      <c r="Z28" s="316">
        <f t="shared" si="12"/>
        <v>256.02849999999995</v>
      </c>
      <c r="AA28" s="260">
        <v>992.69316551583904</v>
      </c>
      <c r="AC28" s="8">
        <v>8770</v>
      </c>
      <c r="AF28" s="260">
        <f t="shared" si="13"/>
        <v>2265.6161383320286</v>
      </c>
    </row>
    <row r="29" spans="20:40">
      <c r="T29" s="570">
        <v>40010</v>
      </c>
      <c r="V29" s="8">
        <v>8771</v>
      </c>
      <c r="X29" s="330">
        <f t="shared" si="11"/>
        <v>214.53153749999996</v>
      </c>
      <c r="Y29" s="264">
        <v>1651.5561309709149</v>
      </c>
      <c r="Z29" s="330">
        <f t="shared" si="12"/>
        <v>344.04838000000001</v>
      </c>
      <c r="AA29" s="264">
        <v>1333.9705362207565</v>
      </c>
      <c r="AC29" s="8">
        <v>8771</v>
      </c>
      <c r="AE29" s="499"/>
      <c r="AF29" s="264">
        <f t="shared" si="13"/>
        <v>2985.5266671916715</v>
      </c>
    </row>
    <row r="30" spans="20:40">
      <c r="T30" s="570">
        <v>40010</v>
      </c>
      <c r="V30" s="8">
        <v>8772</v>
      </c>
      <c r="X30" s="330">
        <f t="shared" si="11"/>
        <v>389.81939999999997</v>
      </c>
      <c r="Y30" s="264">
        <v>3000.9975574868731</v>
      </c>
      <c r="Z30" s="330">
        <f t="shared" si="12"/>
        <v>633.75291999999979</v>
      </c>
      <c r="AA30" s="264">
        <v>2457.2350043440701</v>
      </c>
      <c r="AC30" s="8">
        <v>8772</v>
      </c>
      <c r="AE30" s="499"/>
      <c r="AF30" s="264">
        <f t="shared" si="13"/>
        <v>5458.2325618309433</v>
      </c>
    </row>
    <row r="31" spans="20:40" ht="12" thickBot="1">
      <c r="T31" s="570">
        <v>40010</v>
      </c>
      <c r="V31" s="8">
        <v>8773</v>
      </c>
      <c r="X31" s="391">
        <f t="shared" si="11"/>
        <v>327.90266249999996</v>
      </c>
      <c r="Y31" s="393">
        <v>2524.3358572096267</v>
      </c>
      <c r="Z31" s="391">
        <f t="shared" si="12"/>
        <v>497.11377999999996</v>
      </c>
      <c r="AA31" s="393">
        <v>1927.4473423456539</v>
      </c>
      <c r="AC31" s="8">
        <v>8773</v>
      </c>
      <c r="AE31" s="2"/>
      <c r="AF31" s="393">
        <f t="shared" si="13"/>
        <v>4451.7831995552806</v>
      </c>
    </row>
    <row r="32" spans="20:40" ht="15">
      <c r="X32" s="42">
        <f>SUM(X21:X31)</f>
        <v>2326.9105165000001</v>
      </c>
      <c r="Y32" s="371">
        <f>SUM(Y21:Y31)</f>
        <v>20103.068326665023</v>
      </c>
      <c r="Z32" s="42">
        <f>SUM(Z21:Z31)</f>
        <v>3214.191096</v>
      </c>
      <c r="AA32" s="371">
        <f>SUM(AA21:AA31)</f>
        <v>13832.950793645228</v>
      </c>
      <c r="AF32" s="371">
        <f>SUM(AF21:AF31)</f>
        <v>33936.019120310251</v>
      </c>
      <c r="AH32" s="119"/>
      <c r="AI32" s="119"/>
      <c r="AJ32" s="119"/>
      <c r="AK32" s="119"/>
      <c r="AL32" s="119"/>
      <c r="AM32" s="119"/>
      <c r="AN32" s="119"/>
    </row>
    <row r="33" spans="34:40" ht="15">
      <c r="AH33" s="119"/>
      <c r="AI33" s="119"/>
      <c r="AJ33" s="119"/>
      <c r="AK33" s="119"/>
      <c r="AL33" s="119"/>
      <c r="AM33" s="119"/>
      <c r="AN33" s="119"/>
    </row>
    <row r="34" spans="34:40" ht="15">
      <c r="AH34" s="119"/>
      <c r="AI34" s="119"/>
      <c r="AJ34" s="119"/>
      <c r="AK34" s="119"/>
      <c r="AL34" s="119"/>
      <c r="AM34" s="119"/>
      <c r="AN34" s="119"/>
    </row>
    <row r="35" spans="34:40" ht="15">
      <c r="AH35" s="119"/>
      <c r="AI35" s="119"/>
      <c r="AJ35" s="119"/>
      <c r="AK35" s="119"/>
      <c r="AL35" s="119"/>
      <c r="AM35" s="119"/>
      <c r="AN35" s="119"/>
    </row>
    <row r="36" spans="34:40" ht="15">
      <c r="AH36" s="119"/>
      <c r="AI36" s="119"/>
      <c r="AJ36" s="119"/>
      <c r="AK36" s="119"/>
      <c r="AL36" s="119"/>
      <c r="AM36" s="119"/>
      <c r="AN36" s="119"/>
    </row>
    <row r="37" spans="34:40" ht="15">
      <c r="AH37" s="119"/>
      <c r="AI37" s="119"/>
      <c r="AJ37" s="119"/>
      <c r="AK37" s="119"/>
      <c r="AL37" s="119"/>
      <c r="AM37" s="119"/>
      <c r="AN37" s="119"/>
    </row>
    <row r="38" spans="34:40" ht="15">
      <c r="AH38" s="119"/>
      <c r="AI38" s="119"/>
      <c r="AJ38" s="119"/>
      <c r="AK38" s="119"/>
      <c r="AL38" s="119"/>
      <c r="AM38" s="119"/>
      <c r="AN38" s="119"/>
    </row>
    <row r="39" spans="34:40" ht="15">
      <c r="AH39" s="119"/>
      <c r="AI39" s="119"/>
      <c r="AJ39" s="119"/>
      <c r="AK39" s="119"/>
      <c r="AL39" s="119"/>
      <c r="AM39" s="119"/>
      <c r="AN39" s="119"/>
    </row>
    <row r="40" spans="34:40" ht="15">
      <c r="AH40" s="119"/>
      <c r="AI40" s="119"/>
      <c r="AJ40" s="119"/>
      <c r="AK40" s="119"/>
      <c r="AL40" s="119"/>
      <c r="AM40" s="119"/>
      <c r="AN40" s="119"/>
    </row>
  </sheetData>
  <mergeCells count="20">
    <mergeCell ref="A14:E14"/>
    <mergeCell ref="E1:E2"/>
    <mergeCell ref="C1:C2"/>
    <mergeCell ref="A1:A2"/>
    <mergeCell ref="B1:B2"/>
    <mergeCell ref="D1:D2"/>
    <mergeCell ref="X19:AA19"/>
    <mergeCell ref="AH1:AL2"/>
    <mergeCell ref="F1:H1"/>
    <mergeCell ref="I1:I2"/>
    <mergeCell ref="R1:R2"/>
    <mergeCell ref="J1:J2"/>
    <mergeCell ref="AG1:AG2"/>
    <mergeCell ref="S1:V1"/>
    <mergeCell ref="AB1:AD1"/>
    <mergeCell ref="X1:Y1"/>
    <mergeCell ref="Z1:AA1"/>
    <mergeCell ref="AE1:AE2"/>
    <mergeCell ref="AF1:AF2"/>
    <mergeCell ref="K1:Q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5"/>
  <sheetViews>
    <sheetView workbookViewId="0">
      <pane ySplit="1" topLeftCell="A2" activePane="bottomLeft" state="frozen"/>
      <selection pane="bottomLeft" activeCell="E2" sqref="E2:E12"/>
    </sheetView>
  </sheetViews>
  <sheetFormatPr defaultRowHeight="11.25"/>
  <cols>
    <col min="1" max="1" width="9.140625" style="3"/>
    <col min="2" max="2" width="49" style="3" bestFit="1" customWidth="1"/>
    <col min="3" max="3" width="11" style="2" customWidth="1"/>
    <col min="4" max="7" width="9.140625" style="3"/>
    <col min="8" max="8" width="9.42578125" style="2" bestFit="1" customWidth="1"/>
    <col min="9" max="9" width="59.7109375" style="3" bestFit="1" customWidth="1"/>
    <col min="10" max="10" width="53.7109375" style="3" bestFit="1" customWidth="1"/>
    <col min="11" max="16384" width="9.140625" style="3"/>
  </cols>
  <sheetData>
    <row r="1" spans="1:13">
      <c r="A1" s="186"/>
      <c r="B1" s="186"/>
      <c r="C1" s="300"/>
      <c r="D1" s="186" t="s">
        <v>319</v>
      </c>
      <c r="E1" s="608" t="s">
        <v>322</v>
      </c>
      <c r="F1" s="609"/>
      <c r="G1" s="609"/>
      <c r="H1" s="609"/>
      <c r="I1" s="610" t="s">
        <v>323</v>
      </c>
      <c r="J1" s="610"/>
      <c r="K1" s="610"/>
      <c r="L1" s="610"/>
      <c r="M1" s="611"/>
    </row>
    <row r="2" spans="1:13" s="5" customFormat="1">
      <c r="A2" s="488" t="str">
        <f>'1-συμβολαια'!A3</f>
        <v>7ο</v>
      </c>
      <c r="B2" s="73" t="str">
        <f>'1-συμβολαια'!C3</f>
        <v>*γονική ΨΙΛΗΣ ΚΥΡΙΟΤΗΤΑΣ [αγροτεμάχιο ;;;??? Πρίνος -'';;;???'' 580μ2</v>
      </c>
      <c r="C2" s="330">
        <f>'1-συμβολαια'!D3</f>
        <v>1874.74</v>
      </c>
      <c r="D2" s="558"/>
      <c r="E2" s="559" t="s">
        <v>535</v>
      </c>
      <c r="F2" s="73"/>
      <c r="G2" s="73"/>
      <c r="H2" s="330"/>
      <c r="I2" s="390"/>
      <c r="J2" s="73"/>
      <c r="K2" s="73"/>
      <c r="L2" s="73"/>
      <c r="M2" s="73"/>
    </row>
    <row r="3" spans="1:13" s="5" customFormat="1" ht="12" thickBot="1">
      <c r="A3" s="490">
        <f>'1-συμβολαια'!A4</f>
        <v>0</v>
      </c>
      <c r="B3" s="446" t="str">
        <f>'1-συμβολαια'!C4</f>
        <v>ΧΡΗΣΙΚΤΗΣΙΑ αγροτεμαχίου = 1961 μητρος ΔΩΡΕΑ άτυπη</v>
      </c>
      <c r="C3" s="391">
        <f>'1-συμβολαια'!D4</f>
        <v>1111</v>
      </c>
      <c r="D3" s="391"/>
      <c r="E3" s="447"/>
      <c r="F3" s="446"/>
      <c r="G3" s="446"/>
      <c r="H3" s="391"/>
      <c r="I3" s="446"/>
      <c r="J3" s="446"/>
      <c r="K3" s="446"/>
      <c r="L3" s="446"/>
      <c r="M3" s="446"/>
    </row>
    <row r="4" spans="1:13" s="5" customFormat="1">
      <c r="A4" s="448" t="str">
        <f>'1-συμβολαια'!A5</f>
        <v>8ο</v>
      </c>
      <c r="B4" s="445" t="str">
        <f>'1-συμβολαια'!C5</f>
        <v>κληρονομιάς ΑΠΟΔΟΧΗ</v>
      </c>
      <c r="C4" s="316">
        <f>'1-συμβολαια'!D5</f>
        <v>0</v>
      </c>
      <c r="D4" s="316">
        <v>0.5</v>
      </c>
      <c r="E4" s="570">
        <v>39553</v>
      </c>
      <c r="F4" s="445">
        <v>462</v>
      </c>
      <c r="G4" s="445">
        <v>24</v>
      </c>
      <c r="H4" s="316"/>
      <c r="I4" s="445"/>
      <c r="J4" s="445"/>
      <c r="K4" s="445"/>
      <c r="L4" s="445"/>
      <c r="M4" s="445"/>
    </row>
    <row r="5" spans="1:13" s="5" customFormat="1">
      <c r="A5" s="449">
        <f>'1-συμβολαια'!A6</f>
        <v>0</v>
      </c>
      <c r="B5" s="73" t="str">
        <f>'1-συμβολαια'!C6</f>
        <v>διανομή [ = 2/8 μήτηρ &amp; από 3/8 τέκνα</v>
      </c>
      <c r="C5" s="330">
        <f>'1-συμβολαια'!D6</f>
        <v>28896.59</v>
      </c>
      <c r="D5" s="330"/>
      <c r="E5" s="332"/>
      <c r="F5" s="73"/>
      <c r="G5" s="73"/>
      <c r="H5" s="330"/>
      <c r="I5" s="390"/>
      <c r="J5" s="73"/>
      <c r="K5" s="73"/>
      <c r="L5" s="73"/>
      <c r="M5" s="73"/>
    </row>
    <row r="6" spans="1:13" s="5" customFormat="1">
      <c r="A6" s="449">
        <f>'1-συμβολαια'!A7</f>
        <v>0</v>
      </c>
      <c r="B6" s="73" t="str">
        <f>'1-συμβολαια'!C7</f>
        <v>εξισορρόπηση διαφοράς διανεμομένων μεριδίων</v>
      </c>
      <c r="C6" s="330">
        <f>'1-συμβολαια'!D7</f>
        <v>666.66</v>
      </c>
      <c r="D6" s="330"/>
      <c r="E6" s="332"/>
      <c r="F6" s="73"/>
      <c r="G6" s="73"/>
      <c r="H6" s="330"/>
      <c r="I6" s="390"/>
      <c r="J6" s="73"/>
      <c r="K6" s="73"/>
      <c r="L6" s="73"/>
      <c r="M6" s="73"/>
    </row>
    <row r="7" spans="1:13" s="5" customFormat="1">
      <c r="A7" s="449">
        <f>'1-συμβολαια'!A8</f>
        <v>0</v>
      </c>
      <c r="B7" s="73" t="str">
        <f>'1-συμβολαια'!C8</f>
        <v>χρησικτησία αγροτεμάχιο 1' = 1968 ΑΝΑΔΑΣΜΟΣ</v>
      </c>
      <c r="C7" s="330">
        <f>'1-συμβολαια'!D8</f>
        <v>333.33</v>
      </c>
      <c r="D7" s="330"/>
      <c r="E7" s="332"/>
      <c r="F7" s="73"/>
      <c r="G7" s="73"/>
      <c r="H7" s="330"/>
      <c r="I7" s="390"/>
      <c r="J7" s="73"/>
      <c r="K7" s="73"/>
      <c r="L7" s="73"/>
      <c r="M7" s="73"/>
    </row>
    <row r="8" spans="1:13" s="5" customFormat="1" ht="12" thickBot="1">
      <c r="A8" s="450">
        <f>'1-συμβολαια'!A9</f>
        <v>0</v>
      </c>
      <c r="B8" s="446" t="str">
        <f>'1-συμβολαια'!C9</f>
        <v xml:space="preserve">χρησικτησία αγροτεμαχίων 2' έως 10' = 1961 πατρός ΔΩΡΕΑ άτυπος </v>
      </c>
      <c r="C8" s="391">
        <f>'1-συμβολαια'!D9</f>
        <v>2222.2199999999998</v>
      </c>
      <c r="D8" s="391"/>
      <c r="E8" s="425"/>
      <c r="F8" s="446"/>
      <c r="G8" s="446"/>
      <c r="H8" s="391"/>
      <c r="I8" s="451"/>
      <c r="J8" s="446"/>
      <c r="K8" s="446"/>
      <c r="L8" s="446"/>
      <c r="M8" s="446"/>
    </row>
    <row r="9" spans="1:13" s="5" customFormat="1">
      <c r="A9" s="260" t="str">
        <f>'1-συμβολαια'!A10</f>
        <v>9ο</v>
      </c>
      <c r="B9" s="445" t="str">
        <f>'1-συμβολαια'!C10</f>
        <v>γονική</v>
      </c>
      <c r="C9" s="316">
        <f>'1-συμβολαια'!D10</f>
        <v>1292.5</v>
      </c>
      <c r="D9" s="316">
        <v>3</v>
      </c>
      <c r="E9" s="570">
        <v>40010</v>
      </c>
      <c r="F9" s="445">
        <v>483</v>
      </c>
      <c r="G9" s="445">
        <v>44</v>
      </c>
      <c r="H9" s="572">
        <v>346.06</v>
      </c>
      <c r="I9" s="489" t="s">
        <v>564</v>
      </c>
      <c r="J9" s="445"/>
      <c r="K9" s="445"/>
      <c r="L9" s="445"/>
      <c r="M9" s="445"/>
    </row>
    <row r="10" spans="1:13" s="5" customFormat="1">
      <c r="A10" s="264" t="str">
        <f>'1-συμβολαια'!A11</f>
        <v>10ο</v>
      </c>
      <c r="B10" s="73" t="str">
        <f>'1-συμβολαια'!C11</f>
        <v>δωρεά</v>
      </c>
      <c r="C10" s="330">
        <f>'1-συμβολαια'!D11</f>
        <v>1938.73</v>
      </c>
      <c r="D10" s="316">
        <v>3</v>
      </c>
      <c r="E10" s="570">
        <v>40010</v>
      </c>
      <c r="F10" s="445">
        <v>483</v>
      </c>
      <c r="G10" s="73">
        <v>45</v>
      </c>
      <c r="H10" s="573"/>
      <c r="I10" s="489" t="s">
        <v>564</v>
      </c>
      <c r="J10" s="73"/>
      <c r="K10" s="73"/>
      <c r="L10" s="73"/>
      <c r="M10" s="73"/>
    </row>
    <row r="11" spans="1:13" s="5" customFormat="1">
      <c r="A11" s="264" t="str">
        <f>'1-συμβολαια'!A12</f>
        <v>11ο</v>
      </c>
      <c r="B11" s="73" t="str">
        <f>'1-συμβολαια'!C12</f>
        <v>γονική</v>
      </c>
      <c r="C11" s="330">
        <f>'1-συμβολαια'!D12</f>
        <v>8416.32</v>
      </c>
      <c r="D11" s="316">
        <v>3</v>
      </c>
      <c r="E11" s="570">
        <v>40010</v>
      </c>
      <c r="F11" s="445">
        <v>483</v>
      </c>
      <c r="G11" s="73">
        <v>46</v>
      </c>
      <c r="H11" s="573"/>
      <c r="I11" s="489" t="s">
        <v>564</v>
      </c>
      <c r="J11" s="73"/>
      <c r="K11" s="73"/>
      <c r="L11" s="73"/>
      <c r="M11" s="73"/>
    </row>
    <row r="12" spans="1:13" s="5" customFormat="1">
      <c r="A12" s="264" t="str">
        <f>'1-συμβολαια'!A13</f>
        <v>12ο</v>
      </c>
      <c r="B12" s="73" t="str">
        <f>'1-συμβολαια'!C13</f>
        <v>δωρεά</v>
      </c>
      <c r="C12" s="330">
        <f>'1-συμβολαια'!D13</f>
        <v>12624.63</v>
      </c>
      <c r="D12" s="316">
        <v>3</v>
      </c>
      <c r="E12" s="570">
        <v>40010</v>
      </c>
      <c r="F12" s="445">
        <v>483</v>
      </c>
      <c r="G12" s="73">
        <v>47</v>
      </c>
      <c r="H12" s="573"/>
      <c r="I12" s="489" t="s">
        <v>564</v>
      </c>
      <c r="J12" s="73"/>
      <c r="K12" s="73"/>
      <c r="L12" s="73"/>
      <c r="M12" s="73"/>
    </row>
    <row r="13" spans="1:13">
      <c r="A13" s="605" t="str">
        <f>'1-συμβολαια'!A14</f>
        <v>σύνολο</v>
      </c>
      <c r="B13" s="606"/>
      <c r="C13" s="607"/>
      <c r="D13" s="562">
        <f>SUM(D2:D12)</f>
        <v>12.5</v>
      </c>
    </row>
    <row r="15" spans="1:13">
      <c r="C15" s="2" t="s">
        <v>392</v>
      </c>
      <c r="D15" s="2"/>
    </row>
  </sheetData>
  <mergeCells count="3">
    <mergeCell ref="A13:C13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8"/>
  <sheetViews>
    <sheetView workbookViewId="0">
      <pane ySplit="2" topLeftCell="A3" activePane="bottomLeft" state="frozen"/>
      <selection pane="bottomLeft" activeCell="B31" sqref="B31"/>
    </sheetView>
  </sheetViews>
  <sheetFormatPr defaultRowHeight="11.25"/>
  <cols>
    <col min="1" max="1" width="7" style="8" customWidth="1"/>
    <col min="2" max="2" width="68.5703125" style="90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15" width="9.28515625" style="80" customWidth="1"/>
    <col min="16" max="21" width="8" style="80" customWidth="1"/>
    <col min="22" max="22" width="18.7109375" style="80" customWidth="1"/>
    <col min="23" max="23" width="8" style="80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618" t="s">
        <v>1</v>
      </c>
      <c r="B1" s="620" t="s">
        <v>0</v>
      </c>
      <c r="C1" s="622" t="s">
        <v>7</v>
      </c>
      <c r="D1" s="616" t="s">
        <v>460</v>
      </c>
      <c r="E1" s="617"/>
      <c r="F1" s="617"/>
      <c r="G1" s="617"/>
      <c r="H1" s="617"/>
      <c r="I1" s="617"/>
      <c r="J1" s="617"/>
      <c r="K1" s="617"/>
      <c r="L1" s="624" t="s">
        <v>92</v>
      </c>
      <c r="M1" s="625"/>
      <c r="N1" s="626" t="s">
        <v>254</v>
      </c>
      <c r="O1" s="612"/>
      <c r="P1" s="612"/>
      <c r="Q1" s="612"/>
      <c r="R1" s="612"/>
      <c r="S1" s="612"/>
      <c r="T1" s="612"/>
      <c r="U1" s="612"/>
      <c r="V1" s="612"/>
      <c r="W1" s="613"/>
    </row>
    <row r="2" spans="1:23" s="11" customFormat="1" ht="24" customHeight="1" thickBot="1">
      <c r="A2" s="619"/>
      <c r="B2" s="621"/>
      <c r="C2" s="623"/>
      <c r="D2" s="59" t="s">
        <v>78</v>
      </c>
      <c r="E2" s="59" t="s">
        <v>79</v>
      </c>
      <c r="F2" s="59" t="s">
        <v>364</v>
      </c>
      <c r="G2" s="59" t="s">
        <v>23</v>
      </c>
      <c r="H2" s="205" t="s">
        <v>354</v>
      </c>
      <c r="I2" s="205" t="s">
        <v>355</v>
      </c>
      <c r="J2" s="205" t="s">
        <v>372</v>
      </c>
      <c r="K2" s="206" t="s">
        <v>357</v>
      </c>
      <c r="L2" s="208" t="s">
        <v>373</v>
      </c>
      <c r="M2" s="207" t="s">
        <v>374</v>
      </c>
      <c r="N2" s="627"/>
      <c r="O2" s="614"/>
      <c r="P2" s="614"/>
      <c r="Q2" s="614"/>
      <c r="R2" s="614"/>
      <c r="S2" s="614"/>
      <c r="T2" s="614"/>
      <c r="U2" s="614"/>
      <c r="V2" s="614"/>
      <c r="W2" s="615"/>
    </row>
    <row r="3" spans="1:23" s="5" customFormat="1">
      <c r="A3" s="498" t="str">
        <f>'1-συμβολαια'!A3</f>
        <v>7ο</v>
      </c>
      <c r="B3" s="321" t="str">
        <f>'1-συμβολαια'!C3</f>
        <v>*γονική ΨΙΛΗΣ ΚΥΡΙΟΤΗΤΑΣ [αγροτεμάχιο ;;;??? Πρίνος -'';;;???'' 580μ2</v>
      </c>
      <c r="C3" s="323">
        <f>'1-συμβολαια'!D3</f>
        <v>1874.74</v>
      </c>
      <c r="D3" s="314"/>
      <c r="E3" s="314">
        <v>12</v>
      </c>
      <c r="F3" s="314">
        <f t="shared" ref="F3:F4" si="0">C3*1.2%</f>
        <v>22.496880000000001</v>
      </c>
      <c r="G3" s="314">
        <f t="shared" ref="G3:G6" si="1">D3+E3+F3</f>
        <v>34.496880000000004</v>
      </c>
      <c r="H3" s="315">
        <f t="shared" ref="H3:H6" si="2">F3*9%</f>
        <v>2.0247191999999998</v>
      </c>
      <c r="I3" s="315">
        <f t="shared" ref="I3:I6" si="3">(D3+E3)*5%</f>
        <v>0.60000000000000009</v>
      </c>
      <c r="J3" s="315">
        <f t="shared" ref="J3:J6" si="4">G3*5%</f>
        <v>1.7248440000000003</v>
      </c>
      <c r="K3" s="323">
        <f t="shared" ref="K3:K6" si="5">G3*1%</f>
        <v>0.34496880000000008</v>
      </c>
      <c r="L3" s="323">
        <f t="shared" ref="L3:L6" si="6">G3-N3</f>
        <v>29.802348000000002</v>
      </c>
      <c r="M3" s="323">
        <f t="shared" ref="M3:M6" si="7">D3+E3</f>
        <v>12</v>
      </c>
      <c r="N3" s="323">
        <f t="shared" ref="N3:N6" si="8">H3+I3+J3+K3</f>
        <v>4.6945320000000006</v>
      </c>
      <c r="O3" s="500" t="s">
        <v>390</v>
      </c>
      <c r="P3" s="324"/>
      <c r="Q3" s="324"/>
      <c r="R3" s="324"/>
      <c r="S3" s="324" t="s">
        <v>566</v>
      </c>
      <c r="T3" s="262"/>
      <c r="U3" s="262"/>
      <c r="V3" s="262"/>
      <c r="W3" s="262"/>
    </row>
    <row r="4" spans="1:23" s="5" customFormat="1" ht="11.25" customHeight="1" thickBot="1">
      <c r="A4" s="485">
        <f>'1-συμβολαια'!A4</f>
        <v>0</v>
      </c>
      <c r="B4" s="389" t="str">
        <f>'1-συμβολαια'!C4</f>
        <v>ΧΡΗΣΙΚΤΗΣΙΑ αγροτεμαχίου = 1961 μητρος ΔΩΡΕΑ άτυπη</v>
      </c>
      <c r="C4" s="388">
        <f>'1-συμβολαια'!D4</f>
        <v>1111</v>
      </c>
      <c r="D4" s="442"/>
      <c r="E4" s="442">
        <v>12</v>
      </c>
      <c r="F4" s="442">
        <f t="shared" si="0"/>
        <v>13.332000000000001</v>
      </c>
      <c r="G4" s="442">
        <f t="shared" si="1"/>
        <v>25.332000000000001</v>
      </c>
      <c r="H4" s="442">
        <f t="shared" si="2"/>
        <v>1.1998800000000001</v>
      </c>
      <c r="I4" s="442">
        <f t="shared" si="3"/>
        <v>0.60000000000000009</v>
      </c>
      <c r="J4" s="442">
        <f t="shared" si="4"/>
        <v>1.2666000000000002</v>
      </c>
      <c r="K4" s="388">
        <f t="shared" si="5"/>
        <v>0.25331999999999999</v>
      </c>
      <c r="L4" s="388">
        <f t="shared" si="6"/>
        <v>22.0122</v>
      </c>
      <c r="M4" s="388">
        <f t="shared" si="7"/>
        <v>12</v>
      </c>
      <c r="N4" s="388">
        <f t="shared" si="8"/>
        <v>3.3198000000000003</v>
      </c>
      <c r="O4" s="502" t="s">
        <v>390</v>
      </c>
      <c r="P4" s="502" t="s">
        <v>391</v>
      </c>
      <c r="Q4" s="502"/>
      <c r="R4" s="502"/>
      <c r="S4" s="502"/>
      <c r="T4" s="503"/>
      <c r="U4" s="503"/>
      <c r="V4" s="262"/>
      <c r="W4" s="262"/>
    </row>
    <row r="5" spans="1:23" s="5" customFormat="1">
      <c r="A5" s="396" t="str">
        <f>'1-συμβολαια'!A5</f>
        <v>8ο</v>
      </c>
      <c r="B5" s="331" t="str">
        <f>'1-συμβολαια'!C5</f>
        <v>κληρονομιάς ΑΠΟΔΟΧΗ</v>
      </c>
      <c r="C5" s="323">
        <f>'1-συμβολαια'!D5</f>
        <v>0</v>
      </c>
      <c r="D5" s="315">
        <v>36.700000000000003</v>
      </c>
      <c r="E5" s="315"/>
      <c r="F5" s="315">
        <f t="shared" ref="F5:F13" si="9">C5*1.2%</f>
        <v>0</v>
      </c>
      <c r="G5" s="315">
        <f t="shared" si="1"/>
        <v>36.700000000000003</v>
      </c>
      <c r="H5" s="315">
        <f t="shared" si="2"/>
        <v>0</v>
      </c>
      <c r="I5" s="315">
        <f t="shared" si="3"/>
        <v>1.8350000000000002</v>
      </c>
      <c r="J5" s="315">
        <f t="shared" si="4"/>
        <v>1.8350000000000002</v>
      </c>
      <c r="K5" s="323">
        <f t="shared" si="5"/>
        <v>0.36700000000000005</v>
      </c>
      <c r="L5" s="323">
        <f t="shared" si="6"/>
        <v>32.663000000000004</v>
      </c>
      <c r="M5" s="323">
        <f t="shared" si="7"/>
        <v>36.700000000000003</v>
      </c>
      <c r="N5" s="323">
        <f t="shared" si="8"/>
        <v>4.0370000000000008</v>
      </c>
      <c r="O5" s="500" t="s">
        <v>390</v>
      </c>
      <c r="P5" s="500"/>
      <c r="Q5" s="500"/>
      <c r="R5" s="500"/>
      <c r="S5" s="324" t="s">
        <v>566</v>
      </c>
      <c r="T5" s="501"/>
      <c r="U5" s="501"/>
      <c r="V5" s="262"/>
      <c r="W5" s="262"/>
    </row>
    <row r="6" spans="1:23" s="5" customFormat="1">
      <c r="A6" s="454">
        <f>'1-συμβολαια'!A6</f>
        <v>0</v>
      </c>
      <c r="B6" s="321" t="str">
        <f>'1-συμβολαια'!C6</f>
        <v>διανομή [ = 2/8 μήτηρ &amp; από 3/8 τέκνα</v>
      </c>
      <c r="C6" s="313">
        <f>'1-συμβολαια'!D6</f>
        <v>28896.59</v>
      </c>
      <c r="D6" s="314"/>
      <c r="E6" s="314">
        <v>12</v>
      </c>
      <c r="F6" s="314">
        <f t="shared" si="9"/>
        <v>346.75907999999998</v>
      </c>
      <c r="G6" s="314">
        <f t="shared" si="1"/>
        <v>358.75907999999998</v>
      </c>
      <c r="H6" s="314">
        <f t="shared" si="2"/>
        <v>31.208317199999996</v>
      </c>
      <c r="I6" s="314">
        <f t="shared" si="3"/>
        <v>0.60000000000000009</v>
      </c>
      <c r="J6" s="314">
        <f t="shared" si="4"/>
        <v>17.937954000000001</v>
      </c>
      <c r="K6" s="313">
        <f t="shared" si="5"/>
        <v>3.5875908000000001</v>
      </c>
      <c r="L6" s="313">
        <f t="shared" si="6"/>
        <v>305.42521799999997</v>
      </c>
      <c r="M6" s="313">
        <f t="shared" si="7"/>
        <v>12</v>
      </c>
      <c r="N6" s="313">
        <f t="shared" si="8"/>
        <v>53.333861999999996</v>
      </c>
      <c r="O6" s="324" t="s">
        <v>390</v>
      </c>
      <c r="P6" s="324" t="s">
        <v>391</v>
      </c>
      <c r="Q6" s="324"/>
      <c r="R6" s="324"/>
      <c r="S6" s="324"/>
      <c r="T6" s="262"/>
      <c r="U6" s="262"/>
      <c r="V6" s="262"/>
      <c r="W6" s="262"/>
    </row>
    <row r="7" spans="1:23" s="5" customFormat="1" ht="11.25" customHeight="1">
      <c r="A7" s="454">
        <f>'1-συμβολαια'!A7</f>
        <v>0</v>
      </c>
      <c r="B7" s="321" t="str">
        <f>'1-συμβολαια'!C7</f>
        <v>εξισορρόπηση διαφοράς διανεμομένων μεριδίων</v>
      </c>
      <c r="C7" s="313">
        <f>'1-συμβολαια'!D7</f>
        <v>666.66</v>
      </c>
      <c r="D7" s="314"/>
      <c r="E7" s="314">
        <v>12</v>
      </c>
      <c r="F7" s="314">
        <f t="shared" si="9"/>
        <v>7.9999199999999995</v>
      </c>
      <c r="G7" s="314">
        <f t="shared" ref="G7:G13" si="10">D7+E7+F7</f>
        <v>19.999919999999999</v>
      </c>
      <c r="H7" s="314">
        <f t="shared" ref="H7:H13" si="11">F7*9%</f>
        <v>0.71999279999999988</v>
      </c>
      <c r="I7" s="314">
        <f t="shared" ref="I7:I13" si="12">(D7+E7)*5%</f>
        <v>0.60000000000000009</v>
      </c>
      <c r="J7" s="314">
        <f t="shared" ref="J7:J13" si="13">G7*5%</f>
        <v>0.999996</v>
      </c>
      <c r="K7" s="313">
        <f t="shared" ref="K7:K13" si="14">G7*1%</f>
        <v>0.19999919999999999</v>
      </c>
      <c r="L7" s="313">
        <f t="shared" ref="L7:L13" si="15">G7-N7</f>
        <v>17.479931999999998</v>
      </c>
      <c r="M7" s="313">
        <f t="shared" ref="M7:M13" si="16">D7+E7</f>
        <v>12</v>
      </c>
      <c r="N7" s="313">
        <f t="shared" ref="N7:N13" si="17">H7+I7+J7+K7</f>
        <v>2.5199880000000001</v>
      </c>
      <c r="O7" s="324" t="s">
        <v>390</v>
      </c>
      <c r="P7" s="324" t="s">
        <v>391</v>
      </c>
      <c r="Q7" s="324"/>
      <c r="R7" s="324"/>
      <c r="S7" s="324"/>
      <c r="T7" s="262"/>
      <c r="U7" s="262"/>
      <c r="V7" s="262"/>
      <c r="W7" s="262"/>
    </row>
    <row r="8" spans="1:23" s="5" customFormat="1" ht="11.25" customHeight="1">
      <c r="A8" s="454">
        <f>'1-συμβολαια'!A8</f>
        <v>0</v>
      </c>
      <c r="B8" s="321" t="str">
        <f>'1-συμβολαια'!C8</f>
        <v>χρησικτησία αγροτεμάχιο 1' = 1968 ΑΝΑΔΑΣΜΟΣ</v>
      </c>
      <c r="C8" s="313">
        <f>'1-συμβολαια'!D8</f>
        <v>333.33</v>
      </c>
      <c r="D8" s="314"/>
      <c r="E8" s="314">
        <v>12</v>
      </c>
      <c r="F8" s="314">
        <f t="shared" si="9"/>
        <v>3.9999599999999997</v>
      </c>
      <c r="G8" s="314">
        <f t="shared" si="10"/>
        <v>15.99996</v>
      </c>
      <c r="H8" s="314">
        <f t="shared" si="11"/>
        <v>0.35999639999999994</v>
      </c>
      <c r="I8" s="314">
        <f t="shared" si="12"/>
        <v>0.60000000000000009</v>
      </c>
      <c r="J8" s="314">
        <f t="shared" si="13"/>
        <v>0.79999799999999999</v>
      </c>
      <c r="K8" s="313">
        <f t="shared" si="14"/>
        <v>0.15999959999999999</v>
      </c>
      <c r="L8" s="313">
        <f t="shared" si="15"/>
        <v>14.079965999999999</v>
      </c>
      <c r="M8" s="313">
        <f t="shared" si="16"/>
        <v>12</v>
      </c>
      <c r="N8" s="313">
        <f t="shared" si="17"/>
        <v>1.919994</v>
      </c>
      <c r="O8" s="324" t="s">
        <v>390</v>
      </c>
      <c r="P8" s="324" t="s">
        <v>391</v>
      </c>
      <c r="Q8" s="324"/>
      <c r="R8" s="324"/>
      <c r="S8" s="324"/>
      <c r="T8" s="262"/>
      <c r="U8" s="262"/>
      <c r="V8" s="262"/>
      <c r="W8" s="262"/>
    </row>
    <row r="9" spans="1:23" s="5" customFormat="1" ht="11.25" customHeight="1" thickBot="1">
      <c r="A9" s="392">
        <f>'1-συμβολαια'!A9</f>
        <v>0</v>
      </c>
      <c r="B9" s="389" t="str">
        <f>'1-συμβολαια'!C9</f>
        <v xml:space="preserve">χρησικτησία αγροτεμαχίων 2' έως 10' = 1961 πατρός ΔΩΡΕΑ άτυπος </v>
      </c>
      <c r="C9" s="388">
        <f>'1-συμβολαια'!D9</f>
        <v>2222.2199999999998</v>
      </c>
      <c r="D9" s="442"/>
      <c r="E9" s="442">
        <v>12</v>
      </c>
      <c r="F9" s="442">
        <f t="shared" si="9"/>
        <v>26.666639999999997</v>
      </c>
      <c r="G9" s="442">
        <f t="shared" si="10"/>
        <v>38.666640000000001</v>
      </c>
      <c r="H9" s="442">
        <f t="shared" si="11"/>
        <v>2.3999975999999998</v>
      </c>
      <c r="I9" s="442">
        <f t="shared" si="12"/>
        <v>0.60000000000000009</v>
      </c>
      <c r="J9" s="442">
        <f t="shared" si="13"/>
        <v>1.9333320000000001</v>
      </c>
      <c r="K9" s="388">
        <f t="shared" si="14"/>
        <v>0.38666640000000002</v>
      </c>
      <c r="L9" s="388">
        <f t="shared" si="15"/>
        <v>33.346643999999998</v>
      </c>
      <c r="M9" s="388">
        <f t="shared" si="16"/>
        <v>12</v>
      </c>
      <c r="N9" s="388">
        <f t="shared" si="17"/>
        <v>5.3199960000000006</v>
      </c>
      <c r="O9" s="502" t="s">
        <v>390</v>
      </c>
      <c r="P9" s="502" t="s">
        <v>391</v>
      </c>
      <c r="Q9" s="502"/>
      <c r="R9" s="502"/>
      <c r="S9" s="324"/>
      <c r="T9" s="262"/>
      <c r="U9" s="262"/>
      <c r="V9" s="262"/>
      <c r="W9" s="262"/>
    </row>
    <row r="10" spans="1:23" s="5" customFormat="1" ht="11.25" customHeight="1">
      <c r="A10" s="560" t="str">
        <f>'1-συμβολαια'!A10</f>
        <v>9ο</v>
      </c>
      <c r="B10" s="331" t="str">
        <f>'1-συμβολαια'!C10</f>
        <v>γονική</v>
      </c>
      <c r="C10" s="323">
        <f>'1-συμβολαια'!D10</f>
        <v>1292.5</v>
      </c>
      <c r="D10" s="315"/>
      <c r="E10" s="315">
        <v>12</v>
      </c>
      <c r="F10" s="315">
        <f t="shared" si="9"/>
        <v>15.51</v>
      </c>
      <c r="G10" s="315">
        <f t="shared" si="10"/>
        <v>27.509999999999998</v>
      </c>
      <c r="H10" s="315">
        <f t="shared" si="11"/>
        <v>1.3958999999999999</v>
      </c>
      <c r="I10" s="315">
        <f t="shared" si="12"/>
        <v>0.60000000000000009</v>
      </c>
      <c r="J10" s="315">
        <f t="shared" si="13"/>
        <v>1.3754999999999999</v>
      </c>
      <c r="K10" s="323">
        <f t="shared" si="14"/>
        <v>0.27510000000000001</v>
      </c>
      <c r="L10" s="323">
        <f t="shared" si="15"/>
        <v>23.863499999999998</v>
      </c>
      <c r="M10" s="323">
        <f t="shared" si="16"/>
        <v>12</v>
      </c>
      <c r="N10" s="323">
        <f t="shared" si="17"/>
        <v>3.6465000000000001</v>
      </c>
      <c r="O10" s="500" t="s">
        <v>390</v>
      </c>
      <c r="P10" s="500"/>
      <c r="Q10" s="500"/>
      <c r="R10" s="500"/>
      <c r="S10" s="324" t="s">
        <v>566</v>
      </c>
      <c r="T10" s="262"/>
      <c r="U10" s="262"/>
      <c r="V10" s="262"/>
      <c r="W10" s="262"/>
    </row>
    <row r="11" spans="1:23" s="5" customFormat="1" ht="11.25" customHeight="1">
      <c r="A11" s="561" t="str">
        <f>'1-συμβολαια'!A11</f>
        <v>10ο</v>
      </c>
      <c r="B11" s="321" t="str">
        <f>'1-συμβολαια'!C11</f>
        <v>δωρεά</v>
      </c>
      <c r="C11" s="313">
        <f>'1-συμβολαια'!D11</f>
        <v>1938.73</v>
      </c>
      <c r="D11" s="314"/>
      <c r="E11" s="314">
        <v>12</v>
      </c>
      <c r="F11" s="314">
        <f t="shared" si="9"/>
        <v>23.264759999999999</v>
      </c>
      <c r="G11" s="314">
        <f t="shared" si="10"/>
        <v>35.264759999999995</v>
      </c>
      <c r="H11" s="314">
        <f t="shared" si="11"/>
        <v>2.0938284</v>
      </c>
      <c r="I11" s="314">
        <f t="shared" si="12"/>
        <v>0.60000000000000009</v>
      </c>
      <c r="J11" s="314">
        <f t="shared" si="13"/>
        <v>1.7632379999999999</v>
      </c>
      <c r="K11" s="313">
        <f t="shared" si="14"/>
        <v>0.35264759999999995</v>
      </c>
      <c r="L11" s="313">
        <f t="shared" si="15"/>
        <v>30.455045999999996</v>
      </c>
      <c r="M11" s="313">
        <f t="shared" si="16"/>
        <v>12</v>
      </c>
      <c r="N11" s="313">
        <f t="shared" si="17"/>
        <v>4.8097140000000005</v>
      </c>
      <c r="O11" s="324" t="s">
        <v>390</v>
      </c>
      <c r="P11" s="324" t="s">
        <v>391</v>
      </c>
      <c r="Q11" s="324"/>
      <c r="R11" s="324"/>
      <c r="S11" s="324" t="s">
        <v>566</v>
      </c>
      <c r="T11" s="262"/>
      <c r="U11" s="262"/>
      <c r="V11" s="262"/>
      <c r="W11" s="262"/>
    </row>
    <row r="12" spans="1:23" s="5" customFormat="1" ht="11.25" customHeight="1">
      <c r="A12" s="338" t="str">
        <f>'1-συμβολαια'!A12</f>
        <v>11ο</v>
      </c>
      <c r="B12" s="321" t="str">
        <f>'1-συμβολαια'!C12</f>
        <v>γονική</v>
      </c>
      <c r="C12" s="313">
        <f>'1-συμβολαια'!D12</f>
        <v>8416.32</v>
      </c>
      <c r="D12" s="314"/>
      <c r="E12" s="314">
        <v>12</v>
      </c>
      <c r="F12" s="314">
        <f t="shared" si="9"/>
        <v>100.99584</v>
      </c>
      <c r="G12" s="314">
        <f t="shared" si="10"/>
        <v>112.99584</v>
      </c>
      <c r="H12" s="314">
        <f t="shared" si="11"/>
        <v>9.0896255999999997</v>
      </c>
      <c r="I12" s="314">
        <f t="shared" si="12"/>
        <v>0.60000000000000009</v>
      </c>
      <c r="J12" s="314">
        <f t="shared" si="13"/>
        <v>5.6497920000000006</v>
      </c>
      <c r="K12" s="313">
        <f t="shared" si="14"/>
        <v>1.1299584</v>
      </c>
      <c r="L12" s="313">
        <f t="shared" si="15"/>
        <v>96.526464000000004</v>
      </c>
      <c r="M12" s="313">
        <f t="shared" si="16"/>
        <v>12</v>
      </c>
      <c r="N12" s="313">
        <f t="shared" si="17"/>
        <v>16.469376</v>
      </c>
      <c r="O12" s="324" t="s">
        <v>390</v>
      </c>
      <c r="P12" s="324" t="s">
        <v>391</v>
      </c>
      <c r="Q12" s="324"/>
      <c r="R12" s="324"/>
      <c r="S12" s="324" t="s">
        <v>566</v>
      </c>
      <c r="T12" s="262"/>
      <c r="U12" s="262"/>
      <c r="V12" s="262"/>
      <c r="W12" s="262"/>
    </row>
    <row r="13" spans="1:23" s="5" customFormat="1" ht="11.25" customHeight="1">
      <c r="A13" s="338" t="str">
        <f>'1-συμβολαια'!A13</f>
        <v>12ο</v>
      </c>
      <c r="B13" s="321" t="str">
        <f>'1-συμβολαια'!C13</f>
        <v>δωρεά</v>
      </c>
      <c r="C13" s="313">
        <f>'1-συμβολαια'!D13</f>
        <v>12624.63</v>
      </c>
      <c r="D13" s="314"/>
      <c r="E13" s="314">
        <v>12</v>
      </c>
      <c r="F13" s="314">
        <f t="shared" si="9"/>
        <v>151.49555999999998</v>
      </c>
      <c r="G13" s="314">
        <f t="shared" si="10"/>
        <v>163.49555999999998</v>
      </c>
      <c r="H13" s="314">
        <f t="shared" si="11"/>
        <v>13.634600399999998</v>
      </c>
      <c r="I13" s="314">
        <f t="shared" si="12"/>
        <v>0.60000000000000009</v>
      </c>
      <c r="J13" s="314">
        <f t="shared" si="13"/>
        <v>8.1747779999999999</v>
      </c>
      <c r="K13" s="313">
        <f t="shared" si="14"/>
        <v>1.6349555999999998</v>
      </c>
      <c r="L13" s="313">
        <f t="shared" si="15"/>
        <v>139.45122599999999</v>
      </c>
      <c r="M13" s="313">
        <f t="shared" si="16"/>
        <v>12</v>
      </c>
      <c r="N13" s="313">
        <f t="shared" si="17"/>
        <v>24.044333999999999</v>
      </c>
      <c r="O13" s="324" t="s">
        <v>390</v>
      </c>
      <c r="P13" s="324" t="s">
        <v>391</v>
      </c>
      <c r="Q13" s="324"/>
      <c r="R13" s="324"/>
      <c r="S13" s="324" t="s">
        <v>566</v>
      </c>
      <c r="T13" s="262"/>
      <c r="U13" s="262"/>
      <c r="V13" s="262"/>
      <c r="W13" s="262"/>
    </row>
    <row r="14" spans="1:23">
      <c r="A14" s="594" t="s">
        <v>56</v>
      </c>
      <c r="B14" s="595"/>
      <c r="C14" s="595"/>
      <c r="D14" s="400">
        <f t="shared" ref="D14:N14" si="18">SUM(D3:D13)</f>
        <v>36.700000000000003</v>
      </c>
      <c r="E14" s="400">
        <f t="shared" si="18"/>
        <v>120</v>
      </c>
      <c r="F14" s="400">
        <f t="shared" si="18"/>
        <v>712.52063999999984</v>
      </c>
      <c r="G14" s="400">
        <f t="shared" si="18"/>
        <v>869.22064</v>
      </c>
      <c r="H14" s="400">
        <f t="shared" si="18"/>
        <v>64.126857599999994</v>
      </c>
      <c r="I14" s="400">
        <f t="shared" si="18"/>
        <v>7.8349999999999991</v>
      </c>
      <c r="J14" s="400">
        <f t="shared" si="18"/>
        <v>43.461032000000003</v>
      </c>
      <c r="K14" s="400">
        <f t="shared" si="18"/>
        <v>8.6922063999999999</v>
      </c>
      <c r="L14" s="400">
        <f t="shared" si="18"/>
        <v>745.10554400000001</v>
      </c>
      <c r="M14" s="400">
        <f t="shared" si="18"/>
        <v>156.69999999999999</v>
      </c>
      <c r="N14" s="400">
        <f t="shared" si="18"/>
        <v>124.11509599999999</v>
      </c>
    </row>
    <row r="15" spans="1:23">
      <c r="K15" s="8"/>
      <c r="O15" s="123"/>
      <c r="P15" s="123"/>
      <c r="Q15" s="123"/>
      <c r="R15" s="123"/>
      <c r="S15" s="123"/>
      <c r="T15" s="123"/>
      <c r="U15" s="123"/>
      <c r="V15" s="123"/>
    </row>
    <row r="16" spans="1:23">
      <c r="J16" s="192">
        <v>0.15</v>
      </c>
      <c r="K16" s="318" t="s">
        <v>383</v>
      </c>
      <c r="O16" s="153" t="s">
        <v>375</v>
      </c>
      <c r="P16" s="123"/>
      <c r="Q16" s="123"/>
      <c r="R16" s="123"/>
      <c r="S16" s="123"/>
      <c r="T16" s="123"/>
      <c r="U16" s="123"/>
      <c r="V16" s="132"/>
    </row>
    <row r="17" spans="2:23">
      <c r="O17" s="132"/>
      <c r="P17" s="123" t="s">
        <v>376</v>
      </c>
      <c r="Q17" s="132"/>
      <c r="R17" s="132"/>
      <c r="S17" s="132"/>
      <c r="T17" s="132"/>
      <c r="U17" s="132"/>
      <c r="V17" s="132"/>
    </row>
    <row r="18" spans="2:23">
      <c r="O18" s="132"/>
      <c r="P18" s="132"/>
      <c r="Q18" s="123" t="s">
        <v>377</v>
      </c>
      <c r="R18" s="132"/>
      <c r="S18" s="132"/>
      <c r="T18" s="132"/>
      <c r="U18" s="132"/>
      <c r="V18" s="132"/>
    </row>
    <row r="19" spans="2:23">
      <c r="O19" s="132"/>
      <c r="P19" s="123"/>
      <c r="Q19" s="132"/>
      <c r="R19" s="153" t="s">
        <v>378</v>
      </c>
      <c r="S19" s="132"/>
      <c r="T19" s="123"/>
      <c r="U19" s="123"/>
      <c r="V19" s="123"/>
      <c r="W19" s="123"/>
    </row>
    <row r="20" spans="2:23">
      <c r="O20" s="132"/>
      <c r="P20" s="123"/>
      <c r="Q20" s="132"/>
      <c r="R20" s="132"/>
      <c r="S20" s="123" t="s">
        <v>379</v>
      </c>
      <c r="T20" s="123"/>
      <c r="U20" s="123"/>
      <c r="V20" s="123"/>
      <c r="W20" s="132"/>
    </row>
    <row r="21" spans="2:23" ht="15.75">
      <c r="B21" s="281" t="s">
        <v>454</v>
      </c>
      <c r="C21" s="281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2"/>
      <c r="S21" s="132"/>
      <c r="T21" s="132"/>
      <c r="U21" s="132"/>
      <c r="V21" s="132"/>
      <c r="W21" s="132"/>
    </row>
    <row r="22" spans="2:23" ht="15.75">
      <c r="B22" s="134"/>
      <c r="C22" s="285" t="s">
        <v>455</v>
      </c>
      <c r="D22" s="285"/>
      <c r="E22" s="285"/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</row>
    <row r="23" spans="2:23" ht="15.75">
      <c r="B23" s="287"/>
      <c r="C23" s="288"/>
      <c r="D23" s="289" t="s">
        <v>456</v>
      </c>
      <c r="E23" s="289"/>
      <c r="F23" s="289"/>
      <c r="G23" s="290"/>
      <c r="H23" s="290"/>
      <c r="I23" s="290"/>
      <c r="J23" s="290"/>
      <c r="K23" s="290"/>
      <c r="L23" s="290"/>
      <c r="N23" s="320">
        <v>0.05</v>
      </c>
      <c r="O23" s="359">
        <v>0.73</v>
      </c>
      <c r="P23" s="319" t="s">
        <v>133</v>
      </c>
      <c r="Q23" s="319"/>
    </row>
    <row r="24" spans="2:23" ht="15.75">
      <c r="B24" s="287"/>
      <c r="C24" s="288"/>
      <c r="D24" s="288"/>
      <c r="E24" s="288"/>
      <c r="F24" s="288"/>
      <c r="G24" s="288"/>
      <c r="H24" s="292"/>
      <c r="I24" s="292"/>
      <c r="J24" s="292"/>
      <c r="K24" s="292"/>
      <c r="L24" s="60"/>
      <c r="N24" s="320">
        <v>0.05</v>
      </c>
      <c r="O24" s="359">
        <v>1.83</v>
      </c>
      <c r="P24" s="319" t="s">
        <v>386</v>
      </c>
      <c r="Q24" s="319"/>
    </row>
    <row r="25" spans="2:23" ht="15.75">
      <c r="B25" s="287"/>
      <c r="C25" s="217" t="s">
        <v>61</v>
      </c>
      <c r="D25" s="217"/>
      <c r="E25" s="286"/>
      <c r="F25" s="292"/>
      <c r="G25" s="292"/>
      <c r="H25" s="292"/>
      <c r="I25" s="293"/>
      <c r="J25" s="288"/>
      <c r="K25" s="288"/>
      <c r="L25" s="292"/>
      <c r="N25" s="320">
        <v>0.05</v>
      </c>
      <c r="O25" s="359">
        <v>3.7</v>
      </c>
      <c r="P25" s="319" t="s">
        <v>387</v>
      </c>
      <c r="Q25" s="319"/>
    </row>
    <row r="26" spans="2:23" ht="15.75">
      <c r="B26" s="287"/>
      <c r="C26" s="288"/>
      <c r="D26" s="209" t="s">
        <v>457</v>
      </c>
      <c r="E26" s="209"/>
      <c r="F26" s="294"/>
      <c r="G26" s="294"/>
      <c r="H26" s="294"/>
      <c r="I26" s="294"/>
      <c r="J26" s="294"/>
      <c r="K26" s="294"/>
      <c r="L26" s="286"/>
      <c r="N26" s="320">
        <v>0.05</v>
      </c>
      <c r="O26" s="193"/>
      <c r="P26" s="319" t="s">
        <v>437</v>
      </c>
      <c r="Q26" s="319"/>
    </row>
    <row r="27" spans="2:23" ht="15.75">
      <c r="B27" s="287"/>
      <c r="C27" s="288"/>
      <c r="D27" s="210" t="s">
        <v>458</v>
      </c>
      <c r="E27" s="210"/>
      <c r="F27" s="292"/>
      <c r="G27" s="294"/>
      <c r="H27" s="294"/>
      <c r="I27" s="294"/>
      <c r="J27" s="294"/>
      <c r="K27" s="294"/>
      <c r="L27" s="294"/>
      <c r="N27" s="320">
        <v>0.05</v>
      </c>
      <c r="O27" s="193"/>
      <c r="P27" s="319" t="s">
        <v>438</v>
      </c>
      <c r="Q27" s="319"/>
      <c r="R27" s="3"/>
      <c r="S27" s="3"/>
      <c r="T27" s="3"/>
      <c r="U27" s="3"/>
    </row>
    <row r="28" spans="2:23" ht="15.75">
      <c r="B28" s="287"/>
      <c r="C28" s="288"/>
      <c r="D28" s="210" t="s">
        <v>459</v>
      </c>
      <c r="E28" s="210"/>
      <c r="F28" s="292"/>
      <c r="G28" s="292"/>
      <c r="H28" s="288"/>
      <c r="I28" s="292"/>
      <c r="J28" s="292"/>
      <c r="K28" s="292"/>
      <c r="L28" s="295"/>
      <c r="N28" s="320"/>
      <c r="O28" s="193"/>
      <c r="P28" s="319"/>
      <c r="Q28" s="319"/>
      <c r="R28" s="3"/>
      <c r="S28" s="3"/>
      <c r="T28" s="3"/>
      <c r="U28" s="3"/>
    </row>
    <row r="29" spans="2:23" ht="15.75">
      <c r="B29" s="287"/>
      <c r="C29" s="288"/>
      <c r="D29" s="211" t="s">
        <v>382</v>
      </c>
      <c r="E29" s="288"/>
      <c r="F29" s="288"/>
      <c r="G29" s="288"/>
      <c r="H29" s="288"/>
      <c r="I29" s="288"/>
      <c r="J29" s="288"/>
      <c r="K29" s="288"/>
      <c r="L29" s="288"/>
      <c r="N29" s="193"/>
      <c r="O29" s="358" t="s">
        <v>496</v>
      </c>
      <c r="P29" s="319" t="s">
        <v>133</v>
      </c>
      <c r="Q29" s="319"/>
      <c r="R29" s="3"/>
      <c r="S29" s="3"/>
      <c r="T29" s="3"/>
      <c r="U29" s="3"/>
    </row>
    <row r="30" spans="2:23">
      <c r="N30" s="193"/>
      <c r="O30" s="358" t="s">
        <v>497</v>
      </c>
      <c r="P30" s="319" t="s">
        <v>134</v>
      </c>
      <c r="Q30" s="319"/>
    </row>
    <row r="31" spans="2:23">
      <c r="B31" s="90" t="s">
        <v>567</v>
      </c>
      <c r="N31" s="193"/>
      <c r="O31" s="358" t="s">
        <v>498</v>
      </c>
      <c r="P31" s="319" t="s">
        <v>135</v>
      </c>
      <c r="Q31" s="319"/>
    </row>
    <row r="32" spans="2:23">
      <c r="N32" s="193"/>
      <c r="O32" s="359">
        <v>2.5</v>
      </c>
      <c r="P32" s="319" t="s">
        <v>388</v>
      </c>
      <c r="Q32" s="319"/>
    </row>
    <row r="33" spans="2:17">
      <c r="D33" s="2"/>
      <c r="N33" s="193"/>
      <c r="O33" s="359">
        <v>3.7</v>
      </c>
      <c r="P33" s="319" t="s">
        <v>389</v>
      </c>
      <c r="Q33" s="319"/>
    </row>
    <row r="34" spans="2:17" ht="15">
      <c r="O34" s="213"/>
      <c r="P34" s="297"/>
      <c r="Q34" s="3"/>
    </row>
    <row r="35" spans="2:17">
      <c r="B35" s="126"/>
      <c r="C35" s="4"/>
      <c r="D35" s="57"/>
      <c r="E35" s="4"/>
      <c r="F35" s="4"/>
      <c r="G35" s="57"/>
      <c r="H35" s="57"/>
      <c r="I35" s="57"/>
      <c r="J35" s="57"/>
      <c r="N35" s="8"/>
      <c r="O35" s="5"/>
      <c r="P35" s="5"/>
    </row>
    <row r="36" spans="2:17">
      <c r="B36" s="91"/>
      <c r="C36" s="4"/>
      <c r="D36" s="57"/>
      <c r="E36" s="4"/>
      <c r="F36" s="4"/>
      <c r="G36" s="57"/>
      <c r="H36" s="57"/>
      <c r="I36" s="57"/>
      <c r="J36" s="57"/>
      <c r="N36" s="8"/>
      <c r="O36" s="5"/>
      <c r="P36" s="5"/>
    </row>
    <row r="37" spans="2:17">
      <c r="N37" s="8"/>
      <c r="O37" s="5"/>
      <c r="P37" s="5"/>
    </row>
    <row r="38" spans="2:17">
      <c r="N38" s="8"/>
      <c r="O38" s="5"/>
      <c r="P38" s="5"/>
    </row>
  </sheetData>
  <mergeCells count="8">
    <mergeCell ref="O1:W2"/>
    <mergeCell ref="D1:K1"/>
    <mergeCell ref="A14:C14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2" topLeftCell="A3" activePane="bottomLeft" state="frozen"/>
      <selection pane="bottomLeft" activeCell="C36" sqref="C36"/>
    </sheetView>
  </sheetViews>
  <sheetFormatPr defaultRowHeight="11.25"/>
  <cols>
    <col min="1" max="1" width="11.5703125" style="3" bestFit="1" customWidth="1"/>
    <col min="2" max="2" width="95.42578125" style="88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637" t="s">
        <v>1</v>
      </c>
      <c r="B1" s="643" t="s">
        <v>0</v>
      </c>
      <c r="C1" s="645" t="s">
        <v>85</v>
      </c>
      <c r="D1" s="639" t="s">
        <v>3</v>
      </c>
      <c r="E1" s="640"/>
      <c r="F1" s="641" t="s">
        <v>462</v>
      </c>
      <c r="G1" s="642"/>
      <c r="H1" s="628" t="s">
        <v>29</v>
      </c>
      <c r="I1" s="629"/>
      <c r="J1" s="629"/>
      <c r="K1" s="629"/>
      <c r="L1" s="629"/>
      <c r="M1" s="629"/>
      <c r="N1" s="630"/>
    </row>
    <row r="2" spans="1:14" s="9" customFormat="1" ht="16.5" thickBot="1">
      <c r="A2" s="638"/>
      <c r="B2" s="644"/>
      <c r="C2" s="646"/>
      <c r="D2" s="47"/>
      <c r="E2" s="58" t="s">
        <v>9</v>
      </c>
      <c r="F2" s="298"/>
      <c r="G2" s="98" t="s">
        <v>9</v>
      </c>
      <c r="H2" s="631"/>
      <c r="I2" s="632"/>
      <c r="J2" s="632"/>
      <c r="K2" s="632"/>
      <c r="L2" s="632"/>
      <c r="M2" s="632"/>
      <c r="N2" s="633"/>
    </row>
    <row r="3" spans="1:14" s="131" customFormat="1" ht="15">
      <c r="A3" s="557" t="str">
        <f>'1-συμβολαια'!A3</f>
        <v>7ο</v>
      </c>
      <c r="B3" s="325" t="str">
        <f>'1-συμβολαια'!C3</f>
        <v>*γονική ΨΙΛΗΣ ΚΥΡΙΟΤΗΤΑΣ [αγροτεμάχιο ;;;??? Πρίνος -'';;;???'' 580μ2</v>
      </c>
      <c r="C3" s="326">
        <f>'1-συμβολαια'!D3</f>
        <v>1874.74</v>
      </c>
      <c r="D3" s="362">
        <v>5</v>
      </c>
      <c r="E3" s="362">
        <v>5</v>
      </c>
      <c r="F3" s="327">
        <f t="shared" ref="F3:G7" si="0">(D3-1)*4</f>
        <v>16</v>
      </c>
      <c r="G3" s="327">
        <f t="shared" si="0"/>
        <v>16</v>
      </c>
      <c r="H3" s="324"/>
      <c r="I3" s="324"/>
      <c r="J3" s="324"/>
      <c r="K3" s="328"/>
      <c r="L3" s="328"/>
      <c r="M3" s="328"/>
      <c r="N3" s="328"/>
    </row>
    <row r="4" spans="1:14" s="131" customFormat="1" ht="15.75" thickBot="1">
      <c r="A4" s="483">
        <f>'1-συμβολαια'!A4</f>
        <v>0</v>
      </c>
      <c r="B4" s="461" t="str">
        <f>'1-συμβολαια'!C4</f>
        <v>ΧΡΗΣΙΚΤΗΣΙΑ αγροτεμαχίου = 1961 μητρος ΔΩΡΕΑ άτυπη</v>
      </c>
      <c r="C4" s="462">
        <f>'1-συμβολαια'!D4</f>
        <v>1111</v>
      </c>
      <c r="D4" s="460">
        <v>5</v>
      </c>
      <c r="E4" s="460"/>
      <c r="F4" s="464">
        <f t="shared" si="0"/>
        <v>16</v>
      </c>
      <c r="G4" s="464">
        <f t="shared" si="0"/>
        <v>-4</v>
      </c>
      <c r="H4" s="324" t="s">
        <v>227</v>
      </c>
      <c r="I4" s="324" t="s">
        <v>136</v>
      </c>
      <c r="J4" s="324"/>
      <c r="K4" s="328"/>
      <c r="L4" s="328"/>
      <c r="M4" s="328"/>
      <c r="N4" s="328"/>
    </row>
    <row r="5" spans="1:14" s="131" customFormat="1" ht="15">
      <c r="A5" s="465" t="str">
        <f>'1-συμβολαια'!A5</f>
        <v>8ο</v>
      </c>
      <c r="B5" s="456" t="str">
        <f>'1-συμβολαια'!C5</f>
        <v>κληρονομιάς ΑΠΟΔΟΧΗ</v>
      </c>
      <c r="C5" s="457">
        <f>'1-συμβολαια'!D5</f>
        <v>0</v>
      </c>
      <c r="D5" s="458">
        <v>4</v>
      </c>
      <c r="E5" s="455">
        <v>4</v>
      </c>
      <c r="F5" s="459">
        <f t="shared" si="0"/>
        <v>12</v>
      </c>
      <c r="G5" s="459">
        <f t="shared" si="0"/>
        <v>12</v>
      </c>
      <c r="H5" s="324"/>
      <c r="I5" s="324"/>
      <c r="J5" s="324"/>
      <c r="K5" s="328"/>
      <c r="L5" s="328"/>
      <c r="M5" s="328"/>
      <c r="N5" s="328"/>
    </row>
    <row r="6" spans="1:14" s="131" customFormat="1" ht="15">
      <c r="A6" s="466">
        <f>'1-συμβολαια'!A6</f>
        <v>0</v>
      </c>
      <c r="B6" s="344" t="str">
        <f>'1-συμβολαια'!C6</f>
        <v>διανομή [ = 2/8 μήτηρ &amp; από 3/8 τέκνα</v>
      </c>
      <c r="C6" s="382">
        <f>'1-συμβολαια'!D6</f>
        <v>28896.59</v>
      </c>
      <c r="D6" s="430">
        <v>4</v>
      </c>
      <c r="E6" s="362"/>
      <c r="F6" s="459">
        <f t="shared" si="0"/>
        <v>12</v>
      </c>
      <c r="G6" s="327"/>
      <c r="H6" s="324" t="s">
        <v>227</v>
      </c>
      <c r="I6" s="324" t="s">
        <v>136</v>
      </c>
      <c r="J6" s="324"/>
      <c r="K6" s="328"/>
      <c r="L6" s="328"/>
      <c r="M6" s="328"/>
      <c r="N6" s="328"/>
    </row>
    <row r="7" spans="1:14" s="131" customFormat="1" ht="15">
      <c r="A7" s="466">
        <f>'1-συμβολαια'!A7</f>
        <v>0</v>
      </c>
      <c r="B7" s="344" t="str">
        <f>'1-συμβολαια'!C7</f>
        <v>εξισορρόπηση διαφοράς διανεμομένων μεριδίων</v>
      </c>
      <c r="C7" s="382">
        <f>'1-συμβολαια'!D7</f>
        <v>666.66</v>
      </c>
      <c r="D7" s="430">
        <v>4</v>
      </c>
      <c r="E7" s="362"/>
      <c r="F7" s="327">
        <f t="shared" si="0"/>
        <v>12</v>
      </c>
      <c r="G7" s="327"/>
      <c r="H7" s="324" t="s">
        <v>227</v>
      </c>
      <c r="I7" s="324" t="s">
        <v>136</v>
      </c>
      <c r="J7" s="324"/>
      <c r="K7" s="328"/>
      <c r="L7" s="328"/>
      <c r="M7" s="328"/>
      <c r="N7" s="328"/>
    </row>
    <row r="8" spans="1:14" s="131" customFormat="1" ht="15">
      <c r="A8" s="466">
        <f>'1-συμβολαια'!A8</f>
        <v>0</v>
      </c>
      <c r="B8" s="344" t="str">
        <f>'1-συμβολαια'!C8</f>
        <v>χρησικτησία αγροτεμάχιο 1' = 1968 ΑΝΑΔΑΣΜΟΣ</v>
      </c>
      <c r="C8" s="382">
        <f>'1-συμβολαια'!D8</f>
        <v>333.33</v>
      </c>
      <c r="D8" s="430">
        <v>4</v>
      </c>
      <c r="E8" s="362"/>
      <c r="F8" s="327">
        <f t="shared" ref="F8:F13" si="1">(D8-1)*4</f>
        <v>12</v>
      </c>
      <c r="G8" s="327"/>
      <c r="H8" s="324" t="s">
        <v>227</v>
      </c>
      <c r="I8" s="324" t="s">
        <v>136</v>
      </c>
      <c r="J8" s="324"/>
      <c r="K8" s="328"/>
      <c r="L8" s="328"/>
      <c r="M8" s="328"/>
      <c r="N8" s="328"/>
    </row>
    <row r="9" spans="1:14" s="131" customFormat="1" ht="15.75" thickBot="1">
      <c r="A9" s="467">
        <f>'1-συμβολαια'!A9</f>
        <v>0</v>
      </c>
      <c r="B9" s="461" t="str">
        <f>'1-συμβολαια'!C9</f>
        <v xml:space="preserve">χρησικτησία αγροτεμαχίων 2' έως 10' = 1961 πατρός ΔΩΡΕΑ άτυπος </v>
      </c>
      <c r="C9" s="462">
        <f>'1-συμβολαια'!D9</f>
        <v>2222.2199999999998</v>
      </c>
      <c r="D9" s="463">
        <v>4</v>
      </c>
      <c r="E9" s="460"/>
      <c r="F9" s="464">
        <f t="shared" si="1"/>
        <v>12</v>
      </c>
      <c r="G9" s="464"/>
      <c r="H9" s="502" t="s">
        <v>227</v>
      </c>
      <c r="I9" s="502" t="s">
        <v>136</v>
      </c>
      <c r="J9" s="502"/>
      <c r="K9" s="504"/>
      <c r="L9" s="504"/>
      <c r="M9" s="504"/>
      <c r="N9" s="328"/>
    </row>
    <row r="10" spans="1:14" s="131" customFormat="1" ht="15">
      <c r="A10" s="455" t="str">
        <f>'1-συμβολαια'!A10</f>
        <v>9ο</v>
      </c>
      <c r="B10" s="456" t="str">
        <f>'1-συμβολαια'!C10</f>
        <v>γονική</v>
      </c>
      <c r="C10" s="457">
        <f>'1-συμβολαια'!D10</f>
        <v>1292.5</v>
      </c>
      <c r="D10" s="458">
        <v>5</v>
      </c>
      <c r="E10" s="455">
        <v>5</v>
      </c>
      <c r="F10" s="459">
        <f t="shared" si="1"/>
        <v>16</v>
      </c>
      <c r="G10" s="459">
        <f t="shared" ref="G10" si="2">(E10-1)*4</f>
        <v>16</v>
      </c>
      <c r="H10" s="500"/>
      <c r="I10" s="500"/>
      <c r="J10" s="500"/>
      <c r="K10" s="505"/>
      <c r="L10" s="505"/>
      <c r="M10" s="505"/>
      <c r="N10" s="328"/>
    </row>
    <row r="11" spans="1:14" s="131" customFormat="1" ht="15">
      <c r="A11" s="362" t="str">
        <f>'1-συμβολαια'!A11</f>
        <v>10ο</v>
      </c>
      <c r="B11" s="344" t="str">
        <f>'1-συμβολαια'!C11</f>
        <v>δωρεά</v>
      </c>
      <c r="C11" s="382">
        <f>'1-συμβολαια'!D11</f>
        <v>1938.73</v>
      </c>
      <c r="D11" s="430">
        <v>5</v>
      </c>
      <c r="E11" s="362">
        <v>5</v>
      </c>
      <c r="F11" s="327">
        <f t="shared" si="1"/>
        <v>16</v>
      </c>
      <c r="G11" s="327"/>
      <c r="H11" s="324" t="s">
        <v>227</v>
      </c>
      <c r="I11" s="324" t="s">
        <v>136</v>
      </c>
      <c r="J11" s="324"/>
      <c r="K11" s="328"/>
      <c r="L11" s="328"/>
      <c r="M11" s="328"/>
      <c r="N11" s="328"/>
    </row>
    <row r="12" spans="1:14" s="131" customFormat="1" ht="15">
      <c r="A12" s="362" t="str">
        <f>'1-συμβολαια'!A12</f>
        <v>11ο</v>
      </c>
      <c r="B12" s="344" t="str">
        <f>'1-συμβολαια'!C12</f>
        <v>γονική</v>
      </c>
      <c r="C12" s="382">
        <f>'1-συμβολαια'!D12</f>
        <v>8416.32</v>
      </c>
      <c r="D12" s="430">
        <v>6</v>
      </c>
      <c r="E12" s="430">
        <v>6</v>
      </c>
      <c r="F12" s="327">
        <f t="shared" si="1"/>
        <v>20</v>
      </c>
      <c r="G12" s="327"/>
      <c r="H12" s="324" t="s">
        <v>227</v>
      </c>
      <c r="I12" s="324" t="s">
        <v>136</v>
      </c>
      <c r="J12" s="324"/>
      <c r="K12" s="328"/>
      <c r="L12" s="328"/>
      <c r="M12" s="328"/>
      <c r="N12" s="328"/>
    </row>
    <row r="13" spans="1:14" s="131" customFormat="1" ht="15.75" thickBot="1">
      <c r="A13" s="460" t="str">
        <f>'1-συμβολαια'!A13</f>
        <v>12ο</v>
      </c>
      <c r="B13" s="461" t="str">
        <f>'1-συμβολαια'!C13</f>
        <v>δωρεά</v>
      </c>
      <c r="C13" s="462">
        <f>'1-συμβολαια'!D13</f>
        <v>12624.63</v>
      </c>
      <c r="D13" s="463">
        <v>6</v>
      </c>
      <c r="E13" s="463">
        <v>6</v>
      </c>
      <c r="F13" s="464">
        <f t="shared" si="1"/>
        <v>20</v>
      </c>
      <c r="G13" s="464"/>
      <c r="H13" s="324" t="s">
        <v>227</v>
      </c>
      <c r="I13" s="324" t="s">
        <v>136</v>
      </c>
      <c r="J13" s="324"/>
      <c r="K13" s="328"/>
      <c r="L13" s="328"/>
      <c r="M13" s="328"/>
      <c r="N13" s="328"/>
    </row>
    <row r="14" spans="1:14" ht="15.75">
      <c r="A14" s="634" t="s">
        <v>60</v>
      </c>
      <c r="B14" s="635"/>
      <c r="C14" s="635"/>
      <c r="D14" s="635"/>
      <c r="E14" s="636"/>
      <c r="F14" s="429">
        <f>SUM(F3:F13)</f>
        <v>164</v>
      </c>
      <c r="G14" s="429">
        <f>SUM(G3:G13)</f>
        <v>40</v>
      </c>
    </row>
    <row r="15" spans="1:14" ht="15.75">
      <c r="H15" s="133" t="s">
        <v>145</v>
      </c>
      <c r="I15" s="134"/>
      <c r="J15" s="134"/>
      <c r="K15" s="134"/>
      <c r="L15" s="134"/>
      <c r="M15" s="134"/>
    </row>
    <row r="16" spans="1:14" ht="15.75">
      <c r="B16" s="301" t="s">
        <v>461</v>
      </c>
      <c r="C16" s="302"/>
      <c r="D16" s="302"/>
      <c r="E16" s="302"/>
      <c r="F16" s="302"/>
      <c r="I16" s="134" t="s">
        <v>146</v>
      </c>
      <c r="J16" s="134"/>
      <c r="K16" s="134"/>
      <c r="L16" s="134"/>
      <c r="M16" s="84"/>
    </row>
    <row r="17" spans="2:10" ht="15.75">
      <c r="B17" s="3"/>
      <c r="C17" s="217" t="s">
        <v>61</v>
      </c>
      <c r="D17" s="3"/>
      <c r="J17" s="133" t="s">
        <v>147</v>
      </c>
    </row>
    <row r="20" spans="2:10">
      <c r="B20" s="216"/>
    </row>
    <row r="21" spans="2:10">
      <c r="B21" s="215"/>
    </row>
  </sheetData>
  <mergeCells count="7">
    <mergeCell ref="H1:N2"/>
    <mergeCell ref="A14:E1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3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10.28515625" style="8" bestFit="1" customWidth="1"/>
    <col min="2" max="2" width="73.85546875" style="90" bestFit="1" customWidth="1"/>
    <col min="3" max="3" width="7.28515625" style="8" bestFit="1" customWidth="1"/>
    <col min="4" max="4" width="17.7109375" style="8" bestFit="1" customWidth="1"/>
    <col min="5" max="5" width="15" style="8" bestFit="1" customWidth="1"/>
    <col min="6" max="6" width="16.140625" style="8" bestFit="1" customWidth="1"/>
    <col min="7" max="7" width="18.42578125" style="8" bestFit="1" customWidth="1"/>
    <col min="8" max="8" width="7.28515625" style="8" bestFit="1" customWidth="1"/>
    <col min="9" max="9" width="20.85546875" style="8" bestFit="1" customWidth="1"/>
    <col min="10" max="10" width="18.42578125" style="8" bestFit="1" customWidth="1"/>
    <col min="11" max="11" width="16.140625" style="8" bestFit="1" customWidth="1"/>
    <col min="12" max="12" width="18.42578125" style="8" bestFit="1" customWidth="1"/>
    <col min="13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618" t="s">
        <v>1</v>
      </c>
      <c r="B1" s="620" t="s">
        <v>0</v>
      </c>
      <c r="C1" s="649" t="s">
        <v>11</v>
      </c>
      <c r="D1" s="649"/>
      <c r="E1" s="649"/>
      <c r="F1" s="649"/>
      <c r="G1" s="649"/>
      <c r="H1" s="650" t="s">
        <v>12</v>
      </c>
      <c r="I1" s="650"/>
      <c r="J1" s="650"/>
      <c r="K1" s="650"/>
      <c r="L1" s="650"/>
      <c r="M1" s="650"/>
      <c r="N1" s="650"/>
      <c r="O1" s="653" t="s">
        <v>86</v>
      </c>
      <c r="P1" s="651" t="s">
        <v>228</v>
      </c>
      <c r="Q1" s="647" t="s">
        <v>29</v>
      </c>
      <c r="R1" s="612"/>
      <c r="S1" s="612"/>
      <c r="T1" s="612"/>
      <c r="U1" s="613"/>
    </row>
    <row r="2" spans="1:25" ht="24" customHeight="1" thickBot="1">
      <c r="A2" s="619"/>
      <c r="B2" s="621"/>
      <c r="C2" s="7" t="s">
        <v>47</v>
      </c>
      <c r="D2" s="85" t="s">
        <v>48</v>
      </c>
      <c r="E2" s="85" t="s">
        <v>49</v>
      </c>
      <c r="F2" s="85" t="s">
        <v>50</v>
      </c>
      <c r="G2" s="38" t="s">
        <v>51</v>
      </c>
      <c r="H2" s="85" t="s">
        <v>47</v>
      </c>
      <c r="I2" s="85" t="s">
        <v>48</v>
      </c>
      <c r="J2" s="85" t="s">
        <v>49</v>
      </c>
      <c r="K2" s="85" t="s">
        <v>50</v>
      </c>
      <c r="L2" s="85" t="s">
        <v>51</v>
      </c>
      <c r="M2" s="85" t="s">
        <v>52</v>
      </c>
      <c r="N2" s="39" t="s">
        <v>53</v>
      </c>
      <c r="O2" s="654"/>
      <c r="P2" s="652"/>
      <c r="Q2" s="648"/>
      <c r="R2" s="614"/>
      <c r="S2" s="614"/>
      <c r="T2" s="614"/>
      <c r="U2" s="615"/>
    </row>
    <row r="3" spans="1:25" s="263" customFormat="1" ht="15">
      <c r="A3" s="557" t="str">
        <f>'1-συμβολαια'!A3</f>
        <v>7ο</v>
      </c>
      <c r="B3" s="334" t="str">
        <f>'1-συμβολαια'!C3</f>
        <v>*γονική ΨΙΛΗΣ ΚΥΡΙΟΤΗΤΑΣ [αγροτεμάχιο ;;;??? Πρίνος -'';;;???'' 580μ2</v>
      </c>
      <c r="C3" s="335"/>
      <c r="D3" s="259" t="s">
        <v>554</v>
      </c>
      <c r="E3" s="259"/>
      <c r="F3" s="259"/>
      <c r="G3" s="259"/>
      <c r="H3" s="259"/>
      <c r="I3" s="8" t="s">
        <v>555</v>
      </c>
      <c r="J3" s="259"/>
      <c r="K3" s="259"/>
      <c r="L3" s="259"/>
      <c r="M3" s="259"/>
      <c r="N3" s="259"/>
      <c r="O3" s="335"/>
      <c r="P3" s="327">
        <f>O3*('2-δικαιώμ'!M3+'3-φύλλα2α'!F3)</f>
        <v>0</v>
      </c>
      <c r="Q3" s="336" t="s">
        <v>514</v>
      </c>
      <c r="R3" s="336" t="s">
        <v>515</v>
      </c>
      <c r="S3" s="336"/>
      <c r="T3" s="336"/>
      <c r="U3" s="337"/>
    </row>
    <row r="4" spans="1:25" s="263" customFormat="1" ht="15.75" thickBot="1">
      <c r="A4" s="483">
        <f>'1-συμβολαια'!A4</f>
        <v>0</v>
      </c>
      <c r="B4" s="470" t="str">
        <f>'1-συμβολαια'!C4</f>
        <v>ΧΡΗΣΙΚΤΗΣΙΑ αγροτεμαχίου = 1961 μητρος ΔΩΡΕΑ άτυπη</v>
      </c>
      <c r="C4" s="471"/>
      <c r="D4" s="394"/>
      <c r="E4" s="394"/>
      <c r="F4" s="394"/>
      <c r="G4" s="394"/>
      <c r="H4" s="394"/>
      <c r="I4" s="394" t="s">
        <v>554</v>
      </c>
      <c r="J4" s="394"/>
      <c r="K4" s="394"/>
      <c r="L4" s="394"/>
      <c r="M4" s="394"/>
      <c r="N4" s="394"/>
      <c r="O4" s="471"/>
      <c r="P4" s="464">
        <f>O4*('2-δικαιώμ'!M4+'3-φύλλα2α'!F4)</f>
        <v>0</v>
      </c>
      <c r="Q4" s="336" t="s">
        <v>514</v>
      </c>
      <c r="R4" s="336" t="s">
        <v>515</v>
      </c>
      <c r="S4" s="336"/>
      <c r="T4" s="336"/>
      <c r="U4" s="337"/>
    </row>
    <row r="5" spans="1:25" s="263" customFormat="1" ht="15">
      <c r="A5" s="465" t="str">
        <f>'1-συμβολαια'!A5</f>
        <v>8ο</v>
      </c>
      <c r="B5" s="468" t="str">
        <f>'1-συμβολαια'!C5</f>
        <v>κληρονομιάς ΑΠΟΔΟΧΗ</v>
      </c>
      <c r="C5" s="469">
        <v>1</v>
      </c>
      <c r="D5" s="322" t="s">
        <v>557</v>
      </c>
      <c r="E5" s="322"/>
      <c r="F5" s="322"/>
      <c r="G5" s="322"/>
      <c r="H5" s="260">
        <v>3</v>
      </c>
      <c r="I5" s="259" t="s">
        <v>554</v>
      </c>
      <c r="J5" s="8" t="s">
        <v>555</v>
      </c>
      <c r="K5" s="8" t="s">
        <v>556</v>
      </c>
      <c r="L5" s="260"/>
      <c r="M5" s="260"/>
      <c r="N5" s="260"/>
      <c r="O5" s="469">
        <v>2</v>
      </c>
      <c r="P5" s="459">
        <f>O5*('2-δικαιώμ'!M5+'3-φύλλα2α'!F5)</f>
        <v>97.4</v>
      </c>
      <c r="Q5" s="336" t="s">
        <v>514</v>
      </c>
      <c r="R5" s="336" t="s">
        <v>515</v>
      </c>
      <c r="S5" s="336"/>
      <c r="T5" s="336"/>
      <c r="U5" s="337"/>
    </row>
    <row r="6" spans="1:25" s="263" customFormat="1" ht="15">
      <c r="A6" s="466">
        <f>'1-συμβολαια'!A6</f>
        <v>0</v>
      </c>
      <c r="B6" s="334" t="str">
        <f>'1-συμβολαια'!C6</f>
        <v>διανομή [ = 2/8 μήτηρ &amp; από 3/8 τέκνα</v>
      </c>
      <c r="C6" s="335"/>
      <c r="D6" s="259" t="s">
        <v>554</v>
      </c>
      <c r="E6" s="431" t="s">
        <v>555</v>
      </c>
      <c r="F6" s="431" t="s">
        <v>556</v>
      </c>
      <c r="G6" s="259"/>
      <c r="H6" s="264"/>
      <c r="I6" s="259"/>
      <c r="J6" s="264"/>
      <c r="K6" s="264"/>
      <c r="L6" s="264"/>
      <c r="M6" s="264"/>
      <c r="N6" s="264"/>
      <c r="O6" s="335"/>
      <c r="P6" s="327">
        <f>O6*('2-δικαιώμ'!M6+'3-φύλλα2α'!F6)</f>
        <v>0</v>
      </c>
      <c r="Q6" s="336" t="s">
        <v>514</v>
      </c>
      <c r="R6" s="336" t="s">
        <v>515</v>
      </c>
      <c r="S6" s="336"/>
      <c r="T6" s="336"/>
      <c r="U6" s="337"/>
    </row>
    <row r="7" spans="1:25" s="263" customFormat="1" ht="15">
      <c r="A7" s="466">
        <f>'1-συμβολαια'!A7</f>
        <v>0</v>
      </c>
      <c r="B7" s="334" t="str">
        <f>'1-συμβολαια'!C7</f>
        <v>εξισορρόπηση διαφοράς διανεμομένων μεριδίων</v>
      </c>
      <c r="C7" s="335"/>
      <c r="D7" s="322"/>
      <c r="E7" s="322"/>
      <c r="F7" s="322"/>
      <c r="G7" s="259"/>
      <c r="H7" s="264"/>
      <c r="I7" s="259" t="s">
        <v>554</v>
      </c>
      <c r="J7" s="431" t="s">
        <v>555</v>
      </c>
      <c r="K7" s="431" t="s">
        <v>556</v>
      </c>
      <c r="L7" s="264"/>
      <c r="M7" s="264"/>
      <c r="N7" s="264"/>
      <c r="O7" s="335">
        <v>1</v>
      </c>
      <c r="P7" s="327">
        <f>O7*('2-δικαιώμ'!M7+'3-φύλλα2α'!F7)</f>
        <v>24</v>
      </c>
      <c r="Q7" s="336" t="s">
        <v>514</v>
      </c>
      <c r="R7" s="336" t="s">
        <v>515</v>
      </c>
      <c r="S7" s="336"/>
      <c r="T7" s="336"/>
      <c r="U7" s="337"/>
    </row>
    <row r="8" spans="1:25" s="263" customFormat="1" ht="15">
      <c r="A8" s="466">
        <f>'1-συμβολαια'!A8</f>
        <v>0</v>
      </c>
      <c r="B8" s="334" t="str">
        <f>'1-συμβολαια'!C8</f>
        <v>χρησικτησία αγροτεμάχιο 1' = 1968 ΑΝΑΔΑΣΜΟΣ</v>
      </c>
      <c r="C8" s="335"/>
      <c r="D8" s="322"/>
      <c r="E8" s="322"/>
      <c r="F8" s="322"/>
      <c r="G8" s="259"/>
      <c r="H8" s="264"/>
      <c r="I8" s="431" t="s">
        <v>557</v>
      </c>
      <c r="J8" s="264"/>
      <c r="K8" s="264"/>
      <c r="L8" s="264"/>
      <c r="M8" s="264"/>
      <c r="N8" s="264"/>
      <c r="O8" s="335"/>
      <c r="P8" s="327">
        <f>O8*('2-δικαιώμ'!M8+'3-φύλλα2α'!F8)</f>
        <v>0</v>
      </c>
      <c r="Q8" s="336" t="s">
        <v>514</v>
      </c>
      <c r="R8" s="336" t="s">
        <v>515</v>
      </c>
      <c r="S8" s="336"/>
      <c r="T8" s="336"/>
      <c r="U8" s="337"/>
    </row>
    <row r="9" spans="1:25" s="263" customFormat="1" ht="15.75" thickBot="1">
      <c r="A9" s="467">
        <f>'1-συμβολαια'!A9</f>
        <v>0</v>
      </c>
      <c r="B9" s="470" t="str">
        <f>'1-συμβολαια'!C9</f>
        <v xml:space="preserve">χρησικτησία αγροτεμαχίων 2' έως 10' = 1961 πατρός ΔΩΡΕΑ άτυπος </v>
      </c>
      <c r="C9" s="471"/>
      <c r="D9" s="394"/>
      <c r="E9" s="394"/>
      <c r="F9" s="394"/>
      <c r="G9" s="394"/>
      <c r="H9" s="393"/>
      <c r="I9" s="497" t="s">
        <v>557</v>
      </c>
      <c r="J9" s="393"/>
      <c r="K9" s="393"/>
      <c r="L9" s="393"/>
      <c r="M9" s="393"/>
      <c r="N9" s="393"/>
      <c r="O9" s="471"/>
      <c r="P9" s="464">
        <f>O9*('2-δικαιώμ'!M9+'3-φύλλα2α'!F9)</f>
        <v>0</v>
      </c>
      <c r="Q9" s="336" t="s">
        <v>514</v>
      </c>
      <c r="R9" s="336" t="s">
        <v>515</v>
      </c>
      <c r="S9" s="336"/>
      <c r="T9" s="336"/>
      <c r="U9" s="337"/>
    </row>
    <row r="10" spans="1:25" s="263" customFormat="1" ht="15">
      <c r="A10" s="455" t="str">
        <f>'1-συμβολαια'!A10</f>
        <v>9ο</v>
      </c>
      <c r="B10" s="468" t="str">
        <f>'1-συμβολαια'!C10</f>
        <v>γονική</v>
      </c>
      <c r="C10" s="469"/>
      <c r="D10" s="259" t="s">
        <v>554</v>
      </c>
      <c r="E10" s="322"/>
      <c r="F10" s="322"/>
      <c r="G10" s="322"/>
      <c r="H10" s="260"/>
      <c r="I10" s="8" t="s">
        <v>556</v>
      </c>
      <c r="J10" s="260"/>
      <c r="K10" s="260"/>
      <c r="L10" s="260"/>
      <c r="M10" s="260"/>
      <c r="N10" s="260"/>
      <c r="O10" s="469"/>
      <c r="P10" s="459">
        <f>O10*('2-δικαιώμ'!M10+'3-φύλλα2α'!F10)</f>
        <v>0</v>
      </c>
      <c r="Q10" s="336" t="s">
        <v>514</v>
      </c>
      <c r="R10" s="336" t="s">
        <v>515</v>
      </c>
      <c r="S10" s="336"/>
      <c r="T10" s="336"/>
      <c r="U10" s="337"/>
    </row>
    <row r="11" spans="1:25" s="263" customFormat="1" ht="15">
      <c r="A11" s="362" t="str">
        <f>'1-συμβολαια'!A11</f>
        <v>10ο</v>
      </c>
      <c r="B11" s="468" t="str">
        <f>'1-συμβολαια'!C11</f>
        <v>δωρεά</v>
      </c>
      <c r="C11" s="335"/>
      <c r="D11" s="431" t="s">
        <v>555</v>
      </c>
      <c r="E11" s="322"/>
      <c r="F11" s="322"/>
      <c r="G11" s="259"/>
      <c r="H11" s="264"/>
      <c r="I11" s="431" t="s">
        <v>556</v>
      </c>
      <c r="J11" s="264"/>
      <c r="K11" s="264"/>
      <c r="L11" s="264"/>
      <c r="M11" s="264"/>
      <c r="N11" s="264"/>
      <c r="O11" s="335"/>
      <c r="P11" s="327">
        <f>O11*('2-δικαιώμ'!M11+'3-φύλλα2α'!F11)</f>
        <v>0</v>
      </c>
      <c r="Q11" s="336" t="s">
        <v>514</v>
      </c>
      <c r="R11" s="336" t="s">
        <v>515</v>
      </c>
      <c r="S11" s="336"/>
      <c r="T11" s="336"/>
      <c r="U11" s="337"/>
    </row>
    <row r="12" spans="1:25" s="263" customFormat="1" ht="15">
      <c r="A12" s="362" t="str">
        <f>'1-συμβολαια'!A12</f>
        <v>11ο</v>
      </c>
      <c r="B12" s="334" t="str">
        <f>'1-συμβολαια'!C12</f>
        <v>γονική</v>
      </c>
      <c r="C12" s="335"/>
      <c r="D12" s="259" t="s">
        <v>554</v>
      </c>
      <c r="E12" s="322"/>
      <c r="F12" s="322"/>
      <c r="G12" s="259"/>
      <c r="H12" s="264"/>
      <c r="I12" s="431" t="s">
        <v>555</v>
      </c>
      <c r="J12" s="264"/>
      <c r="K12" s="264"/>
      <c r="L12" s="264"/>
      <c r="M12" s="264"/>
      <c r="N12" s="264"/>
      <c r="O12" s="335"/>
      <c r="P12" s="327">
        <f>O12*('2-δικαιώμ'!M12+'3-φύλλα2α'!F12)</f>
        <v>0</v>
      </c>
      <c r="Q12" s="336" t="s">
        <v>514</v>
      </c>
      <c r="R12" s="336" t="s">
        <v>515</v>
      </c>
      <c r="S12" s="336"/>
      <c r="T12" s="336"/>
      <c r="U12" s="337"/>
    </row>
    <row r="13" spans="1:25" s="263" customFormat="1" ht="15.75" thickBot="1">
      <c r="A13" s="460" t="str">
        <f>'1-συμβολαια'!A13</f>
        <v>12ο</v>
      </c>
      <c r="B13" s="334" t="str">
        <f>'1-συμβολαια'!C13</f>
        <v>δωρεά</v>
      </c>
      <c r="C13" s="335"/>
      <c r="D13" s="431" t="s">
        <v>556</v>
      </c>
      <c r="E13" s="259"/>
      <c r="F13" s="259"/>
      <c r="G13" s="259"/>
      <c r="H13" s="264"/>
      <c r="I13" s="431" t="s">
        <v>555</v>
      </c>
      <c r="J13" s="264"/>
      <c r="K13" s="264"/>
      <c r="L13" s="264"/>
      <c r="M13" s="264"/>
      <c r="N13" s="264"/>
      <c r="O13" s="335"/>
      <c r="P13" s="327">
        <f>O13*('2-δικαιώμ'!M13+'3-φύλλα2α'!F13)</f>
        <v>0</v>
      </c>
      <c r="Q13" s="336" t="s">
        <v>514</v>
      </c>
      <c r="R13" s="336" t="s">
        <v>515</v>
      </c>
      <c r="S13" s="336"/>
      <c r="T13" s="336"/>
      <c r="U13" s="337"/>
    </row>
    <row r="14" spans="1:25" ht="15.75">
      <c r="A14" s="634" t="s">
        <v>47</v>
      </c>
      <c r="B14" s="635"/>
      <c r="C14" s="635"/>
      <c r="D14" s="635"/>
      <c r="E14" s="635"/>
      <c r="F14" s="635"/>
      <c r="G14" s="635"/>
      <c r="H14" s="635"/>
      <c r="I14" s="635"/>
      <c r="J14" s="635"/>
      <c r="K14" s="635"/>
      <c r="L14" s="635"/>
      <c r="M14" s="635"/>
      <c r="N14" s="635"/>
      <c r="O14" s="635"/>
      <c r="P14" s="399">
        <f>SUM(P3:P13)</f>
        <v>121.4</v>
      </c>
    </row>
    <row r="16" spans="1:25" ht="15.75">
      <c r="Q16" s="151" t="s">
        <v>148</v>
      </c>
      <c r="R16" s="121"/>
      <c r="S16" s="121"/>
      <c r="T16" s="121"/>
      <c r="U16" s="121"/>
      <c r="V16" s="121"/>
      <c r="W16" s="121"/>
      <c r="X16" s="121"/>
      <c r="Y16" s="111"/>
    </row>
    <row r="17" spans="5:24" ht="15.75">
      <c r="R17" s="134" t="s">
        <v>149</v>
      </c>
      <c r="S17" s="134"/>
      <c r="T17" s="134"/>
      <c r="U17" s="134"/>
      <c r="V17" s="134"/>
      <c r="W17" s="134"/>
      <c r="X17" s="134"/>
    </row>
    <row r="18" spans="5:24" ht="15.75">
      <c r="S18" s="151" t="s">
        <v>150</v>
      </c>
    </row>
    <row r="19" spans="5:24">
      <c r="E19" s="383"/>
      <c r="F19" s="291"/>
    </row>
    <row r="20" spans="5:24">
      <c r="E20" s="383"/>
      <c r="F20" s="385"/>
    </row>
    <row r="21" spans="5:24">
      <c r="E21" s="383"/>
      <c r="F21" s="385"/>
    </row>
    <row r="22" spans="5:24">
      <c r="E22" s="383"/>
      <c r="F22" s="385"/>
    </row>
    <row r="23" spans="5:24">
      <c r="E23" s="384"/>
      <c r="F23" s="385"/>
    </row>
  </sheetData>
  <mergeCells count="8">
    <mergeCell ref="Q1:U2"/>
    <mergeCell ref="A14:O1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90"/>
  <sheetViews>
    <sheetView workbookViewId="0">
      <pane ySplit="2" topLeftCell="A9" activePane="bottomLeft" state="frozen"/>
      <selection pane="bottomLeft" activeCell="B20" sqref="B20:C67"/>
    </sheetView>
  </sheetViews>
  <sheetFormatPr defaultRowHeight="11.25"/>
  <cols>
    <col min="1" max="1" width="10.28515625" style="8" customWidth="1"/>
    <col min="2" max="2" width="65.28515625" style="90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0" width="8.140625" style="2" customWidth="1"/>
    <col min="11" max="11" width="8.28515625" style="2" customWidth="1"/>
    <col min="12" max="12" width="6.85546875" style="2" customWidth="1"/>
    <col min="13" max="13" width="8.140625" style="2" customWidth="1"/>
    <col min="14" max="14" width="10.5703125" style="2" customWidth="1"/>
    <col min="15" max="15" width="8.7109375" style="2" customWidth="1"/>
    <col min="16" max="16" width="10.28515625" style="2" customWidth="1"/>
    <col min="17" max="17" width="10.7109375" style="2" customWidth="1"/>
    <col min="18" max="18" width="8.7109375" style="80" customWidth="1"/>
    <col min="19" max="19" width="10" style="80" customWidth="1"/>
    <col min="20" max="20" width="8.5703125" style="350" customWidth="1"/>
    <col min="21" max="21" width="7.28515625" style="350" customWidth="1"/>
    <col min="22" max="22" width="9.140625" style="350" customWidth="1"/>
    <col min="23" max="23" width="9.28515625" style="80" customWidth="1"/>
    <col min="24" max="24" width="4.85546875" style="80" customWidth="1"/>
    <col min="25" max="25" width="5.85546875" style="80" customWidth="1"/>
    <col min="26" max="26" width="5" style="80" customWidth="1"/>
    <col min="27" max="27" width="6.7109375" style="80" customWidth="1"/>
    <col min="28" max="28" width="6.5703125" style="350" customWidth="1"/>
    <col min="29" max="29" width="6.28515625" style="80" customWidth="1"/>
    <col min="30" max="30" width="8.42578125" style="80" customWidth="1"/>
    <col min="31" max="31" width="8.5703125" style="350" customWidth="1"/>
    <col min="32" max="32" width="9.5703125" style="80" customWidth="1"/>
    <col min="33" max="33" width="6.28515625" style="80" customWidth="1"/>
    <col min="34" max="34" width="9.42578125" style="80" customWidth="1"/>
    <col min="35" max="35" width="7.140625" style="80" customWidth="1"/>
    <col min="36" max="38" width="6.28515625" style="80" customWidth="1"/>
    <col min="39" max="39" width="7.85546875" style="80" customWidth="1"/>
    <col min="40" max="40" width="11.7109375" style="80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86" t="s">
        <v>1</v>
      </c>
      <c r="B1" s="657" t="s">
        <v>0</v>
      </c>
      <c r="C1" s="592" t="s">
        <v>7</v>
      </c>
      <c r="D1" s="659" t="s">
        <v>3</v>
      </c>
      <c r="E1" s="660"/>
      <c r="F1" s="661" t="s">
        <v>464</v>
      </c>
      <c r="G1" s="662"/>
      <c r="H1" s="662"/>
      <c r="I1" s="662"/>
      <c r="J1" s="662"/>
      <c r="K1" s="662"/>
      <c r="L1" s="663"/>
      <c r="M1" s="664" t="s">
        <v>394</v>
      </c>
      <c r="N1" s="665"/>
      <c r="O1" s="666" t="s">
        <v>254</v>
      </c>
      <c r="P1" s="667"/>
      <c r="Q1" s="668" t="s">
        <v>393</v>
      </c>
      <c r="R1" s="656" t="s">
        <v>173</v>
      </c>
      <c r="S1" s="656"/>
      <c r="T1" s="656"/>
      <c r="U1" s="656"/>
      <c r="V1" s="656"/>
      <c r="W1" s="656"/>
      <c r="X1" s="656"/>
      <c r="Y1" s="656"/>
      <c r="Z1" s="656"/>
      <c r="AA1" s="656"/>
      <c r="AB1" s="656"/>
      <c r="AC1" s="656"/>
      <c r="AD1" s="656"/>
      <c r="AE1" s="656"/>
      <c r="AF1" s="656"/>
      <c r="AG1" s="656"/>
      <c r="AH1" s="656"/>
      <c r="AI1" s="656"/>
      <c r="AJ1" s="656"/>
      <c r="AK1" s="656"/>
      <c r="AL1" s="656"/>
      <c r="AM1" s="656"/>
      <c r="AN1" s="656"/>
      <c r="AO1" s="656"/>
    </row>
    <row r="2" spans="1:41" ht="23.25" thickBot="1">
      <c r="A2" s="587"/>
      <c r="B2" s="658"/>
      <c r="C2" s="593"/>
      <c r="D2" s="156" t="s">
        <v>4</v>
      </c>
      <c r="E2" s="142" t="s">
        <v>9</v>
      </c>
      <c r="F2" s="219" t="s">
        <v>4</v>
      </c>
      <c r="G2" s="157" t="s">
        <v>9</v>
      </c>
      <c r="H2" s="140" t="s">
        <v>47</v>
      </c>
      <c r="I2" s="218" t="s">
        <v>9</v>
      </c>
      <c r="J2" s="199" t="s">
        <v>355</v>
      </c>
      <c r="K2" s="199" t="s">
        <v>372</v>
      </c>
      <c r="L2" s="201" t="s">
        <v>357</v>
      </c>
      <c r="M2" s="218" t="s">
        <v>23</v>
      </c>
      <c r="N2" s="220" t="s">
        <v>87</v>
      </c>
      <c r="O2" s="218" t="s">
        <v>23</v>
      </c>
      <c r="P2" s="214" t="s">
        <v>9</v>
      </c>
      <c r="Q2" s="669"/>
      <c r="R2" s="159" t="s">
        <v>129</v>
      </c>
      <c r="S2" s="159" t="s">
        <v>171</v>
      </c>
      <c r="T2" s="366" t="s">
        <v>130</v>
      </c>
      <c r="U2" s="366" t="s">
        <v>258</v>
      </c>
      <c r="V2" s="366" t="s">
        <v>131</v>
      </c>
      <c r="W2" s="159" t="s">
        <v>259</v>
      </c>
      <c r="X2" s="159" t="s">
        <v>151</v>
      </c>
      <c r="Y2" s="159" t="s">
        <v>172</v>
      </c>
      <c r="Z2" s="159" t="s">
        <v>152</v>
      </c>
      <c r="AA2" s="159" t="s">
        <v>260</v>
      </c>
      <c r="AB2" s="366" t="s">
        <v>153</v>
      </c>
      <c r="AC2" s="159" t="s">
        <v>261</v>
      </c>
      <c r="AD2" s="159" t="s">
        <v>154</v>
      </c>
      <c r="AE2" s="366" t="s">
        <v>276</v>
      </c>
      <c r="AF2" s="159" t="s">
        <v>277</v>
      </c>
      <c r="AG2" s="256" t="s">
        <v>278</v>
      </c>
      <c r="AH2" s="159" t="s">
        <v>279</v>
      </c>
      <c r="AI2" s="159" t="s">
        <v>280</v>
      </c>
      <c r="AJ2" s="159" t="s">
        <v>424</v>
      </c>
      <c r="AK2" s="159" t="s">
        <v>425</v>
      </c>
      <c r="AL2" s="159"/>
      <c r="AM2" s="241" t="s">
        <v>91</v>
      </c>
      <c r="AN2" s="239" t="s">
        <v>47</v>
      </c>
      <c r="AO2" s="240" t="s">
        <v>29</v>
      </c>
    </row>
    <row r="3" spans="1:41" s="5" customFormat="1">
      <c r="A3" s="498" t="str">
        <f>'1-συμβολαια'!A3</f>
        <v>7ο</v>
      </c>
      <c r="B3" s="321" t="str">
        <f>'1-συμβολαια'!C3</f>
        <v>*γονική ΨΙΛΗΣ ΚΥΡΙΟΤΗΤΑΣ [αγροτεμάχιο ;;;??? Πρίνος -'';;;???'' 580μ2</v>
      </c>
      <c r="C3" s="323">
        <f>'1-συμβολαια'!D3</f>
        <v>1874.74</v>
      </c>
      <c r="D3" s="338">
        <f>'3-φύλλα2α'!D3</f>
        <v>5</v>
      </c>
      <c r="E3" s="338">
        <f>'3-φύλλα2α'!E3</f>
        <v>5</v>
      </c>
      <c r="F3" s="363">
        <v>2</v>
      </c>
      <c r="G3" s="363">
        <v>2</v>
      </c>
      <c r="H3" s="314">
        <f t="shared" ref="H3:H7" si="0">F3*D3*4</f>
        <v>40</v>
      </c>
      <c r="I3" s="339">
        <f t="shared" ref="I3:I7" si="1">E3*G3*4</f>
        <v>40</v>
      </c>
      <c r="J3" s="339">
        <f t="shared" ref="J3:J7" si="2">H3*5%</f>
        <v>2</v>
      </c>
      <c r="K3" s="339">
        <f t="shared" ref="K3:K7" si="3">H3*5%</f>
        <v>2</v>
      </c>
      <c r="L3" s="339">
        <f t="shared" ref="L3:L7" si="4">H3*1%</f>
        <v>0.4</v>
      </c>
      <c r="M3" s="339">
        <f t="shared" ref="M3:M7" si="5">H3-O3</f>
        <v>35.6</v>
      </c>
      <c r="N3" s="339">
        <f t="shared" ref="N3:N7" si="6">I3-P3</f>
        <v>35.6</v>
      </c>
      <c r="O3" s="339">
        <f t="shared" ref="O3:O7" si="7">J3+K3+L3</f>
        <v>4.4000000000000004</v>
      </c>
      <c r="P3" s="339">
        <f t="shared" ref="P3:P7" si="8">I3*11%</f>
        <v>4.4000000000000004</v>
      </c>
      <c r="Q3" s="339">
        <f t="shared" ref="Q3:Q7" si="9">O3-P3</f>
        <v>0</v>
      </c>
      <c r="R3" s="403"/>
      <c r="S3" s="403"/>
      <c r="T3" s="403">
        <v>20</v>
      </c>
      <c r="U3" s="405">
        <v>1.98</v>
      </c>
      <c r="V3" s="403">
        <v>20</v>
      </c>
      <c r="W3" s="403">
        <v>5</v>
      </c>
      <c r="X3" s="403"/>
      <c r="Y3" s="403"/>
      <c r="Z3" s="403"/>
      <c r="AA3" s="403"/>
      <c r="AB3" s="403"/>
      <c r="AC3" s="403"/>
      <c r="AD3" s="403"/>
      <c r="AE3" s="403"/>
      <c r="AF3" s="403"/>
      <c r="AG3" s="405"/>
      <c r="AH3" s="405">
        <v>8</v>
      </c>
      <c r="AI3" s="405">
        <v>1.98</v>
      </c>
      <c r="AJ3" s="405"/>
      <c r="AK3" s="405"/>
      <c r="AL3" s="405"/>
      <c r="AM3" s="404">
        <f t="shared" ref="AM3:AM7" si="10">U3+Y3+AA3+AI3+AK3</f>
        <v>3.96</v>
      </c>
      <c r="AN3" s="405">
        <f t="shared" ref="AN3:AN7" si="11">R3+S3+T3+V3+W3+X3+Z3+AB3+AC3+AD3+AE3+AF3+AG3+AH3+AJ3+AL3</f>
        <v>53</v>
      </c>
      <c r="AO3" s="402"/>
    </row>
    <row r="4" spans="1:41" s="5" customFormat="1" ht="12" thickBot="1">
      <c r="A4" s="485">
        <f>'1-συμβολαια'!A4</f>
        <v>0</v>
      </c>
      <c r="B4" s="389" t="str">
        <f>'1-συμβολαια'!C4</f>
        <v>ΧΡΗΣΙΚΤΗΣΙΑ αγροτεμαχίου = 1961 μητρος ΔΩΡΕΑ άτυπη</v>
      </c>
      <c r="C4" s="388">
        <f>'1-συμβολαια'!D4</f>
        <v>1111</v>
      </c>
      <c r="D4" s="453">
        <f>'3-φύλλα2α'!D4</f>
        <v>5</v>
      </c>
      <c r="E4" s="453">
        <f>'3-φύλλα2α'!E4</f>
        <v>0</v>
      </c>
      <c r="F4" s="472"/>
      <c r="G4" s="472"/>
      <c r="H4" s="442">
        <f t="shared" si="0"/>
        <v>0</v>
      </c>
      <c r="I4" s="442">
        <f t="shared" si="1"/>
        <v>0</v>
      </c>
      <c r="J4" s="442">
        <f t="shared" si="2"/>
        <v>0</v>
      </c>
      <c r="K4" s="442">
        <f t="shared" si="3"/>
        <v>0</v>
      </c>
      <c r="L4" s="442">
        <f t="shared" si="4"/>
        <v>0</v>
      </c>
      <c r="M4" s="442">
        <f t="shared" si="5"/>
        <v>0</v>
      </c>
      <c r="N4" s="442">
        <f t="shared" si="6"/>
        <v>0</v>
      </c>
      <c r="O4" s="442">
        <f t="shared" si="7"/>
        <v>0</v>
      </c>
      <c r="P4" s="442">
        <f t="shared" si="8"/>
        <v>0</v>
      </c>
      <c r="Q4" s="442">
        <f t="shared" si="9"/>
        <v>0</v>
      </c>
      <c r="R4" s="506"/>
      <c r="S4" s="506"/>
      <c r="T4" s="506"/>
      <c r="U4" s="506"/>
      <c r="V4" s="506"/>
      <c r="W4" s="506"/>
      <c r="X4" s="506"/>
      <c r="Y4" s="506"/>
      <c r="Z4" s="506"/>
      <c r="AA4" s="506"/>
      <c r="AB4" s="506"/>
      <c r="AC4" s="506"/>
      <c r="AD4" s="506"/>
      <c r="AE4" s="506"/>
      <c r="AF4" s="506"/>
      <c r="AG4" s="506"/>
      <c r="AH4" s="506"/>
      <c r="AI4" s="506"/>
      <c r="AJ4" s="506"/>
      <c r="AK4" s="506"/>
      <c r="AL4" s="506"/>
      <c r="AM4" s="507">
        <f t="shared" si="10"/>
        <v>0</v>
      </c>
      <c r="AN4" s="506">
        <f t="shared" si="11"/>
        <v>0</v>
      </c>
      <c r="AO4" s="508"/>
    </row>
    <row r="5" spans="1:41" s="5" customFormat="1">
      <c r="A5" s="396" t="str">
        <f>'1-συμβολαια'!A5</f>
        <v>8ο</v>
      </c>
      <c r="B5" s="331" t="str">
        <f>'1-συμβολαια'!C5</f>
        <v>κληρονομιάς ΑΠΟΔΟΧΗ</v>
      </c>
      <c r="C5" s="323">
        <f>'1-συμβολαια'!D5</f>
        <v>0</v>
      </c>
      <c r="D5" s="452">
        <f>'3-φύλλα2α'!D5</f>
        <v>4</v>
      </c>
      <c r="E5" s="452">
        <f>'3-φύλλα2α'!E5</f>
        <v>4</v>
      </c>
      <c r="F5" s="260">
        <v>3</v>
      </c>
      <c r="G5" s="568">
        <v>2</v>
      </c>
      <c r="H5" s="315">
        <f t="shared" si="0"/>
        <v>48</v>
      </c>
      <c r="I5" s="569">
        <f t="shared" si="1"/>
        <v>32</v>
      </c>
      <c r="J5" s="315">
        <f t="shared" si="2"/>
        <v>2.4000000000000004</v>
      </c>
      <c r="K5" s="315">
        <f t="shared" si="3"/>
        <v>2.4000000000000004</v>
      </c>
      <c r="L5" s="315">
        <f t="shared" si="4"/>
        <v>0.48</v>
      </c>
      <c r="M5" s="315">
        <f t="shared" si="5"/>
        <v>42.72</v>
      </c>
      <c r="N5" s="315">
        <f t="shared" si="6"/>
        <v>28.48</v>
      </c>
      <c r="O5" s="315">
        <f t="shared" si="7"/>
        <v>5.2800000000000011</v>
      </c>
      <c r="P5" s="315">
        <f t="shared" si="8"/>
        <v>3.52</v>
      </c>
      <c r="Q5" s="315">
        <f t="shared" si="9"/>
        <v>1.7600000000000011</v>
      </c>
      <c r="R5" s="405"/>
      <c r="S5" s="405"/>
      <c r="T5" s="405">
        <v>16</v>
      </c>
      <c r="U5" s="405">
        <v>1.98</v>
      </c>
      <c r="V5" s="405">
        <v>16</v>
      </c>
      <c r="W5" s="405">
        <v>5</v>
      </c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>
        <v>24</v>
      </c>
      <c r="AI5" s="405">
        <f>3*1.98</f>
        <v>5.9399999999999995</v>
      </c>
      <c r="AJ5" s="405"/>
      <c r="AK5" s="405"/>
      <c r="AL5" s="405"/>
      <c r="AM5" s="404">
        <f t="shared" si="10"/>
        <v>7.92</v>
      </c>
      <c r="AN5" s="405">
        <f t="shared" si="11"/>
        <v>61</v>
      </c>
      <c r="AO5" s="509"/>
    </row>
    <row r="6" spans="1:41" s="5" customFormat="1">
      <c r="A6" s="454">
        <f>'1-συμβολαια'!A6</f>
        <v>0</v>
      </c>
      <c r="B6" s="321" t="str">
        <f>'1-συμβολαια'!C6</f>
        <v>διανομή [ = 2/8 μήτηρ &amp; από 3/8 τέκνα</v>
      </c>
      <c r="C6" s="313">
        <f>'1-συμβολαια'!D6</f>
        <v>28896.59</v>
      </c>
      <c r="D6" s="338">
        <f>'3-φύλλα2α'!D6</f>
        <v>4</v>
      </c>
      <c r="E6" s="338">
        <f>'3-φύλλα2α'!E6</f>
        <v>0</v>
      </c>
      <c r="F6" s="264"/>
      <c r="G6" s="264"/>
      <c r="H6" s="314">
        <f t="shared" si="0"/>
        <v>0</v>
      </c>
      <c r="I6" s="314">
        <f t="shared" si="1"/>
        <v>0</v>
      </c>
      <c r="J6" s="314">
        <f t="shared" si="2"/>
        <v>0</v>
      </c>
      <c r="K6" s="314">
        <f t="shared" si="3"/>
        <v>0</v>
      </c>
      <c r="L6" s="314">
        <f t="shared" si="4"/>
        <v>0</v>
      </c>
      <c r="M6" s="314">
        <f t="shared" si="5"/>
        <v>0</v>
      </c>
      <c r="N6" s="314">
        <f t="shared" si="6"/>
        <v>0</v>
      </c>
      <c r="O6" s="314">
        <f t="shared" si="7"/>
        <v>0</v>
      </c>
      <c r="P6" s="314">
        <f t="shared" si="8"/>
        <v>0</v>
      </c>
      <c r="Q6" s="314">
        <f t="shared" si="9"/>
        <v>0</v>
      </c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3"/>
      <c r="AD6" s="403"/>
      <c r="AE6" s="403"/>
      <c r="AF6" s="403"/>
      <c r="AG6" s="403"/>
      <c r="AH6" s="405"/>
      <c r="AI6" s="405"/>
      <c r="AJ6" s="403"/>
      <c r="AK6" s="403"/>
      <c r="AL6" s="403"/>
      <c r="AM6" s="432">
        <f t="shared" si="10"/>
        <v>0</v>
      </c>
      <c r="AN6" s="403">
        <f t="shared" si="11"/>
        <v>0</v>
      </c>
      <c r="AO6" s="402"/>
    </row>
    <row r="7" spans="1:41" s="5" customFormat="1">
      <c r="A7" s="454">
        <f>'1-συμβολαια'!A7</f>
        <v>0</v>
      </c>
      <c r="B7" s="321" t="str">
        <f>'1-συμβολαια'!C7</f>
        <v>εξισορρόπηση διαφοράς διανεμομένων μεριδίων</v>
      </c>
      <c r="C7" s="313">
        <f>'1-συμβολαια'!D7</f>
        <v>666.66</v>
      </c>
      <c r="D7" s="338">
        <f>'3-φύλλα2α'!D7</f>
        <v>4</v>
      </c>
      <c r="E7" s="338">
        <f>'3-φύλλα2α'!E7</f>
        <v>0</v>
      </c>
      <c r="F7" s="264"/>
      <c r="G7" s="264"/>
      <c r="H7" s="314">
        <f t="shared" si="0"/>
        <v>0</v>
      </c>
      <c r="I7" s="314">
        <f t="shared" si="1"/>
        <v>0</v>
      </c>
      <c r="J7" s="314">
        <f t="shared" si="2"/>
        <v>0</v>
      </c>
      <c r="K7" s="314">
        <f t="shared" si="3"/>
        <v>0</v>
      </c>
      <c r="L7" s="314">
        <f t="shared" si="4"/>
        <v>0</v>
      </c>
      <c r="M7" s="314">
        <f t="shared" si="5"/>
        <v>0</v>
      </c>
      <c r="N7" s="314">
        <f t="shared" si="6"/>
        <v>0</v>
      </c>
      <c r="O7" s="314">
        <f t="shared" si="7"/>
        <v>0</v>
      </c>
      <c r="P7" s="314">
        <f t="shared" si="8"/>
        <v>0</v>
      </c>
      <c r="Q7" s="314">
        <f t="shared" si="9"/>
        <v>0</v>
      </c>
      <c r="R7" s="403"/>
      <c r="S7" s="403"/>
      <c r="T7" s="403"/>
      <c r="U7" s="403"/>
      <c r="V7" s="403"/>
      <c r="W7" s="403"/>
      <c r="X7" s="403"/>
      <c r="Y7" s="403"/>
      <c r="Z7" s="403"/>
      <c r="AA7" s="403"/>
      <c r="AB7" s="403"/>
      <c r="AC7" s="403"/>
      <c r="AD7" s="403"/>
      <c r="AE7" s="403"/>
      <c r="AF7" s="403"/>
      <c r="AG7" s="403"/>
      <c r="AH7" s="403"/>
      <c r="AI7" s="403"/>
      <c r="AJ7" s="403"/>
      <c r="AK7" s="403"/>
      <c r="AL7" s="403"/>
      <c r="AM7" s="432">
        <f t="shared" si="10"/>
        <v>0</v>
      </c>
      <c r="AN7" s="403">
        <f t="shared" si="11"/>
        <v>0</v>
      </c>
      <c r="AO7" s="402"/>
    </row>
    <row r="8" spans="1:41" s="5" customFormat="1">
      <c r="A8" s="494">
        <f>'1-συμβολαια'!A8</f>
        <v>0</v>
      </c>
      <c r="B8" s="321" t="str">
        <f>'1-συμβολαια'!C8</f>
        <v>χρησικτησία αγροτεμάχιο 1' = 1968 ΑΝΑΔΑΣΜΟΣ</v>
      </c>
      <c r="C8" s="323">
        <f>'1-συμβολαια'!D8</f>
        <v>333.33</v>
      </c>
      <c r="D8" s="338">
        <f>'3-φύλλα2α'!D8</f>
        <v>4</v>
      </c>
      <c r="E8" s="338">
        <f>'3-φύλλα2α'!E8</f>
        <v>0</v>
      </c>
      <c r="F8" s="363"/>
      <c r="G8" s="363"/>
      <c r="H8" s="314">
        <f t="shared" ref="H8:H13" si="12">F8*D8*4</f>
        <v>0</v>
      </c>
      <c r="I8" s="339">
        <f t="shared" ref="I8:I13" si="13">E8*G8*4</f>
        <v>0</v>
      </c>
      <c r="J8" s="339">
        <f t="shared" ref="J8:J13" si="14">H8*5%</f>
        <v>0</v>
      </c>
      <c r="K8" s="339">
        <f t="shared" ref="K8:K13" si="15">H8*5%</f>
        <v>0</v>
      </c>
      <c r="L8" s="339">
        <f t="shared" ref="L8:L13" si="16">H8*1%</f>
        <v>0</v>
      </c>
      <c r="M8" s="339">
        <f t="shared" ref="M8:M13" si="17">H8-O8</f>
        <v>0</v>
      </c>
      <c r="N8" s="339">
        <f t="shared" ref="N8:N13" si="18">I8-P8</f>
        <v>0</v>
      </c>
      <c r="O8" s="339">
        <f t="shared" ref="O8:O13" si="19">J8+K8+L8</f>
        <v>0</v>
      </c>
      <c r="P8" s="339">
        <f t="shared" ref="P8:P13" si="20">I8*11%</f>
        <v>0</v>
      </c>
      <c r="Q8" s="339">
        <f t="shared" ref="Q8:Q13" si="21">O8-P8</f>
        <v>0</v>
      </c>
      <c r="R8" s="403"/>
      <c r="S8" s="403"/>
      <c r="T8" s="403"/>
      <c r="U8" s="403"/>
      <c r="V8" s="403"/>
      <c r="W8" s="403"/>
      <c r="X8" s="403"/>
      <c r="Y8" s="403"/>
      <c r="Z8" s="403"/>
      <c r="AA8" s="403"/>
      <c r="AB8" s="403"/>
      <c r="AC8" s="403"/>
      <c r="AD8" s="403"/>
      <c r="AE8" s="403"/>
      <c r="AF8" s="403"/>
      <c r="AG8" s="405"/>
      <c r="AH8" s="405"/>
      <c r="AI8" s="405"/>
      <c r="AJ8" s="405"/>
      <c r="AK8" s="405"/>
      <c r="AL8" s="405"/>
      <c r="AM8" s="404">
        <f t="shared" ref="AM8:AM13" si="22">U8+Y8+AA8+AI8+AK8</f>
        <v>0</v>
      </c>
      <c r="AN8" s="405">
        <f t="shared" ref="AN8:AN13" si="23">R8+S8+T8+V8+W8+X8+Z8+AB8+AC8+AD8+AE8+AF8+AG8+AH8+AJ8+AL8</f>
        <v>0</v>
      </c>
      <c r="AO8" s="402"/>
    </row>
    <row r="9" spans="1:41" s="5" customFormat="1" ht="12" thickBot="1">
      <c r="A9" s="443">
        <f>'1-συμβολαια'!A9</f>
        <v>0</v>
      </c>
      <c r="B9" s="389" t="str">
        <f>'1-συμβολαια'!C9</f>
        <v xml:space="preserve">χρησικτησία αγροτεμαχίων 2' έως 10' = 1961 πατρός ΔΩΡΕΑ άτυπος </v>
      </c>
      <c r="C9" s="388">
        <f>'1-συμβολαια'!D9</f>
        <v>2222.2199999999998</v>
      </c>
      <c r="D9" s="453">
        <f>'3-φύλλα2α'!D9</f>
        <v>4</v>
      </c>
      <c r="E9" s="453">
        <f>'3-φύλλα2α'!E9</f>
        <v>0</v>
      </c>
      <c r="F9" s="472"/>
      <c r="G9" s="472"/>
      <c r="H9" s="442">
        <f t="shared" si="12"/>
        <v>0</v>
      </c>
      <c r="I9" s="493">
        <f t="shared" si="13"/>
        <v>0</v>
      </c>
      <c r="J9" s="493">
        <f t="shared" si="14"/>
        <v>0</v>
      </c>
      <c r="K9" s="493">
        <f t="shared" si="15"/>
        <v>0</v>
      </c>
      <c r="L9" s="493">
        <f t="shared" si="16"/>
        <v>0</v>
      </c>
      <c r="M9" s="493">
        <f t="shared" si="17"/>
        <v>0</v>
      </c>
      <c r="N9" s="493">
        <f t="shared" si="18"/>
        <v>0</v>
      </c>
      <c r="O9" s="493">
        <f t="shared" si="19"/>
        <v>0</v>
      </c>
      <c r="P9" s="493">
        <f t="shared" si="20"/>
        <v>0</v>
      </c>
      <c r="Q9" s="442">
        <f t="shared" si="21"/>
        <v>0</v>
      </c>
      <c r="R9" s="506"/>
      <c r="S9" s="506"/>
      <c r="T9" s="506"/>
      <c r="U9" s="506"/>
      <c r="V9" s="506"/>
      <c r="W9" s="506"/>
      <c r="X9" s="506"/>
      <c r="Y9" s="506"/>
      <c r="Z9" s="506"/>
      <c r="AA9" s="506"/>
      <c r="AB9" s="506"/>
      <c r="AC9" s="506"/>
      <c r="AD9" s="506"/>
      <c r="AE9" s="506"/>
      <c r="AF9" s="506"/>
      <c r="AG9" s="506"/>
      <c r="AH9" s="506"/>
      <c r="AI9" s="506"/>
      <c r="AJ9" s="506"/>
      <c r="AK9" s="506"/>
      <c r="AL9" s="506"/>
      <c r="AM9" s="507">
        <f t="shared" si="22"/>
        <v>0</v>
      </c>
      <c r="AN9" s="506">
        <f t="shared" si="23"/>
        <v>0</v>
      </c>
      <c r="AO9" s="508"/>
    </row>
    <row r="10" spans="1:41" s="5" customFormat="1">
      <c r="A10" s="427" t="str">
        <f>'1-συμβολαια'!A10</f>
        <v>9ο</v>
      </c>
      <c r="B10" s="331" t="str">
        <f>'1-συμβολαια'!C10</f>
        <v>γονική</v>
      </c>
      <c r="C10" s="323">
        <f>'1-συμβολαια'!D10</f>
        <v>1292.5</v>
      </c>
      <c r="D10" s="452">
        <f>'3-φύλλα2α'!D10</f>
        <v>5</v>
      </c>
      <c r="E10" s="452">
        <f>'3-φύλλα2α'!E10</f>
        <v>5</v>
      </c>
      <c r="F10" s="491">
        <v>2</v>
      </c>
      <c r="G10" s="491">
        <v>2</v>
      </c>
      <c r="H10" s="315">
        <f t="shared" si="12"/>
        <v>40</v>
      </c>
      <c r="I10" s="492">
        <f t="shared" si="13"/>
        <v>40</v>
      </c>
      <c r="J10" s="492">
        <f t="shared" si="14"/>
        <v>2</v>
      </c>
      <c r="K10" s="492">
        <f t="shared" si="15"/>
        <v>2</v>
      </c>
      <c r="L10" s="492">
        <f t="shared" si="16"/>
        <v>0.4</v>
      </c>
      <c r="M10" s="492">
        <f t="shared" si="17"/>
        <v>35.6</v>
      </c>
      <c r="N10" s="492">
        <f t="shared" si="18"/>
        <v>35.6</v>
      </c>
      <c r="O10" s="492">
        <f t="shared" si="19"/>
        <v>4.4000000000000004</v>
      </c>
      <c r="P10" s="492">
        <f t="shared" si="20"/>
        <v>4.4000000000000004</v>
      </c>
      <c r="Q10" s="492">
        <f t="shared" si="21"/>
        <v>0</v>
      </c>
      <c r="R10" s="405">
        <v>16</v>
      </c>
      <c r="S10" s="405">
        <v>5</v>
      </c>
      <c r="T10" s="405">
        <v>20</v>
      </c>
      <c r="U10" s="405">
        <v>1.98</v>
      </c>
      <c r="V10" s="405">
        <v>20</v>
      </c>
      <c r="W10" s="405">
        <v>5</v>
      </c>
      <c r="X10" s="405"/>
      <c r="Y10" s="405"/>
      <c r="Z10" s="405"/>
      <c r="AA10" s="405"/>
      <c r="AB10" s="405"/>
      <c r="AC10" s="405"/>
      <c r="AD10" s="405">
        <v>4</v>
      </c>
      <c r="AE10" s="405">
        <v>16</v>
      </c>
      <c r="AF10" s="405">
        <v>10</v>
      </c>
      <c r="AG10" s="405"/>
      <c r="AH10" s="405">
        <v>8</v>
      </c>
      <c r="AI10" s="405">
        <v>1.98</v>
      </c>
      <c r="AJ10" s="405"/>
      <c r="AK10" s="405"/>
      <c r="AL10" s="405"/>
      <c r="AM10" s="404">
        <f t="shared" si="22"/>
        <v>3.96</v>
      </c>
      <c r="AN10" s="405">
        <f t="shared" si="23"/>
        <v>104</v>
      </c>
      <c r="AO10" s="509"/>
    </row>
    <row r="11" spans="1:41" s="5" customFormat="1">
      <c r="A11" s="428" t="str">
        <f>'1-συμβολαια'!A11</f>
        <v>10ο</v>
      </c>
      <c r="B11" s="321" t="str">
        <f>'1-συμβολαια'!C11</f>
        <v>δωρεά</v>
      </c>
      <c r="C11" s="323">
        <f>'1-συμβολαια'!D11</f>
        <v>1938.73</v>
      </c>
      <c r="D11" s="338">
        <f>'3-φύλλα2α'!D11</f>
        <v>5</v>
      </c>
      <c r="E11" s="338">
        <f>'3-φύλλα2α'!E11</f>
        <v>5</v>
      </c>
      <c r="F11" s="363">
        <v>2</v>
      </c>
      <c r="G11" s="363">
        <v>2</v>
      </c>
      <c r="H11" s="314">
        <f t="shared" si="12"/>
        <v>40</v>
      </c>
      <c r="I11" s="339">
        <f t="shared" si="13"/>
        <v>40</v>
      </c>
      <c r="J11" s="339">
        <f t="shared" si="14"/>
        <v>2</v>
      </c>
      <c r="K11" s="339">
        <f t="shared" si="15"/>
        <v>2</v>
      </c>
      <c r="L11" s="339">
        <f t="shared" si="16"/>
        <v>0.4</v>
      </c>
      <c r="M11" s="339">
        <f t="shared" si="17"/>
        <v>35.6</v>
      </c>
      <c r="N11" s="339">
        <f t="shared" si="18"/>
        <v>35.6</v>
      </c>
      <c r="O11" s="339">
        <f t="shared" si="19"/>
        <v>4.4000000000000004</v>
      </c>
      <c r="P11" s="339">
        <f t="shared" si="20"/>
        <v>4.4000000000000004</v>
      </c>
      <c r="Q11" s="339">
        <f t="shared" si="21"/>
        <v>0</v>
      </c>
      <c r="R11" s="403">
        <v>16</v>
      </c>
      <c r="S11" s="403">
        <v>5</v>
      </c>
      <c r="T11" s="403">
        <v>20</v>
      </c>
      <c r="U11" s="403">
        <v>1.98</v>
      </c>
      <c r="V11" s="403">
        <v>20</v>
      </c>
      <c r="W11" s="403">
        <v>5</v>
      </c>
      <c r="X11" s="403"/>
      <c r="Y11" s="403"/>
      <c r="Z11" s="403"/>
      <c r="AA11" s="403"/>
      <c r="AB11" s="403"/>
      <c r="AC11" s="403"/>
      <c r="AD11" s="403">
        <v>4</v>
      </c>
      <c r="AE11" s="403">
        <v>16</v>
      </c>
      <c r="AF11" s="403">
        <v>10</v>
      </c>
      <c r="AG11" s="405"/>
      <c r="AH11" s="405">
        <v>8</v>
      </c>
      <c r="AI11" s="405">
        <v>1.98</v>
      </c>
      <c r="AJ11" s="405"/>
      <c r="AK11" s="405"/>
      <c r="AL11" s="405"/>
      <c r="AM11" s="404">
        <f t="shared" si="22"/>
        <v>3.96</v>
      </c>
      <c r="AN11" s="405">
        <f t="shared" si="23"/>
        <v>104</v>
      </c>
      <c r="AO11" s="402"/>
    </row>
    <row r="12" spans="1:41" s="5" customFormat="1">
      <c r="A12" s="428" t="str">
        <f>'1-συμβολαια'!A12</f>
        <v>11ο</v>
      </c>
      <c r="B12" s="321" t="str">
        <f>'1-συμβολαια'!C12</f>
        <v>γονική</v>
      </c>
      <c r="C12" s="323">
        <f>'1-συμβολαια'!D12</f>
        <v>8416.32</v>
      </c>
      <c r="D12" s="338">
        <f>'3-φύλλα2α'!D12</f>
        <v>6</v>
      </c>
      <c r="E12" s="338">
        <f>'3-φύλλα2α'!E12</f>
        <v>6</v>
      </c>
      <c r="F12" s="363">
        <v>2</v>
      </c>
      <c r="G12" s="363">
        <v>2</v>
      </c>
      <c r="H12" s="314">
        <f t="shared" si="12"/>
        <v>48</v>
      </c>
      <c r="I12" s="339">
        <f t="shared" si="13"/>
        <v>48</v>
      </c>
      <c r="J12" s="339">
        <f t="shared" si="14"/>
        <v>2.4000000000000004</v>
      </c>
      <c r="K12" s="339">
        <f t="shared" si="15"/>
        <v>2.4000000000000004</v>
      </c>
      <c r="L12" s="339">
        <f t="shared" si="16"/>
        <v>0.48</v>
      </c>
      <c r="M12" s="339">
        <f t="shared" si="17"/>
        <v>42.72</v>
      </c>
      <c r="N12" s="339">
        <f t="shared" si="18"/>
        <v>42.72</v>
      </c>
      <c r="O12" s="339">
        <f t="shared" si="19"/>
        <v>5.2800000000000011</v>
      </c>
      <c r="P12" s="339">
        <f t="shared" si="20"/>
        <v>5.28</v>
      </c>
      <c r="Q12" s="339">
        <f t="shared" si="21"/>
        <v>0</v>
      </c>
      <c r="R12" s="403">
        <v>16</v>
      </c>
      <c r="S12" s="403">
        <v>5</v>
      </c>
      <c r="T12" s="403">
        <v>24</v>
      </c>
      <c r="U12" s="403">
        <v>1.98</v>
      </c>
      <c r="V12" s="403">
        <v>24</v>
      </c>
      <c r="W12" s="403">
        <v>5</v>
      </c>
      <c r="X12" s="403"/>
      <c r="Y12" s="403"/>
      <c r="Z12" s="403"/>
      <c r="AA12" s="403"/>
      <c r="AB12" s="403"/>
      <c r="AC12" s="403"/>
      <c r="AD12" s="403">
        <v>4</v>
      </c>
      <c r="AE12" s="403">
        <v>49</v>
      </c>
      <c r="AF12" s="403">
        <v>35</v>
      </c>
      <c r="AG12" s="405"/>
      <c r="AH12" s="405">
        <v>8</v>
      </c>
      <c r="AI12" s="405">
        <v>1.98</v>
      </c>
      <c r="AJ12" s="405"/>
      <c r="AK12" s="405"/>
      <c r="AL12" s="405"/>
      <c r="AM12" s="404">
        <f t="shared" si="22"/>
        <v>3.96</v>
      </c>
      <c r="AN12" s="405">
        <f t="shared" si="23"/>
        <v>170</v>
      </c>
      <c r="AO12" s="402"/>
    </row>
    <row r="13" spans="1:41" s="5" customFormat="1">
      <c r="A13" s="428" t="str">
        <f>'1-συμβολαια'!A13</f>
        <v>12ο</v>
      </c>
      <c r="B13" s="321" t="str">
        <f>'1-συμβολαια'!C13</f>
        <v>δωρεά</v>
      </c>
      <c r="C13" s="313">
        <f>'1-συμβολαια'!D13</f>
        <v>12624.63</v>
      </c>
      <c r="D13" s="338">
        <f>'3-φύλλα2α'!D13</f>
        <v>6</v>
      </c>
      <c r="E13" s="338">
        <f>'3-φύλλα2α'!E13</f>
        <v>6</v>
      </c>
      <c r="F13" s="363">
        <v>2</v>
      </c>
      <c r="G13" s="363">
        <v>2</v>
      </c>
      <c r="H13" s="314">
        <f t="shared" si="12"/>
        <v>48</v>
      </c>
      <c r="I13" s="339">
        <f t="shared" si="13"/>
        <v>48</v>
      </c>
      <c r="J13" s="339">
        <f t="shared" si="14"/>
        <v>2.4000000000000004</v>
      </c>
      <c r="K13" s="339">
        <f t="shared" si="15"/>
        <v>2.4000000000000004</v>
      </c>
      <c r="L13" s="339">
        <f t="shared" si="16"/>
        <v>0.48</v>
      </c>
      <c r="M13" s="339">
        <f t="shared" si="17"/>
        <v>42.72</v>
      </c>
      <c r="N13" s="339">
        <f t="shared" si="18"/>
        <v>42.72</v>
      </c>
      <c r="O13" s="339">
        <f t="shared" si="19"/>
        <v>5.2800000000000011</v>
      </c>
      <c r="P13" s="339">
        <f t="shared" si="20"/>
        <v>5.28</v>
      </c>
      <c r="Q13" s="314">
        <f t="shared" si="21"/>
        <v>0</v>
      </c>
      <c r="R13" s="403">
        <v>16</v>
      </c>
      <c r="S13" s="403">
        <v>5</v>
      </c>
      <c r="T13" s="403">
        <v>24</v>
      </c>
      <c r="U13" s="403">
        <v>1.98</v>
      </c>
      <c r="V13" s="403">
        <v>24</v>
      </c>
      <c r="W13" s="403">
        <v>5</v>
      </c>
      <c r="X13" s="403"/>
      <c r="Y13" s="403"/>
      <c r="Z13" s="403"/>
      <c r="AA13" s="403"/>
      <c r="AB13" s="403"/>
      <c r="AC13" s="403"/>
      <c r="AD13" s="403">
        <v>4</v>
      </c>
      <c r="AE13" s="403">
        <v>56</v>
      </c>
      <c r="AF13" s="403">
        <v>40</v>
      </c>
      <c r="AG13" s="403"/>
      <c r="AH13" s="403">
        <v>8</v>
      </c>
      <c r="AI13" s="403">
        <v>1.98</v>
      </c>
      <c r="AJ13" s="403"/>
      <c r="AK13" s="403"/>
      <c r="AL13" s="403"/>
      <c r="AM13" s="432">
        <f t="shared" si="22"/>
        <v>3.96</v>
      </c>
      <c r="AN13" s="403">
        <f t="shared" si="23"/>
        <v>182</v>
      </c>
      <c r="AO13" s="402"/>
    </row>
    <row r="14" spans="1:41">
      <c r="A14" s="594" t="s">
        <v>47</v>
      </c>
      <c r="B14" s="595"/>
      <c r="C14" s="595"/>
      <c r="D14" s="595"/>
      <c r="E14" s="595"/>
      <c r="F14" s="595"/>
      <c r="G14" s="655"/>
      <c r="H14" s="400">
        <f t="shared" ref="H14:W14" si="24">SUM(H3:H13)</f>
        <v>264</v>
      </c>
      <c r="I14" s="400">
        <f t="shared" si="24"/>
        <v>248</v>
      </c>
      <c r="J14" s="400">
        <f t="shared" si="24"/>
        <v>13.200000000000001</v>
      </c>
      <c r="K14" s="400">
        <f t="shared" si="24"/>
        <v>13.200000000000001</v>
      </c>
      <c r="L14" s="400">
        <f t="shared" si="24"/>
        <v>2.64</v>
      </c>
      <c r="M14" s="400">
        <f t="shared" si="24"/>
        <v>234.95999999999998</v>
      </c>
      <c r="N14" s="400">
        <f t="shared" si="24"/>
        <v>220.72</v>
      </c>
      <c r="O14" s="400">
        <f t="shared" si="24"/>
        <v>29.040000000000006</v>
      </c>
      <c r="P14" s="400">
        <f t="shared" si="24"/>
        <v>27.28</v>
      </c>
      <c r="Q14" s="400">
        <f t="shared" si="24"/>
        <v>1.7600000000000011</v>
      </c>
      <c r="R14" s="400">
        <f t="shared" si="24"/>
        <v>64</v>
      </c>
      <c r="S14" s="400">
        <f t="shared" si="24"/>
        <v>20</v>
      </c>
      <c r="T14" s="400">
        <f t="shared" si="24"/>
        <v>124</v>
      </c>
      <c r="U14" s="400">
        <f t="shared" si="24"/>
        <v>11.88</v>
      </c>
      <c r="V14" s="400">
        <f t="shared" si="24"/>
        <v>124</v>
      </c>
      <c r="W14" s="400">
        <f t="shared" si="24"/>
        <v>30</v>
      </c>
      <c r="X14" s="400"/>
      <c r="Y14" s="400"/>
      <c r="Z14" s="400"/>
      <c r="AA14" s="400">
        <f t="shared" ref="AA14:AF14" si="25">SUM(AA3:AA13)</f>
        <v>0</v>
      </c>
      <c r="AB14" s="400">
        <f t="shared" si="25"/>
        <v>0</v>
      </c>
      <c r="AC14" s="400">
        <f t="shared" si="25"/>
        <v>0</v>
      </c>
      <c r="AD14" s="400">
        <f t="shared" si="25"/>
        <v>16</v>
      </c>
      <c r="AE14" s="400">
        <f t="shared" si="25"/>
        <v>137</v>
      </c>
      <c r="AF14" s="400">
        <f t="shared" si="25"/>
        <v>95</v>
      </c>
      <c r="AG14" s="257"/>
      <c r="AH14" s="400">
        <f>SUM(AH3:AH13)</f>
        <v>64</v>
      </c>
      <c r="AI14" s="400">
        <f>SUM(AI3:AI13)</f>
        <v>15.840000000000002</v>
      </c>
      <c r="AJ14" s="400"/>
      <c r="AK14" s="400"/>
      <c r="AL14" s="400">
        <f>SUM(AL3:AL13)</f>
        <v>0</v>
      </c>
      <c r="AM14" s="400">
        <f>SUM(AM3:AM13)</f>
        <v>27.720000000000002</v>
      </c>
      <c r="AN14" s="400">
        <f>SUM(AN3:AN13)</f>
        <v>674</v>
      </c>
    </row>
    <row r="16" spans="1:41">
      <c r="R16" s="153" t="s">
        <v>423</v>
      </c>
      <c r="S16" s="162"/>
      <c r="T16" s="165"/>
      <c r="U16" s="165"/>
      <c r="V16" s="165"/>
      <c r="W16" s="162"/>
      <c r="X16" s="163"/>
      <c r="Y16" s="163"/>
      <c r="Z16" s="163"/>
      <c r="AA16" s="163"/>
      <c r="AB16" s="367"/>
      <c r="AC16" s="163"/>
      <c r="AD16" s="163"/>
      <c r="AE16" s="349"/>
      <c r="AF16" s="84"/>
      <c r="AG16" s="84"/>
      <c r="AH16" s="84"/>
      <c r="AI16" s="84"/>
      <c r="AJ16" s="84"/>
      <c r="AK16" s="84"/>
      <c r="AL16" s="84"/>
      <c r="AM16" s="84"/>
      <c r="AN16" s="84"/>
    </row>
    <row r="17" spans="2:41" ht="15.75">
      <c r="B17" s="301" t="s">
        <v>463</v>
      </c>
      <c r="C17" s="302"/>
      <c r="D17" s="302"/>
      <c r="E17" s="302"/>
      <c r="R17" s="163"/>
      <c r="S17" s="164" t="s">
        <v>229</v>
      </c>
      <c r="T17" s="367"/>
      <c r="U17" s="367"/>
      <c r="V17" s="367"/>
      <c r="W17" s="163"/>
      <c r="X17" s="163"/>
      <c r="Y17" s="163"/>
      <c r="Z17" s="163"/>
      <c r="AA17" s="163"/>
      <c r="AB17" s="367"/>
      <c r="AC17" s="163"/>
      <c r="AD17" s="163"/>
      <c r="AE17" s="349"/>
      <c r="AF17" s="84"/>
      <c r="AG17" s="84"/>
      <c r="AH17" s="84"/>
      <c r="AI17" s="84"/>
      <c r="AJ17" s="84"/>
      <c r="AK17" s="84"/>
      <c r="AL17" s="84"/>
      <c r="AM17" s="84"/>
      <c r="AN17" s="84"/>
    </row>
    <row r="18" spans="2:41">
      <c r="R18" s="163"/>
      <c r="S18" s="163"/>
      <c r="T18" s="161" t="s">
        <v>230</v>
      </c>
      <c r="U18" s="367"/>
      <c r="V18" s="367"/>
      <c r="W18" s="163"/>
      <c r="X18" s="163"/>
      <c r="Y18" s="163"/>
      <c r="Z18" s="163"/>
      <c r="AA18" s="163"/>
      <c r="AB18" s="367"/>
      <c r="AC18" s="163"/>
      <c r="AD18" s="163"/>
      <c r="AE18" s="349"/>
      <c r="AF18" s="84"/>
      <c r="AG18" s="84"/>
      <c r="AH18" s="84"/>
      <c r="AI18" s="84"/>
      <c r="AJ18" s="84"/>
      <c r="AK18" s="84"/>
      <c r="AL18" s="84"/>
      <c r="AM18" s="84"/>
      <c r="AN18" s="84"/>
    </row>
    <row r="19" spans="2:41">
      <c r="R19" s="163"/>
      <c r="S19" s="163"/>
      <c r="T19" s="367"/>
      <c r="U19" s="164" t="s">
        <v>231</v>
      </c>
      <c r="V19" s="367"/>
      <c r="W19" s="163"/>
      <c r="X19" s="163"/>
      <c r="Y19" s="163"/>
      <c r="Z19" s="163"/>
      <c r="AA19" s="163"/>
      <c r="AB19" s="367"/>
      <c r="AC19" s="163"/>
      <c r="AD19" s="163"/>
      <c r="AE19" s="349"/>
      <c r="AF19" s="84"/>
      <c r="AG19" s="84"/>
      <c r="AH19" s="84"/>
      <c r="AI19" s="84"/>
      <c r="AJ19" s="84"/>
      <c r="AK19" s="84"/>
      <c r="AL19" s="84"/>
      <c r="AM19" s="84"/>
      <c r="AN19" s="84"/>
    </row>
    <row r="20" spans="2:41">
      <c r="B20" s="3"/>
      <c r="C20" s="8" t="s">
        <v>568</v>
      </c>
      <c r="D20" s="360">
        <f>H3/F3</f>
        <v>20</v>
      </c>
      <c r="N20" s="8"/>
      <c r="Q20" s="8">
        <v>8770</v>
      </c>
      <c r="R20" s="163">
        <v>7760</v>
      </c>
      <c r="S20" s="163"/>
      <c r="T20" s="367"/>
      <c r="U20" s="367"/>
      <c r="V20" s="161" t="s">
        <v>262</v>
      </c>
      <c r="W20" s="163"/>
      <c r="X20" s="163"/>
      <c r="Y20" s="163"/>
      <c r="Z20" s="163"/>
      <c r="AA20" s="163"/>
      <c r="AB20" s="367"/>
      <c r="AC20" s="163"/>
      <c r="AD20" s="163"/>
      <c r="AE20" s="367"/>
      <c r="AF20" s="163"/>
      <c r="AG20" s="163"/>
      <c r="AH20" s="163"/>
      <c r="AI20" s="163"/>
      <c r="AJ20" s="163"/>
      <c r="AK20" s="163"/>
      <c r="AL20" s="163"/>
      <c r="AM20" s="84"/>
      <c r="AN20" s="84"/>
    </row>
    <row r="21" spans="2:41">
      <c r="B21" s="386"/>
      <c r="C21" s="360" t="s">
        <v>534</v>
      </c>
      <c r="D21" s="482"/>
      <c r="N21" s="8"/>
      <c r="Q21" s="8">
        <v>8771</v>
      </c>
      <c r="R21" s="163">
        <v>7760</v>
      </c>
      <c r="S21" s="163"/>
      <c r="T21" s="367"/>
      <c r="U21" s="367"/>
      <c r="V21" s="367"/>
      <c r="W21" s="164" t="s">
        <v>232</v>
      </c>
      <c r="X21" s="163"/>
      <c r="Y21" s="163"/>
      <c r="Z21" s="163"/>
      <c r="AA21" s="163"/>
      <c r="AB21" s="367"/>
      <c r="AC21" s="163"/>
      <c r="AD21" s="163"/>
      <c r="AE21" s="367"/>
      <c r="AF21" s="163"/>
      <c r="AG21" s="163"/>
      <c r="AH21" s="163"/>
      <c r="AI21" s="163"/>
      <c r="AJ21" s="163"/>
      <c r="AK21" s="163"/>
      <c r="AL21" s="163"/>
      <c r="AM21" s="84"/>
      <c r="AN21" s="84"/>
    </row>
    <row r="22" spans="2:41">
      <c r="B22" s="386"/>
      <c r="C22" s="360" t="s">
        <v>536</v>
      </c>
      <c r="D22" s="9"/>
      <c r="N22" s="8"/>
      <c r="Q22" s="8">
        <v>8772</v>
      </c>
      <c r="R22" s="163">
        <v>7760</v>
      </c>
      <c r="S22" s="163"/>
      <c r="T22" s="367"/>
      <c r="U22" s="367"/>
      <c r="V22" s="367"/>
      <c r="W22" s="163"/>
      <c r="X22" s="161" t="s">
        <v>233</v>
      </c>
      <c r="Y22" s="161"/>
      <c r="Z22" s="163"/>
      <c r="AA22" s="163"/>
      <c r="AB22" s="367"/>
      <c r="AC22" s="163"/>
      <c r="AD22" s="163"/>
      <c r="AE22" s="367"/>
      <c r="AF22" s="163"/>
      <c r="AG22" s="163"/>
      <c r="AH22" s="163"/>
      <c r="AI22" s="163"/>
      <c r="AJ22" s="163"/>
      <c r="AK22" s="163"/>
      <c r="AL22" s="163"/>
      <c r="AM22" s="84"/>
      <c r="AN22" s="84"/>
    </row>
    <row r="23" spans="2:41">
      <c r="B23" s="440"/>
      <c r="C23" s="360"/>
      <c r="D23" s="9"/>
      <c r="N23" s="8"/>
      <c r="Q23" s="8">
        <v>8773</v>
      </c>
      <c r="R23" s="163">
        <v>7760</v>
      </c>
      <c r="S23" s="163"/>
      <c r="T23" s="367"/>
      <c r="U23" s="367"/>
      <c r="V23" s="367"/>
      <c r="W23" s="163"/>
      <c r="X23" s="163"/>
      <c r="Y23" s="164" t="s">
        <v>263</v>
      </c>
      <c r="Z23" s="163"/>
      <c r="AA23" s="163"/>
      <c r="AB23" s="367"/>
      <c r="AC23" s="163"/>
      <c r="AD23" s="163"/>
      <c r="AE23" s="367"/>
      <c r="AF23" s="163"/>
      <c r="AG23" s="163"/>
      <c r="AH23" s="163"/>
      <c r="AI23" s="163"/>
      <c r="AJ23" s="163"/>
      <c r="AK23" s="163"/>
      <c r="AL23" s="163"/>
      <c r="AM23" s="84"/>
      <c r="AN23" s="84"/>
    </row>
    <row r="24" spans="2:41">
      <c r="B24" s="440"/>
      <c r="C24" s="360"/>
      <c r="D24" s="9"/>
      <c r="N24" s="8"/>
      <c r="Q24" s="8"/>
      <c r="R24" s="163"/>
      <c r="S24" s="163"/>
      <c r="T24" s="367"/>
      <c r="U24" s="367"/>
      <c r="V24" s="367"/>
      <c r="W24" s="163"/>
      <c r="X24" s="163"/>
      <c r="Y24" s="163"/>
      <c r="Z24" s="161" t="s">
        <v>234</v>
      </c>
      <c r="AA24" s="164"/>
      <c r="AB24" s="367"/>
      <c r="AC24" s="163"/>
      <c r="AD24" s="163"/>
      <c r="AE24" s="367"/>
      <c r="AF24" s="163"/>
      <c r="AG24" s="163"/>
      <c r="AH24" s="163"/>
      <c r="AI24" s="163"/>
      <c r="AJ24" s="163"/>
      <c r="AK24" s="163"/>
      <c r="AL24" s="163"/>
      <c r="AM24" s="84"/>
      <c r="AN24" s="84"/>
      <c r="AO24" s="160"/>
    </row>
    <row r="25" spans="2:41">
      <c r="B25" s="90" t="s">
        <v>574</v>
      </c>
      <c r="C25" s="76" t="s">
        <v>569</v>
      </c>
      <c r="D25" s="360">
        <f>H5/F5</f>
        <v>16</v>
      </c>
      <c r="N25" s="8"/>
      <c r="Q25" s="8"/>
      <c r="R25" s="163"/>
      <c r="S25" s="163"/>
      <c r="T25" s="367"/>
      <c r="U25" s="367"/>
      <c r="V25" s="367"/>
      <c r="W25" s="163"/>
      <c r="X25" s="163"/>
      <c r="Y25" s="163"/>
      <c r="Z25" s="164"/>
      <c r="AA25" s="164" t="s">
        <v>264</v>
      </c>
      <c r="AB25" s="367"/>
      <c r="AC25" s="163"/>
      <c r="AD25" s="163"/>
      <c r="AE25" s="367"/>
      <c r="AF25" s="163"/>
      <c r="AG25" s="163"/>
      <c r="AH25" s="163"/>
      <c r="AI25" s="163"/>
      <c r="AJ25" s="163"/>
      <c r="AK25" s="163"/>
      <c r="AL25" s="163"/>
      <c r="AM25" s="84"/>
      <c r="AN25" s="84"/>
      <c r="AO25" s="160"/>
    </row>
    <row r="26" spans="2:41">
      <c r="B26" s="90" t="s">
        <v>575</v>
      </c>
      <c r="C26" s="360" t="s">
        <v>544</v>
      </c>
      <c r="D26" s="360"/>
      <c r="N26" s="8"/>
      <c r="Q26" s="8"/>
      <c r="R26" s="163"/>
      <c r="S26" s="163"/>
      <c r="T26" s="367"/>
      <c r="U26" s="367"/>
      <c r="V26" s="367"/>
      <c r="W26" s="163"/>
      <c r="X26" s="163"/>
      <c r="Y26" s="163"/>
      <c r="Z26" s="163"/>
      <c r="AA26" s="163"/>
      <c r="AB26" s="161" t="s">
        <v>235</v>
      </c>
      <c r="AC26" s="163"/>
      <c r="AD26" s="163"/>
      <c r="AE26" s="367"/>
      <c r="AF26" s="163"/>
      <c r="AG26" s="163"/>
      <c r="AH26" s="163"/>
      <c r="AI26" s="163"/>
      <c r="AJ26" s="163"/>
      <c r="AK26" s="163"/>
      <c r="AL26" s="163"/>
      <c r="AM26" s="84"/>
      <c r="AN26" s="164"/>
    </row>
    <row r="27" spans="2:41">
      <c r="B27" s="90" t="s">
        <v>576</v>
      </c>
      <c r="C27" s="360" t="s">
        <v>562</v>
      </c>
      <c r="D27" s="482"/>
      <c r="N27" s="8"/>
      <c r="Q27" s="8"/>
      <c r="R27" s="163"/>
      <c r="S27" s="163"/>
      <c r="T27" s="367"/>
      <c r="U27" s="367"/>
      <c r="V27" s="367"/>
      <c r="W27" s="163"/>
      <c r="X27" s="163"/>
      <c r="Y27" s="163"/>
      <c r="Z27" s="163"/>
      <c r="AA27" s="163"/>
      <c r="AB27" s="367"/>
      <c r="AC27" s="164" t="s">
        <v>236</v>
      </c>
      <c r="AD27" s="163"/>
      <c r="AE27" s="367"/>
      <c r="AF27" s="163"/>
      <c r="AG27" s="163"/>
      <c r="AH27" s="163"/>
      <c r="AI27" s="163"/>
      <c r="AJ27" s="163"/>
      <c r="AK27" s="163"/>
      <c r="AL27" s="163"/>
      <c r="AM27" s="84"/>
      <c r="AN27" s="84"/>
    </row>
    <row r="28" spans="2:41">
      <c r="B28" s="90" t="s">
        <v>577</v>
      </c>
      <c r="C28" s="76"/>
      <c r="D28" s="360"/>
      <c r="N28" s="8"/>
      <c r="Q28" s="8"/>
      <c r="R28" s="163"/>
      <c r="S28" s="163"/>
      <c r="T28" s="367"/>
      <c r="U28" s="367"/>
      <c r="V28" s="367"/>
      <c r="W28" s="163"/>
      <c r="X28" s="163"/>
      <c r="Y28" s="163"/>
      <c r="Z28" s="163"/>
      <c r="AA28" s="163"/>
      <c r="AB28" s="367"/>
      <c r="AC28" s="163"/>
      <c r="AD28" s="161" t="s">
        <v>281</v>
      </c>
      <c r="AE28" s="165"/>
      <c r="AF28" s="165"/>
      <c r="AG28" s="165"/>
      <c r="AH28" s="165"/>
      <c r="AI28" s="165"/>
      <c r="AJ28" s="165"/>
      <c r="AK28" s="165"/>
      <c r="AL28" s="165"/>
      <c r="AM28" s="164"/>
    </row>
    <row r="29" spans="2:41">
      <c r="B29" s="90" t="s">
        <v>578</v>
      </c>
      <c r="C29" s="360"/>
      <c r="D29" s="482"/>
      <c r="N29" s="8"/>
      <c r="Q29" s="8"/>
      <c r="R29" s="84"/>
      <c r="S29" s="84"/>
      <c r="T29" s="349"/>
      <c r="U29" s="349"/>
      <c r="V29" s="367"/>
      <c r="W29" s="163"/>
      <c r="X29" s="163"/>
      <c r="Y29" s="163"/>
      <c r="Z29" s="163"/>
      <c r="AA29" s="163"/>
      <c r="AB29" s="367"/>
      <c r="AC29" s="163"/>
      <c r="AD29" s="163"/>
      <c r="AE29" s="161" t="s">
        <v>282</v>
      </c>
      <c r="AF29" s="164"/>
      <c r="AG29" s="164"/>
      <c r="AH29" s="164"/>
      <c r="AI29" s="164"/>
      <c r="AJ29" s="164"/>
      <c r="AK29" s="164"/>
      <c r="AL29" s="164"/>
      <c r="AM29" s="84"/>
    </row>
    <row r="30" spans="2:41">
      <c r="B30" s="90" t="s">
        <v>579</v>
      </c>
      <c r="C30" s="76"/>
      <c r="D30" s="360"/>
      <c r="N30" s="8"/>
      <c r="Q30" s="8"/>
      <c r="R30" s="2"/>
      <c r="S30" s="2"/>
      <c r="T30" s="2"/>
      <c r="U30" s="2"/>
      <c r="AF30" s="164" t="s">
        <v>283</v>
      </c>
      <c r="AG30" s="165"/>
      <c r="AH30" s="165"/>
      <c r="AI30" s="165"/>
      <c r="AJ30" s="165"/>
      <c r="AK30" s="165"/>
    </row>
    <row r="31" spans="2:41">
      <c r="B31" s="90" t="s">
        <v>580</v>
      </c>
      <c r="C31" s="360"/>
      <c r="D31" s="482"/>
      <c r="N31" s="8"/>
      <c r="Q31" s="8"/>
      <c r="R31" s="163"/>
      <c r="AF31" s="163"/>
      <c r="AG31" s="258" t="s">
        <v>284</v>
      </c>
      <c r="AH31" s="258"/>
      <c r="AI31" s="258"/>
      <c r="AJ31" s="258"/>
      <c r="AK31" s="258"/>
      <c r="AL31" s="258"/>
    </row>
    <row r="32" spans="2:41">
      <c r="B32" s="90" t="s">
        <v>581</v>
      </c>
      <c r="C32" s="360"/>
      <c r="D32" s="9"/>
      <c r="N32" s="8"/>
      <c r="Q32" s="8"/>
      <c r="R32" s="163"/>
      <c r="AG32" s="163"/>
      <c r="AH32" s="161" t="s">
        <v>429</v>
      </c>
      <c r="AI32" s="163"/>
      <c r="AJ32" s="163"/>
      <c r="AK32" s="163"/>
      <c r="AL32" s="164"/>
    </row>
    <row r="33" spans="2:37">
      <c r="B33" s="90" t="s">
        <v>582</v>
      </c>
      <c r="C33" s="360"/>
      <c r="D33" s="9"/>
      <c r="N33" s="8"/>
      <c r="Q33" s="8"/>
      <c r="R33" s="163"/>
      <c r="AI33" s="164" t="s">
        <v>426</v>
      </c>
      <c r="AJ33" s="164"/>
      <c r="AK33" s="164"/>
    </row>
    <row r="34" spans="2:37">
      <c r="B34" s="90" t="s">
        <v>583</v>
      </c>
      <c r="C34" s="360"/>
      <c r="D34" s="9"/>
      <c r="N34" s="8"/>
      <c r="Q34" s="8"/>
      <c r="AJ34" s="161" t="s">
        <v>427</v>
      </c>
      <c r="AK34" s="163"/>
    </row>
    <row r="35" spans="2:37">
      <c r="B35" s="3"/>
      <c r="C35" s="76"/>
      <c r="D35" s="360"/>
      <c r="N35" s="8"/>
      <c r="Q35" s="8"/>
      <c r="AK35" s="164" t="s">
        <v>428</v>
      </c>
    </row>
    <row r="36" spans="2:37">
      <c r="B36" s="3" t="s">
        <v>563</v>
      </c>
      <c r="C36" s="76" t="s">
        <v>570</v>
      </c>
      <c r="D36" s="360">
        <f>H10/F10</f>
        <v>20</v>
      </c>
      <c r="N36" s="8"/>
      <c r="Q36" s="8"/>
    </row>
    <row r="37" spans="2:37">
      <c r="B37" s="90" t="s">
        <v>579</v>
      </c>
      <c r="C37" s="360" t="s">
        <v>534</v>
      </c>
      <c r="D37" s="360"/>
      <c r="N37" s="8"/>
      <c r="Q37" s="8"/>
    </row>
    <row r="38" spans="2:37">
      <c r="B38" s="90" t="s">
        <v>582</v>
      </c>
      <c r="C38" s="360" t="s">
        <v>536</v>
      </c>
      <c r="D38" s="482"/>
      <c r="N38" s="8"/>
      <c r="Q38" s="8"/>
    </row>
    <row r="39" spans="2:37">
      <c r="B39" s="3"/>
      <c r="C39" s="360"/>
      <c r="N39" s="8"/>
      <c r="Q39" s="8"/>
    </row>
    <row r="40" spans="2:37">
      <c r="B40" s="3"/>
      <c r="C40" s="76"/>
      <c r="D40" s="360"/>
      <c r="N40" s="8"/>
      <c r="Q40" s="8"/>
    </row>
    <row r="41" spans="2:37">
      <c r="B41" s="3" t="s">
        <v>565</v>
      </c>
      <c r="C41" s="76" t="s">
        <v>571</v>
      </c>
      <c r="D41" s="360">
        <f>H11/F11</f>
        <v>20</v>
      </c>
      <c r="Q41" s="8"/>
    </row>
    <row r="42" spans="2:37">
      <c r="B42" s="90" t="s">
        <v>579</v>
      </c>
      <c r="C42" s="360" t="s">
        <v>534</v>
      </c>
      <c r="D42" s="360"/>
      <c r="Q42" s="8"/>
    </row>
    <row r="43" spans="2:37">
      <c r="B43" s="90" t="s">
        <v>582</v>
      </c>
      <c r="C43" s="360" t="s">
        <v>536</v>
      </c>
      <c r="D43" s="482"/>
    </row>
    <row r="44" spans="2:37">
      <c r="B44" s="440"/>
      <c r="C44" s="360"/>
      <c r="D44" s="482"/>
    </row>
    <row r="45" spans="2:37">
      <c r="B45" s="3"/>
    </row>
    <row r="46" spans="2:37">
      <c r="B46" s="90" t="s">
        <v>563</v>
      </c>
      <c r="C46" s="76" t="s">
        <v>572</v>
      </c>
      <c r="D46" s="360">
        <f>H12/F12</f>
        <v>24</v>
      </c>
    </row>
    <row r="47" spans="2:37">
      <c r="B47" s="90" t="s">
        <v>574</v>
      </c>
      <c r="C47" s="360" t="s">
        <v>537</v>
      </c>
      <c r="D47" s="360"/>
    </row>
    <row r="48" spans="2:37">
      <c r="B48" s="90" t="s">
        <v>575</v>
      </c>
      <c r="C48" s="360" t="s">
        <v>536</v>
      </c>
      <c r="D48" s="482"/>
    </row>
    <row r="49" spans="2:4">
      <c r="B49" s="90" t="s">
        <v>576</v>
      </c>
      <c r="C49" s="360"/>
      <c r="D49" s="482"/>
    </row>
    <row r="50" spans="2:4">
      <c r="B50" s="90" t="s">
        <v>577</v>
      </c>
    </row>
    <row r="51" spans="2:4">
      <c r="B51" s="90" t="s">
        <v>578</v>
      </c>
      <c r="C51" s="76"/>
      <c r="D51" s="360"/>
    </row>
    <row r="52" spans="2:4">
      <c r="B52" s="90" t="s">
        <v>580</v>
      </c>
      <c r="C52" s="360"/>
      <c r="D52" s="482"/>
    </row>
    <row r="53" spans="2:4">
      <c r="B53" s="90" t="s">
        <v>581</v>
      </c>
    </row>
    <row r="54" spans="2:4">
      <c r="B54" s="440"/>
    </row>
    <row r="55" spans="2:4">
      <c r="B55" s="3"/>
    </row>
    <row r="56" spans="2:4">
      <c r="B56" s="3" t="s">
        <v>565</v>
      </c>
      <c r="C56" s="76" t="s">
        <v>573</v>
      </c>
      <c r="D56" s="360">
        <f>H13/F13</f>
        <v>24</v>
      </c>
    </row>
    <row r="57" spans="2:4">
      <c r="B57" s="90" t="s">
        <v>574</v>
      </c>
      <c r="C57" s="360" t="s">
        <v>537</v>
      </c>
      <c r="D57" s="360"/>
    </row>
    <row r="58" spans="2:4">
      <c r="B58" s="90" t="s">
        <v>575</v>
      </c>
      <c r="C58" s="360" t="s">
        <v>536</v>
      </c>
      <c r="D58" s="482"/>
    </row>
    <row r="59" spans="2:4">
      <c r="B59" s="90" t="s">
        <v>576</v>
      </c>
      <c r="C59" s="76"/>
      <c r="D59" s="360"/>
    </row>
    <row r="60" spans="2:4">
      <c r="B60" s="90" t="s">
        <v>577</v>
      </c>
      <c r="C60" s="360"/>
      <c r="D60" s="482"/>
    </row>
    <row r="61" spans="2:4">
      <c r="B61" s="90" t="s">
        <v>578</v>
      </c>
    </row>
    <row r="62" spans="2:4">
      <c r="B62" s="90" t="s">
        <v>580</v>
      </c>
      <c r="C62" s="76"/>
      <c r="D62" s="360"/>
    </row>
    <row r="63" spans="2:4">
      <c r="B63" s="90" t="s">
        <v>581</v>
      </c>
      <c r="C63" s="360"/>
      <c r="D63" s="482"/>
    </row>
    <row r="64" spans="2:4">
      <c r="B64" s="90" t="s">
        <v>583</v>
      </c>
    </row>
    <row r="65" spans="2:4">
      <c r="B65" s="3"/>
      <c r="C65" s="76"/>
      <c r="D65" s="360"/>
    </row>
    <row r="66" spans="2:4">
      <c r="B66" s="386"/>
      <c r="C66" s="360"/>
      <c r="D66" s="482"/>
    </row>
    <row r="68" spans="2:4">
      <c r="B68" s="3"/>
      <c r="C68" s="76"/>
      <c r="D68" s="360"/>
    </row>
    <row r="69" spans="2:4">
      <c r="B69" s="386"/>
      <c r="C69" s="360"/>
      <c r="D69" s="482"/>
    </row>
    <row r="71" spans="2:4">
      <c r="C71" s="8"/>
      <c r="D71" s="9"/>
    </row>
    <row r="72" spans="2:4">
      <c r="C72" s="76"/>
      <c r="D72" s="499"/>
    </row>
    <row r="73" spans="2:4">
      <c r="C73" s="8"/>
    </row>
    <row r="74" spans="2:4">
      <c r="C74" s="8"/>
      <c r="D74" s="9"/>
    </row>
    <row r="75" spans="2:4">
      <c r="C75" s="76"/>
      <c r="D75" s="499"/>
    </row>
    <row r="76" spans="2:4">
      <c r="C76" s="8"/>
    </row>
    <row r="77" spans="2:4">
      <c r="C77" s="8"/>
      <c r="D77" s="9"/>
    </row>
    <row r="78" spans="2:4">
      <c r="C78" s="76"/>
      <c r="D78" s="499"/>
    </row>
    <row r="79" spans="2:4">
      <c r="C79" s="8"/>
    </row>
    <row r="80" spans="2:4">
      <c r="C80" s="8"/>
      <c r="D80" s="9"/>
    </row>
    <row r="81" spans="3:4">
      <c r="C81" s="76"/>
      <c r="D81" s="499"/>
    </row>
    <row r="82" spans="3:4">
      <c r="C82" s="8"/>
    </row>
    <row r="83" spans="3:4">
      <c r="C83" s="8"/>
      <c r="D83" s="9"/>
    </row>
    <row r="84" spans="3:4">
      <c r="C84" s="76"/>
      <c r="D84" s="499"/>
    </row>
    <row r="85" spans="3:4">
      <c r="C85" s="8"/>
      <c r="D85" s="9"/>
    </row>
    <row r="86" spans="3:4">
      <c r="C86" s="8"/>
      <c r="D86" s="9"/>
    </row>
    <row r="87" spans="3:4">
      <c r="C87" s="76"/>
      <c r="D87" s="499"/>
    </row>
    <row r="88" spans="3:4">
      <c r="C88" s="8"/>
    </row>
    <row r="89" spans="3:4">
      <c r="C89" s="8"/>
      <c r="D89" s="9"/>
    </row>
    <row r="90" spans="3:4">
      <c r="C90" s="76"/>
      <c r="D90" s="499"/>
    </row>
  </sheetData>
  <mergeCells count="10">
    <mergeCell ref="A14:G1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98"/>
  <sheetViews>
    <sheetView workbookViewId="0">
      <pane ySplit="2" topLeftCell="A3" activePane="bottomLeft" state="frozen"/>
      <selection pane="bottomLeft" activeCell="C17" sqref="C17:D64"/>
    </sheetView>
  </sheetViews>
  <sheetFormatPr defaultRowHeight="11.25"/>
  <cols>
    <col min="1" max="1" width="7.5703125" style="8" bestFit="1" customWidth="1"/>
    <col min="2" max="2" width="9.42578125" style="8" customWidth="1"/>
    <col min="3" max="3" width="66.140625" style="88" customWidth="1"/>
    <col min="4" max="4" width="11.7109375" style="3" customWidth="1"/>
    <col min="5" max="5" width="13.140625" style="3" customWidth="1"/>
    <col min="6" max="6" width="10.28515625" style="3" customWidth="1"/>
    <col min="7" max="7" width="9.7109375" style="2" customWidth="1"/>
    <col min="8" max="13" width="9.5703125" style="2" customWidth="1"/>
    <col min="14" max="15" width="11.140625" style="2" customWidth="1"/>
    <col min="16" max="16" width="7.7109375" style="2" customWidth="1"/>
    <col min="17" max="17" width="12.5703125" style="2" customWidth="1"/>
    <col min="18" max="18" width="11.140625" style="2" bestFit="1" customWidth="1"/>
    <col min="19" max="19" width="11.85546875" style="3" customWidth="1"/>
    <col min="20" max="20" width="14.28515625" style="3" customWidth="1"/>
    <col min="21" max="22" width="11.28515625" style="3" customWidth="1"/>
    <col min="23" max="23" width="9.28515625" style="28" bestFit="1" customWidth="1"/>
    <col min="24" max="24" width="5.7109375" style="3" bestFit="1" customWidth="1"/>
    <col min="25" max="25" width="10.7109375" style="3" customWidth="1"/>
    <col min="26" max="26" width="8.85546875" style="3" bestFit="1" customWidth="1"/>
    <col min="27" max="27" width="12.5703125" style="3" customWidth="1"/>
    <col min="28" max="28" width="5.85546875" style="2" bestFit="1" customWidth="1"/>
    <col min="29" max="29" width="7.7109375" style="3" bestFit="1" customWidth="1"/>
    <col min="30" max="30" width="12.7109375" style="3" customWidth="1"/>
    <col min="31" max="31" width="5.7109375" style="3" customWidth="1"/>
    <col min="32" max="32" width="7.42578125" style="3" customWidth="1"/>
    <col min="33" max="33" width="10.7109375" style="28" bestFit="1" customWidth="1"/>
    <col min="34" max="34" width="8.28515625" style="3" bestFit="1" customWidth="1"/>
    <col min="35" max="35" width="9.7109375" style="3" bestFit="1" customWidth="1"/>
    <col min="36" max="36" width="6" style="3" bestFit="1" customWidth="1"/>
    <col min="37" max="37" width="3.5703125" style="3" bestFit="1" customWidth="1"/>
    <col min="38" max="39" width="10.5703125" style="8" customWidth="1"/>
    <col min="40" max="40" width="6.85546875" style="8" customWidth="1"/>
    <col min="41" max="41" width="6.7109375" style="3" customWidth="1"/>
    <col min="42" max="42" width="5.7109375" style="3" bestFit="1" customWidth="1"/>
    <col min="43" max="43" width="3.140625" style="3" bestFit="1" customWidth="1"/>
    <col min="44" max="44" width="10.7109375" style="3" customWidth="1"/>
    <col min="45" max="45" width="8.85546875" style="3" bestFit="1" customWidth="1"/>
    <col min="46" max="46" width="12.5703125" style="3" customWidth="1"/>
    <col min="47" max="47" width="5.7109375" style="3" bestFit="1" customWidth="1"/>
    <col min="48" max="48" width="8.28515625" style="3" customWidth="1"/>
    <col min="49" max="49" width="16.85546875" style="3" customWidth="1"/>
    <col min="50" max="51" width="8.85546875" style="3" bestFit="1" customWidth="1"/>
    <col min="52" max="52" width="7.5703125" style="3" bestFit="1" customWidth="1"/>
    <col min="53" max="53" width="3.5703125" style="3" bestFit="1" customWidth="1"/>
    <col min="54" max="54" width="7.140625" style="3" bestFit="1" customWidth="1"/>
    <col min="55" max="55" width="14.7109375" style="3" customWidth="1"/>
    <col min="56" max="56" width="6" style="3" bestFit="1" customWidth="1"/>
    <col min="57" max="57" width="3.5703125" style="3" bestFit="1" customWidth="1"/>
    <col min="58" max="58" width="10.42578125" style="3" bestFit="1" customWidth="1"/>
    <col min="59" max="59" width="8.85546875" style="3" bestFit="1" customWidth="1"/>
    <col min="60" max="61" width="6.7109375" style="3" bestFit="1" customWidth="1"/>
    <col min="62" max="62" width="8.7109375" style="28" bestFit="1" customWidth="1"/>
    <col min="63" max="64" width="8.85546875" style="3" bestFit="1" customWidth="1"/>
    <col min="65" max="16384" width="9.140625" style="3"/>
  </cols>
  <sheetData>
    <row r="1" spans="1:64" s="65" customFormat="1" ht="15.75" customHeight="1">
      <c r="A1" s="671" t="s">
        <v>31</v>
      </c>
      <c r="B1" s="672"/>
      <c r="C1" s="672"/>
      <c r="D1" s="672"/>
      <c r="E1" s="673"/>
      <c r="F1" s="675" t="s">
        <v>465</v>
      </c>
      <c r="G1" s="676"/>
      <c r="H1" s="676"/>
      <c r="I1" s="676"/>
      <c r="J1" s="676"/>
      <c r="K1" s="676"/>
      <c r="L1" s="676"/>
      <c r="M1" s="676"/>
      <c r="N1" s="676"/>
      <c r="O1" s="676"/>
      <c r="P1" s="676"/>
      <c r="Q1" s="676"/>
      <c r="R1" s="676"/>
      <c r="S1" s="676"/>
      <c r="T1" s="676"/>
      <c r="U1" s="677" t="s">
        <v>70</v>
      </c>
      <c r="V1" s="686" t="s">
        <v>163</v>
      </c>
      <c r="W1" s="671" t="s">
        <v>13</v>
      </c>
      <c r="X1" s="672"/>
      <c r="Y1" s="672"/>
      <c r="Z1" s="672"/>
      <c r="AA1" s="672"/>
      <c r="AB1" s="672"/>
      <c r="AC1" s="672"/>
      <c r="AD1" s="672"/>
      <c r="AE1" s="672"/>
      <c r="AF1" s="673"/>
      <c r="AG1" s="674" t="s">
        <v>14</v>
      </c>
      <c r="AH1" s="674"/>
      <c r="AI1" s="674"/>
      <c r="AJ1" s="674"/>
      <c r="AK1" s="674"/>
      <c r="AL1" s="674"/>
      <c r="AM1" s="674"/>
      <c r="AN1" s="674"/>
      <c r="AO1" s="674"/>
      <c r="AP1" s="671" t="s">
        <v>15</v>
      </c>
      <c r="AQ1" s="672"/>
      <c r="AR1" s="672"/>
      <c r="AS1" s="672"/>
      <c r="AT1" s="672"/>
      <c r="AU1" s="672"/>
      <c r="AV1" s="672"/>
      <c r="AW1" s="672"/>
      <c r="AX1" s="672"/>
      <c r="AY1" s="673"/>
      <c r="AZ1" s="688" t="s">
        <v>16</v>
      </c>
      <c r="BA1" s="688"/>
      <c r="BB1" s="688"/>
      <c r="BC1" s="688"/>
      <c r="BD1" s="688"/>
      <c r="BE1" s="688"/>
      <c r="BF1" s="688"/>
      <c r="BG1" s="688"/>
      <c r="BH1" s="689" t="s">
        <v>17</v>
      </c>
      <c r="BI1" s="690"/>
      <c r="BJ1" s="690"/>
      <c r="BK1" s="690"/>
      <c r="BL1" s="691"/>
    </row>
    <row r="2" spans="1:64" s="4" customFormat="1" ht="34.5" thickBot="1">
      <c r="A2" s="77" t="s">
        <v>19</v>
      </c>
      <c r="B2" s="77"/>
      <c r="C2" s="87" t="s">
        <v>0</v>
      </c>
      <c r="D2" s="66" t="s">
        <v>11</v>
      </c>
      <c r="E2" s="67" t="s">
        <v>12</v>
      </c>
      <c r="F2" s="54" t="s">
        <v>71</v>
      </c>
      <c r="G2" s="40" t="s">
        <v>72</v>
      </c>
      <c r="H2" s="40" t="s">
        <v>255</v>
      </c>
      <c r="I2" s="221" t="s">
        <v>256</v>
      </c>
      <c r="J2" s="40" t="s">
        <v>73</v>
      </c>
      <c r="K2" s="683" t="s">
        <v>29</v>
      </c>
      <c r="L2" s="684"/>
      <c r="M2" s="685"/>
      <c r="N2" s="40" t="s">
        <v>155</v>
      </c>
      <c r="O2" s="40" t="s">
        <v>156</v>
      </c>
      <c r="P2" s="40" t="s">
        <v>91</v>
      </c>
      <c r="Q2" s="40"/>
      <c r="R2" s="40" t="s">
        <v>162</v>
      </c>
      <c r="S2" s="92" t="s">
        <v>97</v>
      </c>
      <c r="T2" s="110" t="s">
        <v>96</v>
      </c>
      <c r="U2" s="678"/>
      <c r="V2" s="687"/>
      <c r="W2" s="54" t="s">
        <v>32</v>
      </c>
      <c r="X2" s="54" t="s">
        <v>19</v>
      </c>
      <c r="Y2" s="40" t="s">
        <v>20</v>
      </c>
      <c r="Z2" s="10" t="s">
        <v>21</v>
      </c>
      <c r="AA2" s="10" t="s">
        <v>22</v>
      </c>
      <c r="AB2" s="40" t="s">
        <v>23</v>
      </c>
      <c r="AC2" s="40" t="s">
        <v>24</v>
      </c>
      <c r="AD2" s="40" t="s">
        <v>25</v>
      </c>
      <c r="AE2" s="679" t="s">
        <v>29</v>
      </c>
      <c r="AF2" s="680"/>
      <c r="AG2" s="54" t="s">
        <v>28</v>
      </c>
      <c r="AH2" s="54" t="s">
        <v>19</v>
      </c>
      <c r="AI2" s="40" t="s">
        <v>20</v>
      </c>
      <c r="AJ2" s="10" t="s">
        <v>27</v>
      </c>
      <c r="AK2" s="10" t="s">
        <v>19</v>
      </c>
      <c r="AL2" s="70" t="s">
        <v>74</v>
      </c>
      <c r="AM2" s="70" t="s">
        <v>75</v>
      </c>
      <c r="AN2" s="681" t="s">
        <v>29</v>
      </c>
      <c r="AO2" s="682"/>
      <c r="AP2" s="54" t="s">
        <v>18</v>
      </c>
      <c r="AQ2" s="54" t="s">
        <v>19</v>
      </c>
      <c r="AR2" s="40" t="s">
        <v>20</v>
      </c>
      <c r="AS2" s="10" t="s">
        <v>21</v>
      </c>
      <c r="AT2" s="10" t="s">
        <v>22</v>
      </c>
      <c r="AU2" s="40" t="s">
        <v>23</v>
      </c>
      <c r="AV2" s="40" t="s">
        <v>24</v>
      </c>
      <c r="AW2" s="40" t="s">
        <v>25</v>
      </c>
      <c r="AX2" s="679" t="s">
        <v>29</v>
      </c>
      <c r="AY2" s="680"/>
      <c r="AZ2" s="54" t="s">
        <v>18</v>
      </c>
      <c r="BA2" s="40" t="s">
        <v>19</v>
      </c>
      <c r="BB2" s="40" t="s">
        <v>20</v>
      </c>
      <c r="BC2" s="40" t="s">
        <v>26</v>
      </c>
      <c r="BD2" s="10" t="s">
        <v>27</v>
      </c>
      <c r="BE2" s="10" t="s">
        <v>19</v>
      </c>
      <c r="BF2" s="40" t="s">
        <v>28</v>
      </c>
      <c r="BG2" s="41" t="s">
        <v>29</v>
      </c>
      <c r="BH2" s="55" t="s">
        <v>30</v>
      </c>
      <c r="BI2" s="55" t="s">
        <v>19</v>
      </c>
      <c r="BJ2" s="56" t="s">
        <v>18</v>
      </c>
      <c r="BK2" s="679" t="s">
        <v>29</v>
      </c>
      <c r="BL2" s="680"/>
    </row>
    <row r="3" spans="1:64" s="185" customFormat="1">
      <c r="A3" s="511" t="str">
        <f>'1-συμβολαια'!A3</f>
        <v>7ο</v>
      </c>
      <c r="B3" s="369">
        <f>'1-συμβολαια'!B3</f>
        <v>38525</v>
      </c>
      <c r="C3" s="340" t="str">
        <f>'1-συμβολαια'!C3</f>
        <v>*γονική ΨΙΛΗΣ ΚΥΡΙΟΤΗΤΑΣ [αγροτεμάχιο ;;;??? Πρίνος -'';;;???'' 580μ2</v>
      </c>
      <c r="D3" s="259" t="str">
        <f>'4-πολλυπρ'!D3</f>
        <v>219-119 = σύζυγος</v>
      </c>
      <c r="E3" s="259" t="str">
        <f>'4-πολλυπρ'!I3</f>
        <v>219-119 = υιός</v>
      </c>
      <c r="F3" s="259">
        <v>2</v>
      </c>
      <c r="G3" s="323">
        <f t="shared" ref="G3" si="0">F3*4</f>
        <v>8</v>
      </c>
      <c r="H3" s="323">
        <v>4</v>
      </c>
      <c r="I3" s="322"/>
      <c r="J3" s="323">
        <f t="shared" ref="J3" si="1">G3+H3+I3</f>
        <v>12</v>
      </c>
      <c r="K3" s="265" t="s">
        <v>450</v>
      </c>
      <c r="L3" s="342" t="s">
        <v>161</v>
      </c>
      <c r="M3" s="342" t="s">
        <v>257</v>
      </c>
      <c r="N3" s="323">
        <v>7.4</v>
      </c>
      <c r="O3" s="323">
        <v>7.4</v>
      </c>
      <c r="P3" s="323">
        <v>1.98</v>
      </c>
      <c r="Q3" s="323"/>
      <c r="R3" s="323">
        <f t="shared" ref="R3" si="2">N3+O3</f>
        <v>14.8</v>
      </c>
      <c r="S3" s="259"/>
      <c r="T3" s="259"/>
      <c r="U3" s="259"/>
      <c r="V3" s="259"/>
      <c r="W3" s="369"/>
      <c r="X3" s="368"/>
      <c r="Y3" s="341" t="s">
        <v>395</v>
      </c>
      <c r="Z3" s="341"/>
      <c r="AA3" s="341" t="s">
        <v>9</v>
      </c>
      <c r="AB3" s="370"/>
      <c r="AC3" s="341"/>
      <c r="AD3" s="341"/>
      <c r="AE3" s="341"/>
      <c r="AF3" s="368"/>
      <c r="AG3" s="369"/>
      <c r="AH3" s="368"/>
      <c r="AI3" s="368"/>
      <c r="AJ3" s="368"/>
      <c r="AK3" s="368"/>
      <c r="AL3" s="368"/>
      <c r="AM3" s="368"/>
      <c r="AN3" s="368"/>
      <c r="AO3" s="368"/>
      <c r="AP3" s="368"/>
      <c r="AQ3" s="368"/>
      <c r="AR3" s="341" t="s">
        <v>395</v>
      </c>
      <c r="AS3" s="368"/>
      <c r="AT3" s="341" t="s">
        <v>9</v>
      </c>
      <c r="AU3" s="368"/>
      <c r="AV3" s="368"/>
      <c r="AW3" s="368"/>
      <c r="AX3" s="368"/>
      <c r="AY3" s="369"/>
      <c r="AZ3" s="368"/>
      <c r="BA3" s="368"/>
      <c r="BB3" s="368"/>
      <c r="BC3" s="370"/>
      <c r="BD3" s="370"/>
      <c r="BE3" s="370"/>
      <c r="BF3" s="370"/>
      <c r="BG3" s="370"/>
      <c r="BH3" s="368"/>
      <c r="BI3" s="368"/>
      <c r="BJ3" s="369"/>
      <c r="BK3" s="370"/>
      <c r="BL3" s="370"/>
    </row>
    <row r="4" spans="1:64" s="185" customFormat="1" ht="12" thickBot="1">
      <c r="A4" s="518">
        <f>'1-συμβολαια'!A4</f>
        <v>0</v>
      </c>
      <c r="B4" s="514"/>
      <c r="C4" s="515" t="str">
        <f>'1-συμβολαια'!C4</f>
        <v>ΧΡΗΣΙΚΤΗΣΙΑ αγροτεμαχίου = 1961 μητρος ΔΩΡΕΑ άτυπη</v>
      </c>
      <c r="D4" s="394">
        <f>'4-πολλυπρ'!D4</f>
        <v>0</v>
      </c>
      <c r="E4" s="394" t="str">
        <f>'4-πολλυπρ'!I4</f>
        <v>219-119 = σύζυγος</v>
      </c>
      <c r="F4" s="394"/>
      <c r="G4" s="388"/>
      <c r="H4" s="388"/>
      <c r="I4" s="394"/>
      <c r="J4" s="388"/>
      <c r="K4" s="496"/>
      <c r="L4" s="516"/>
      <c r="M4" s="516"/>
      <c r="N4" s="388"/>
      <c r="O4" s="388"/>
      <c r="P4" s="388"/>
      <c r="Q4" s="388"/>
      <c r="R4" s="388">
        <f t="shared" ref="R4:R13" si="3">N4+O4</f>
        <v>0</v>
      </c>
      <c r="S4" s="394"/>
      <c r="T4" s="394"/>
      <c r="U4" s="394"/>
      <c r="V4" s="259"/>
      <c r="W4" s="369"/>
      <c r="X4" s="368"/>
      <c r="Y4" s="341" t="s">
        <v>395</v>
      </c>
      <c r="Z4" s="341"/>
      <c r="AA4" s="341" t="s">
        <v>9</v>
      </c>
      <c r="AB4" s="370"/>
      <c r="AC4" s="341"/>
      <c r="AD4" s="341"/>
      <c r="AE4" s="341"/>
      <c r="AF4" s="368"/>
      <c r="AG4" s="369"/>
      <c r="AH4" s="368"/>
      <c r="AI4" s="368"/>
      <c r="AJ4" s="368"/>
      <c r="AK4" s="368"/>
      <c r="AL4" s="368"/>
      <c r="AM4" s="368"/>
      <c r="AN4" s="368"/>
      <c r="AO4" s="368"/>
      <c r="AP4" s="368"/>
      <c r="AQ4" s="368"/>
      <c r="AR4" s="341" t="s">
        <v>395</v>
      </c>
      <c r="AS4" s="368"/>
      <c r="AT4" s="341" t="s">
        <v>9</v>
      </c>
      <c r="AU4" s="368"/>
      <c r="AV4" s="368"/>
      <c r="AW4" s="368"/>
      <c r="AX4" s="368"/>
      <c r="AY4" s="369"/>
      <c r="AZ4" s="368"/>
      <c r="BA4" s="368"/>
      <c r="BB4" s="368"/>
      <c r="BC4" s="370"/>
      <c r="BD4" s="370"/>
      <c r="BE4" s="370"/>
      <c r="BF4" s="370"/>
      <c r="BG4" s="370"/>
      <c r="BH4" s="368"/>
      <c r="BI4" s="368"/>
      <c r="BJ4" s="369"/>
      <c r="BK4" s="370"/>
      <c r="BL4" s="370"/>
    </row>
    <row r="5" spans="1:64" s="185" customFormat="1">
      <c r="A5" s="512" t="str">
        <f>'1-συμβολαια'!A5</f>
        <v>8ο</v>
      </c>
      <c r="B5" s="513">
        <f>'1-συμβολαια'!B5</f>
        <v>39548</v>
      </c>
      <c r="C5" s="340" t="str">
        <f>'1-συμβολαια'!C5</f>
        <v>κληρονομιάς ΑΠΟΔΟΧΗ</v>
      </c>
      <c r="D5" s="322" t="str">
        <f>'4-πολλυπρ'!D5</f>
        <v>219-119</v>
      </c>
      <c r="E5" s="322" t="str">
        <f>'4-πολλυπρ'!I5</f>
        <v>219-119 = σύζυγος</v>
      </c>
      <c r="F5" s="322">
        <f>3*2</f>
        <v>6</v>
      </c>
      <c r="G5" s="323">
        <f t="shared" ref="G5:G12" si="4">F5*4</f>
        <v>24</v>
      </c>
      <c r="H5" s="323">
        <v>4</v>
      </c>
      <c r="I5" s="322"/>
      <c r="J5" s="323">
        <f t="shared" ref="J5:J12" si="5">G5+H5+I5</f>
        <v>28</v>
      </c>
      <c r="K5" s="265" t="s">
        <v>450</v>
      </c>
      <c r="L5" s="342" t="s">
        <v>161</v>
      </c>
      <c r="M5" s="342" t="s">
        <v>257</v>
      </c>
      <c r="N5" s="323">
        <v>7.4</v>
      </c>
      <c r="O5" s="323">
        <v>7.4</v>
      </c>
      <c r="P5" s="323">
        <v>1.98</v>
      </c>
      <c r="Q5" s="323"/>
      <c r="R5" s="323">
        <f t="shared" si="3"/>
        <v>14.8</v>
      </c>
      <c r="S5" s="322"/>
      <c r="T5" s="322"/>
      <c r="U5" s="322"/>
      <c r="V5" s="259"/>
      <c r="W5" s="369"/>
      <c r="X5" s="368"/>
      <c r="Y5" s="341" t="s">
        <v>395</v>
      </c>
      <c r="Z5" s="341"/>
      <c r="AA5" s="341" t="s">
        <v>9</v>
      </c>
      <c r="AB5" s="370"/>
      <c r="AC5" s="341"/>
      <c r="AD5" s="341"/>
      <c r="AE5" s="341"/>
      <c r="AF5" s="368"/>
      <c r="AG5" s="369"/>
      <c r="AH5" s="368"/>
      <c r="AI5" s="368"/>
      <c r="AJ5" s="368"/>
      <c r="AK5" s="368"/>
      <c r="AL5" s="368"/>
      <c r="AM5" s="368"/>
      <c r="AN5" s="368"/>
      <c r="AO5" s="368"/>
      <c r="AP5" s="368"/>
      <c r="AQ5" s="368"/>
      <c r="AR5" s="341" t="s">
        <v>395</v>
      </c>
      <c r="AS5" s="368"/>
      <c r="AT5" s="341" t="s">
        <v>9</v>
      </c>
      <c r="AU5" s="368"/>
      <c r="AV5" s="368"/>
      <c r="AW5" s="368"/>
      <c r="AX5" s="368"/>
      <c r="AY5" s="369"/>
      <c r="AZ5" s="368"/>
      <c r="BA5" s="368"/>
      <c r="BB5" s="368"/>
      <c r="BC5" s="370"/>
      <c r="BD5" s="370"/>
      <c r="BE5" s="370"/>
      <c r="BF5" s="370"/>
      <c r="BG5" s="370"/>
      <c r="BH5" s="368"/>
      <c r="BI5" s="368"/>
      <c r="BJ5" s="369"/>
      <c r="BK5" s="370"/>
      <c r="BL5" s="370"/>
    </row>
    <row r="6" spans="1:64" s="185" customFormat="1">
      <c r="A6" s="510">
        <f>'1-συμβολαια'!A6</f>
        <v>0</v>
      </c>
      <c r="B6" s="369"/>
      <c r="C6" s="340" t="str">
        <f>'1-συμβολαια'!C6</f>
        <v>διανομή [ = 2/8 μήτηρ &amp; από 3/8 τέκνα</v>
      </c>
      <c r="D6" s="259" t="str">
        <f>'4-πολλυπρ'!D6</f>
        <v>219-119 = σύζυγος</v>
      </c>
      <c r="E6" s="259">
        <f>'4-πολλυπρ'!I6</f>
        <v>0</v>
      </c>
      <c r="F6" s="259">
        <v>2</v>
      </c>
      <c r="G6" s="323">
        <f t="shared" si="4"/>
        <v>8</v>
      </c>
      <c r="H6" s="323">
        <v>4</v>
      </c>
      <c r="I6" s="322"/>
      <c r="J6" s="323">
        <f t="shared" si="5"/>
        <v>12</v>
      </c>
      <c r="K6" s="265" t="s">
        <v>450</v>
      </c>
      <c r="L6" s="342" t="s">
        <v>161</v>
      </c>
      <c r="M6" s="342" t="s">
        <v>257</v>
      </c>
      <c r="N6" s="323"/>
      <c r="O6" s="323"/>
      <c r="P6" s="323">
        <v>1.98</v>
      </c>
      <c r="Q6" s="323"/>
      <c r="R6" s="323">
        <f t="shared" si="3"/>
        <v>0</v>
      </c>
      <c r="S6" s="259"/>
      <c r="T6" s="259"/>
      <c r="U6" s="259"/>
      <c r="V6" s="259"/>
      <c r="W6" s="369"/>
      <c r="X6" s="368"/>
      <c r="Y6" s="341" t="s">
        <v>395</v>
      </c>
      <c r="Z6" s="341"/>
      <c r="AA6" s="341" t="s">
        <v>9</v>
      </c>
      <c r="AB6" s="370"/>
      <c r="AC6" s="341"/>
      <c r="AD6" s="341"/>
      <c r="AE6" s="341"/>
      <c r="AF6" s="368"/>
      <c r="AG6" s="369"/>
      <c r="AH6" s="368"/>
      <c r="AI6" s="368"/>
      <c r="AJ6" s="368"/>
      <c r="AK6" s="368"/>
      <c r="AL6" s="368"/>
      <c r="AM6" s="368"/>
      <c r="AN6" s="368"/>
      <c r="AO6" s="368"/>
      <c r="AP6" s="368"/>
      <c r="AQ6" s="368"/>
      <c r="AR6" s="341" t="s">
        <v>395</v>
      </c>
      <c r="AS6" s="368"/>
      <c r="AT6" s="341" t="s">
        <v>9</v>
      </c>
      <c r="AU6" s="368"/>
      <c r="AV6" s="368"/>
      <c r="AW6" s="368"/>
      <c r="AX6" s="368"/>
      <c r="AY6" s="369"/>
      <c r="AZ6" s="368"/>
      <c r="BA6" s="368"/>
      <c r="BB6" s="368"/>
      <c r="BC6" s="370"/>
      <c r="BD6" s="370"/>
      <c r="BE6" s="370"/>
      <c r="BF6" s="370"/>
      <c r="BG6" s="370"/>
      <c r="BH6" s="368"/>
      <c r="BI6" s="368"/>
      <c r="BJ6" s="369"/>
      <c r="BK6" s="370"/>
      <c r="BL6" s="370"/>
    </row>
    <row r="7" spans="1:64" s="185" customFormat="1">
      <c r="A7" s="510">
        <f>'1-συμβολαια'!A7</f>
        <v>0</v>
      </c>
      <c r="B7" s="369"/>
      <c r="C7" s="340" t="str">
        <f>'1-συμβολαια'!C7</f>
        <v>εξισορρόπηση διαφοράς διανεμομένων μεριδίων</v>
      </c>
      <c r="D7" s="259">
        <f>'4-πολλυπρ'!D7</f>
        <v>0</v>
      </c>
      <c r="E7" s="259" t="str">
        <f>'4-πολλυπρ'!I7</f>
        <v>219-119 = σύζυγος</v>
      </c>
      <c r="F7" s="259"/>
      <c r="G7" s="323"/>
      <c r="H7" s="323"/>
      <c r="I7" s="322"/>
      <c r="J7" s="323"/>
      <c r="K7" s="265"/>
      <c r="L7" s="342"/>
      <c r="M7" s="342"/>
      <c r="N7" s="323"/>
      <c r="O7" s="323"/>
      <c r="P7" s="323"/>
      <c r="Q7" s="323"/>
      <c r="R7" s="323">
        <f t="shared" si="3"/>
        <v>0</v>
      </c>
      <c r="S7" s="259"/>
      <c r="T7" s="259"/>
      <c r="U7" s="259"/>
      <c r="V7" s="259"/>
      <c r="W7" s="369"/>
      <c r="X7" s="368"/>
      <c r="Y7" s="341" t="s">
        <v>395</v>
      </c>
      <c r="Z7" s="341"/>
      <c r="AA7" s="341" t="s">
        <v>9</v>
      </c>
      <c r="AB7" s="370"/>
      <c r="AC7" s="341"/>
      <c r="AD7" s="341"/>
      <c r="AE7" s="341"/>
      <c r="AF7" s="368"/>
      <c r="AG7" s="369"/>
      <c r="AH7" s="368"/>
      <c r="AI7" s="368"/>
      <c r="AJ7" s="368"/>
      <c r="AK7" s="368"/>
      <c r="AL7" s="368"/>
      <c r="AM7" s="368"/>
      <c r="AN7" s="368"/>
      <c r="AO7" s="368"/>
      <c r="AP7" s="368"/>
      <c r="AQ7" s="368"/>
      <c r="AR7" s="341" t="s">
        <v>395</v>
      </c>
      <c r="AS7" s="368"/>
      <c r="AT7" s="341" t="s">
        <v>9</v>
      </c>
      <c r="AU7" s="368"/>
      <c r="AV7" s="368"/>
      <c r="AW7" s="368"/>
      <c r="AX7" s="368"/>
      <c r="AY7" s="369"/>
      <c r="AZ7" s="368"/>
      <c r="BA7" s="368"/>
      <c r="BB7" s="368"/>
      <c r="BC7" s="370"/>
      <c r="BD7" s="370"/>
      <c r="BE7" s="370"/>
      <c r="BF7" s="370"/>
      <c r="BG7" s="370"/>
      <c r="BH7" s="368"/>
      <c r="BI7" s="368"/>
      <c r="BJ7" s="369"/>
      <c r="BK7" s="370"/>
      <c r="BL7" s="370"/>
    </row>
    <row r="8" spans="1:64" s="185" customFormat="1">
      <c r="A8" s="510">
        <f>'1-συμβολαια'!A8</f>
        <v>0</v>
      </c>
      <c r="B8" s="369"/>
      <c r="C8" s="340" t="str">
        <f>'1-συμβολαια'!C8</f>
        <v>χρησικτησία αγροτεμάχιο 1' = 1968 ΑΝΑΔΑΣΜΟΣ</v>
      </c>
      <c r="D8" s="259">
        <f>'4-πολλυπρ'!D8</f>
        <v>0</v>
      </c>
      <c r="E8" s="259" t="str">
        <f>'4-πολλυπρ'!I8</f>
        <v>219-119</v>
      </c>
      <c r="F8" s="259">
        <v>1</v>
      </c>
      <c r="G8" s="323">
        <f t="shared" si="4"/>
        <v>4</v>
      </c>
      <c r="H8" s="323">
        <v>4</v>
      </c>
      <c r="I8" s="322"/>
      <c r="J8" s="323">
        <f t="shared" si="5"/>
        <v>8</v>
      </c>
      <c r="K8" s="265" t="s">
        <v>450</v>
      </c>
      <c r="L8" s="342" t="s">
        <v>161</v>
      </c>
      <c r="M8" s="342" t="s">
        <v>257</v>
      </c>
      <c r="N8" s="323"/>
      <c r="O8" s="323"/>
      <c r="P8" s="323">
        <v>1.98</v>
      </c>
      <c r="Q8" s="323"/>
      <c r="R8" s="323">
        <f t="shared" si="3"/>
        <v>0</v>
      </c>
      <c r="S8" s="259"/>
      <c r="T8" s="259"/>
      <c r="U8" s="259"/>
      <c r="V8" s="259"/>
      <c r="W8" s="369"/>
      <c r="X8" s="368"/>
      <c r="Y8" s="341" t="s">
        <v>395</v>
      </c>
      <c r="Z8" s="341"/>
      <c r="AA8" s="341" t="s">
        <v>9</v>
      </c>
      <c r="AB8" s="370"/>
      <c r="AC8" s="341"/>
      <c r="AD8" s="341"/>
      <c r="AE8" s="341"/>
      <c r="AF8" s="368"/>
      <c r="AG8" s="369"/>
      <c r="AH8" s="368"/>
      <c r="AI8" s="368"/>
      <c r="AJ8" s="368"/>
      <c r="AK8" s="368"/>
      <c r="AL8" s="368"/>
      <c r="AM8" s="368"/>
      <c r="AN8" s="368"/>
      <c r="AO8" s="368"/>
      <c r="AP8" s="368"/>
      <c r="AQ8" s="368"/>
      <c r="AR8" s="341" t="s">
        <v>395</v>
      </c>
      <c r="AS8" s="368"/>
      <c r="AT8" s="341" t="s">
        <v>9</v>
      </c>
      <c r="AU8" s="368"/>
      <c r="AV8" s="368"/>
      <c r="AW8" s="368"/>
      <c r="AX8" s="368"/>
      <c r="AY8" s="369"/>
      <c r="AZ8" s="368"/>
      <c r="BA8" s="368"/>
      <c r="BB8" s="368"/>
      <c r="BC8" s="370"/>
      <c r="BD8" s="370"/>
      <c r="BE8" s="370"/>
      <c r="BF8" s="370"/>
      <c r="BG8" s="370"/>
      <c r="BH8" s="368"/>
      <c r="BI8" s="368"/>
      <c r="BJ8" s="369"/>
      <c r="BK8" s="370"/>
      <c r="BL8" s="370"/>
    </row>
    <row r="9" spans="1:64" s="185" customFormat="1" ht="12" thickBot="1">
      <c r="A9" s="517">
        <f>'1-συμβολαια'!A9</f>
        <v>0</v>
      </c>
      <c r="B9" s="514"/>
      <c r="C9" s="515" t="str">
        <f>'1-συμβολαια'!C9</f>
        <v xml:space="preserve">χρησικτησία αγροτεμαχίων 2' έως 10' = 1961 πατρός ΔΩΡΕΑ άτυπος </v>
      </c>
      <c r="D9" s="394">
        <f>'4-πολλυπρ'!D9</f>
        <v>0</v>
      </c>
      <c r="E9" s="394" t="str">
        <f>'4-πολλυπρ'!I9</f>
        <v>219-119</v>
      </c>
      <c r="F9" s="394">
        <v>2</v>
      </c>
      <c r="G9" s="388">
        <f t="shared" ref="G9" si="6">F9*4</f>
        <v>8</v>
      </c>
      <c r="H9" s="388">
        <v>4</v>
      </c>
      <c r="I9" s="394"/>
      <c r="J9" s="388">
        <f t="shared" ref="J9" si="7">G9+H9+I9</f>
        <v>12</v>
      </c>
      <c r="K9" s="496" t="s">
        <v>450</v>
      </c>
      <c r="L9" s="516" t="s">
        <v>161</v>
      </c>
      <c r="M9" s="516" t="s">
        <v>257</v>
      </c>
      <c r="N9" s="388"/>
      <c r="O9" s="388"/>
      <c r="P9" s="388">
        <v>1.98</v>
      </c>
      <c r="Q9" s="388"/>
      <c r="R9" s="388">
        <f t="shared" si="3"/>
        <v>0</v>
      </c>
      <c r="S9" s="394"/>
      <c r="T9" s="394"/>
      <c r="U9" s="394"/>
      <c r="V9" s="394"/>
      <c r="W9" s="369"/>
      <c r="X9" s="368"/>
      <c r="Y9" s="341" t="s">
        <v>395</v>
      </c>
      <c r="Z9" s="341"/>
      <c r="AA9" s="341" t="s">
        <v>9</v>
      </c>
      <c r="AB9" s="370"/>
      <c r="AC9" s="341"/>
      <c r="AD9" s="341"/>
      <c r="AE9" s="341"/>
      <c r="AF9" s="368"/>
      <c r="AG9" s="369"/>
      <c r="AH9" s="368"/>
      <c r="AI9" s="368"/>
      <c r="AJ9" s="368"/>
      <c r="AK9" s="368"/>
      <c r="AL9" s="368"/>
      <c r="AM9" s="368"/>
      <c r="AN9" s="368"/>
      <c r="AO9" s="368"/>
      <c r="AP9" s="368"/>
      <c r="AQ9" s="368"/>
      <c r="AR9" s="341" t="s">
        <v>395</v>
      </c>
      <c r="AS9" s="368"/>
      <c r="AT9" s="341" t="s">
        <v>9</v>
      </c>
      <c r="AU9" s="368"/>
      <c r="AV9" s="368"/>
      <c r="AW9" s="368"/>
      <c r="AX9" s="368"/>
      <c r="AY9" s="369"/>
      <c r="AZ9" s="368"/>
      <c r="BA9" s="368"/>
      <c r="BB9" s="368"/>
      <c r="BC9" s="370"/>
      <c r="BD9" s="370"/>
      <c r="BE9" s="370"/>
      <c r="BF9" s="370"/>
      <c r="BG9" s="370"/>
      <c r="BH9" s="368"/>
      <c r="BI9" s="368"/>
      <c r="BJ9" s="369"/>
      <c r="BK9" s="370"/>
      <c r="BL9" s="370"/>
    </row>
    <row r="10" spans="1:64" s="185" customFormat="1">
      <c r="A10" s="577" t="str">
        <f>'1-συμβολαια'!A10</f>
        <v>9ο</v>
      </c>
      <c r="B10" s="513">
        <f>'1-συμβολαια'!B10</f>
        <v>40009</v>
      </c>
      <c r="C10" s="340" t="str">
        <f>'1-συμβολαια'!C10</f>
        <v>γονική</v>
      </c>
      <c r="D10" s="322" t="str">
        <f>'4-πολλυπρ'!D10</f>
        <v>219-119 = σύζυγος</v>
      </c>
      <c r="E10" s="322" t="str">
        <f>'4-πολλυπρ'!I10</f>
        <v>219-119 = θυγατέρα</v>
      </c>
      <c r="F10" s="322">
        <v>2</v>
      </c>
      <c r="G10" s="323">
        <f t="shared" si="4"/>
        <v>8</v>
      </c>
      <c r="H10" s="323">
        <v>4</v>
      </c>
      <c r="I10" s="322"/>
      <c r="J10" s="323">
        <f t="shared" si="5"/>
        <v>12</v>
      </c>
      <c r="K10" s="265" t="s">
        <v>450</v>
      </c>
      <c r="L10" s="342" t="s">
        <v>161</v>
      </c>
      <c r="M10" s="342" t="s">
        <v>257</v>
      </c>
      <c r="N10" s="323">
        <v>7.4</v>
      </c>
      <c r="O10" s="323">
        <v>7.4</v>
      </c>
      <c r="P10" s="323">
        <v>1.98</v>
      </c>
      <c r="Q10" s="323"/>
      <c r="R10" s="323">
        <f t="shared" si="3"/>
        <v>14.8</v>
      </c>
      <c r="S10" s="322"/>
      <c r="T10" s="322"/>
      <c r="U10" s="322"/>
      <c r="V10" s="322"/>
      <c r="W10" s="369"/>
      <c r="X10" s="368"/>
      <c r="Y10" s="341" t="s">
        <v>395</v>
      </c>
      <c r="Z10" s="341"/>
      <c r="AA10" s="341" t="s">
        <v>9</v>
      </c>
      <c r="AB10" s="370"/>
      <c r="AC10" s="341"/>
      <c r="AD10" s="341"/>
      <c r="AE10" s="341"/>
      <c r="AF10" s="368"/>
      <c r="AG10" s="369"/>
      <c r="AH10" s="368"/>
      <c r="AI10" s="368"/>
      <c r="AJ10" s="368"/>
      <c r="AK10" s="368"/>
      <c r="AL10" s="368"/>
      <c r="AM10" s="368"/>
      <c r="AN10" s="368"/>
      <c r="AO10" s="368"/>
      <c r="AP10" s="368"/>
      <c r="AQ10" s="368"/>
      <c r="AR10" s="341" t="s">
        <v>395</v>
      </c>
      <c r="AS10" s="368"/>
      <c r="AT10" s="341" t="s">
        <v>9</v>
      </c>
      <c r="AU10" s="368"/>
      <c r="AV10" s="368"/>
      <c r="AW10" s="368"/>
      <c r="AX10" s="368"/>
      <c r="AY10" s="369"/>
      <c r="AZ10" s="368"/>
      <c r="BA10" s="368"/>
      <c r="BB10" s="368"/>
      <c r="BC10" s="370"/>
      <c r="BD10" s="370"/>
      <c r="BE10" s="370"/>
      <c r="BF10" s="370"/>
      <c r="BG10" s="370"/>
      <c r="BH10" s="368"/>
      <c r="BI10" s="368"/>
      <c r="BJ10" s="369"/>
      <c r="BK10" s="370"/>
      <c r="BL10" s="370"/>
    </row>
    <row r="11" spans="1:64" s="185" customFormat="1">
      <c r="A11" s="368" t="str">
        <f>'1-συμβολαια'!A11</f>
        <v>10ο</v>
      </c>
      <c r="B11" s="513">
        <f>'1-συμβολαια'!B11</f>
        <v>40009</v>
      </c>
      <c r="C11" s="340" t="str">
        <f>'1-συμβολαια'!C11</f>
        <v>δωρεά</v>
      </c>
      <c r="D11" s="259" t="str">
        <f>'4-πολλυπρ'!D11</f>
        <v>219-119 = υιός</v>
      </c>
      <c r="E11" s="259" t="str">
        <f>'4-πολλυπρ'!I11</f>
        <v>219-119 = θυγατέρα</v>
      </c>
      <c r="F11" s="259">
        <v>2</v>
      </c>
      <c r="G11" s="323">
        <f t="shared" si="4"/>
        <v>8</v>
      </c>
      <c r="H11" s="323">
        <v>4</v>
      </c>
      <c r="I11" s="322"/>
      <c r="J11" s="323">
        <f t="shared" si="5"/>
        <v>12</v>
      </c>
      <c r="K11" s="265" t="s">
        <v>450</v>
      </c>
      <c r="L11" s="342" t="s">
        <v>161</v>
      </c>
      <c r="M11" s="342" t="s">
        <v>257</v>
      </c>
      <c r="N11" s="323"/>
      <c r="O11" s="323"/>
      <c r="P11" s="323">
        <v>1.98</v>
      </c>
      <c r="Q11" s="323"/>
      <c r="R11" s="323">
        <f t="shared" si="3"/>
        <v>0</v>
      </c>
      <c r="S11" s="259"/>
      <c r="T11" s="259"/>
      <c r="U11" s="259"/>
      <c r="V11" s="259"/>
      <c r="W11" s="369"/>
      <c r="X11" s="368"/>
      <c r="Y11" s="341" t="s">
        <v>395</v>
      </c>
      <c r="Z11" s="341"/>
      <c r="AA11" s="341" t="s">
        <v>9</v>
      </c>
      <c r="AB11" s="370"/>
      <c r="AC11" s="341"/>
      <c r="AD11" s="341"/>
      <c r="AE11" s="341"/>
      <c r="AF11" s="368"/>
      <c r="AG11" s="369"/>
      <c r="AH11" s="368"/>
      <c r="AI11" s="368"/>
      <c r="AJ11" s="368"/>
      <c r="AK11" s="368"/>
      <c r="AL11" s="368"/>
      <c r="AM11" s="368"/>
      <c r="AN11" s="368"/>
      <c r="AO11" s="368"/>
      <c r="AP11" s="368"/>
      <c r="AQ11" s="368"/>
      <c r="AR11" s="341" t="s">
        <v>395</v>
      </c>
      <c r="AS11" s="368"/>
      <c r="AT11" s="341" t="s">
        <v>9</v>
      </c>
      <c r="AU11" s="368"/>
      <c r="AV11" s="368"/>
      <c r="AW11" s="368"/>
      <c r="AX11" s="368"/>
      <c r="AY11" s="369"/>
      <c r="AZ11" s="368"/>
      <c r="BA11" s="368"/>
      <c r="BB11" s="368"/>
      <c r="BC11" s="370"/>
      <c r="BD11" s="370"/>
      <c r="BE11" s="370"/>
      <c r="BF11" s="370"/>
      <c r="BG11" s="370"/>
      <c r="BH11" s="368"/>
      <c r="BI11" s="368"/>
      <c r="BJ11" s="369"/>
      <c r="BK11" s="370"/>
      <c r="BL11" s="370"/>
    </row>
    <row r="12" spans="1:64" s="185" customFormat="1">
      <c r="A12" s="368" t="str">
        <f>'1-συμβολαια'!A12</f>
        <v>11ο</v>
      </c>
      <c r="B12" s="513">
        <f>'1-συμβολαια'!B12</f>
        <v>40009</v>
      </c>
      <c r="C12" s="340" t="str">
        <f>'1-συμβολαια'!C12</f>
        <v>γονική</v>
      </c>
      <c r="D12" s="259" t="str">
        <f>'4-πολλυπρ'!D12</f>
        <v>219-119 = σύζυγος</v>
      </c>
      <c r="E12" s="259" t="str">
        <f>'4-πολλυπρ'!I12</f>
        <v>219-119 = υιός</v>
      </c>
      <c r="F12" s="259">
        <v>3</v>
      </c>
      <c r="G12" s="323">
        <f t="shared" si="4"/>
        <v>12</v>
      </c>
      <c r="H12" s="323">
        <v>4</v>
      </c>
      <c r="I12" s="322"/>
      <c r="J12" s="323">
        <f t="shared" si="5"/>
        <v>16</v>
      </c>
      <c r="K12" s="265" t="s">
        <v>450</v>
      </c>
      <c r="L12" s="342" t="s">
        <v>161</v>
      </c>
      <c r="M12" s="342" t="s">
        <v>257</v>
      </c>
      <c r="N12" s="323"/>
      <c r="O12" s="323"/>
      <c r="P12" s="323">
        <v>1.98</v>
      </c>
      <c r="Q12" s="323"/>
      <c r="R12" s="323">
        <f t="shared" si="3"/>
        <v>0</v>
      </c>
      <c r="S12" s="259"/>
      <c r="T12" s="259"/>
      <c r="U12" s="259"/>
      <c r="V12" s="259"/>
      <c r="W12" s="369"/>
      <c r="X12" s="368"/>
      <c r="Y12" s="341" t="s">
        <v>395</v>
      </c>
      <c r="Z12" s="341"/>
      <c r="AA12" s="341" t="s">
        <v>9</v>
      </c>
      <c r="AB12" s="370"/>
      <c r="AC12" s="341"/>
      <c r="AD12" s="341"/>
      <c r="AE12" s="341"/>
      <c r="AF12" s="368"/>
      <c r="AG12" s="369"/>
      <c r="AH12" s="368"/>
      <c r="AI12" s="368"/>
      <c r="AJ12" s="368"/>
      <c r="AK12" s="368"/>
      <c r="AL12" s="368"/>
      <c r="AM12" s="368"/>
      <c r="AN12" s="368"/>
      <c r="AO12" s="368"/>
      <c r="AP12" s="368"/>
      <c r="AQ12" s="368"/>
      <c r="AR12" s="341" t="s">
        <v>395</v>
      </c>
      <c r="AS12" s="368"/>
      <c r="AT12" s="341" t="s">
        <v>9</v>
      </c>
      <c r="AU12" s="368"/>
      <c r="AV12" s="368"/>
      <c r="AW12" s="368"/>
      <c r="AX12" s="368"/>
      <c r="AY12" s="369"/>
      <c r="AZ12" s="368"/>
      <c r="BA12" s="368"/>
      <c r="BB12" s="368"/>
      <c r="BC12" s="370"/>
      <c r="BD12" s="370"/>
      <c r="BE12" s="370"/>
      <c r="BF12" s="370"/>
      <c r="BG12" s="370"/>
      <c r="BH12" s="368"/>
      <c r="BI12" s="368"/>
      <c r="BJ12" s="369"/>
      <c r="BK12" s="370"/>
      <c r="BL12" s="370"/>
    </row>
    <row r="13" spans="1:64" s="185" customFormat="1">
      <c r="A13" s="368" t="str">
        <f>'1-συμβολαια'!A13</f>
        <v>12ο</v>
      </c>
      <c r="B13" s="513">
        <f>'1-συμβολαια'!B13</f>
        <v>40009</v>
      </c>
      <c r="C13" s="576" t="str">
        <f>'1-συμβολαια'!C13</f>
        <v>δωρεά</v>
      </c>
      <c r="D13" s="259" t="str">
        <f>'4-πολλυπρ'!D13</f>
        <v>219-119 = θυγατέρα</v>
      </c>
      <c r="E13" s="259" t="str">
        <f>'4-πολλυπρ'!I13</f>
        <v>219-119 = υιός</v>
      </c>
      <c r="F13" s="259">
        <v>3</v>
      </c>
      <c r="G13" s="323">
        <f t="shared" ref="G13" si="8">F13*4</f>
        <v>12</v>
      </c>
      <c r="H13" s="323">
        <v>4</v>
      </c>
      <c r="I13" s="322"/>
      <c r="J13" s="323">
        <f t="shared" ref="J13" si="9">G13+H13+I13</f>
        <v>16</v>
      </c>
      <c r="K13" s="265" t="s">
        <v>450</v>
      </c>
      <c r="L13" s="342" t="s">
        <v>161</v>
      </c>
      <c r="M13" s="342" t="s">
        <v>257</v>
      </c>
      <c r="N13" s="323"/>
      <c r="O13" s="323"/>
      <c r="P13" s="323">
        <v>1.98</v>
      </c>
      <c r="Q13" s="313"/>
      <c r="R13" s="313">
        <f t="shared" si="3"/>
        <v>0</v>
      </c>
      <c r="S13" s="259"/>
      <c r="T13" s="259"/>
      <c r="U13" s="259"/>
      <c r="V13" s="259"/>
      <c r="W13" s="369"/>
      <c r="X13" s="368"/>
      <c r="Y13" s="341" t="s">
        <v>395</v>
      </c>
      <c r="Z13" s="341"/>
      <c r="AA13" s="341" t="s">
        <v>9</v>
      </c>
      <c r="AB13" s="370"/>
      <c r="AC13" s="341"/>
      <c r="AD13" s="341"/>
      <c r="AE13" s="341"/>
      <c r="AF13" s="368"/>
      <c r="AG13" s="369"/>
      <c r="AH13" s="368"/>
      <c r="AI13" s="368"/>
      <c r="AJ13" s="368"/>
      <c r="AK13" s="368"/>
      <c r="AL13" s="368"/>
      <c r="AM13" s="368"/>
      <c r="AN13" s="368"/>
      <c r="AO13" s="368"/>
      <c r="AP13" s="368"/>
      <c r="AQ13" s="368"/>
      <c r="AR13" s="341" t="s">
        <v>395</v>
      </c>
      <c r="AS13" s="368"/>
      <c r="AT13" s="341" t="s">
        <v>9</v>
      </c>
      <c r="AU13" s="368"/>
      <c r="AV13" s="368"/>
      <c r="AW13" s="368"/>
      <c r="AX13" s="368"/>
      <c r="AY13" s="369"/>
      <c r="AZ13" s="368"/>
      <c r="BA13" s="368"/>
      <c r="BB13" s="368"/>
      <c r="BC13" s="370"/>
      <c r="BD13" s="370"/>
      <c r="BE13" s="370"/>
      <c r="BF13" s="370"/>
      <c r="BG13" s="370"/>
      <c r="BH13" s="368"/>
      <c r="BI13" s="368"/>
      <c r="BJ13" s="369"/>
      <c r="BK13" s="370"/>
      <c r="BL13" s="370"/>
    </row>
    <row r="14" spans="1:64">
      <c r="A14" s="670" t="s">
        <v>35</v>
      </c>
      <c r="B14" s="670"/>
      <c r="C14" s="670"/>
      <c r="D14" s="670"/>
      <c r="E14" s="670"/>
      <c r="F14" s="519">
        <f>SUM(F3:F13)</f>
        <v>23</v>
      </c>
      <c r="G14" s="519">
        <f>SUM(G3:G13)</f>
        <v>92</v>
      </c>
      <c r="H14" s="519">
        <f>SUM(H3:H13)</f>
        <v>36</v>
      </c>
      <c r="I14" s="520">
        <f>SUM(I3:I13)</f>
        <v>0</v>
      </c>
      <c r="J14" s="519">
        <f>SUM(J3:J13)</f>
        <v>128</v>
      </c>
      <c r="K14" s="519"/>
      <c r="L14" s="519"/>
      <c r="M14" s="519"/>
      <c r="N14" s="519">
        <f t="shared" ref="N14:U14" si="10">SUM(N3:N13)</f>
        <v>22.200000000000003</v>
      </c>
      <c r="O14" s="519">
        <f t="shared" si="10"/>
        <v>22.200000000000003</v>
      </c>
      <c r="P14" s="519">
        <f t="shared" si="10"/>
        <v>17.82</v>
      </c>
      <c r="Q14" s="519">
        <f t="shared" si="10"/>
        <v>0</v>
      </c>
      <c r="R14" s="519">
        <f t="shared" si="10"/>
        <v>44.400000000000006</v>
      </c>
      <c r="S14" s="519">
        <f t="shared" si="10"/>
        <v>0</v>
      </c>
      <c r="T14" s="519">
        <f t="shared" si="10"/>
        <v>0</v>
      </c>
      <c r="U14" s="519">
        <f t="shared" si="10"/>
        <v>0</v>
      </c>
      <c r="V14" s="406"/>
      <c r="W14" s="575"/>
      <c r="X14" s="406">
        <f>SUM(X3:X13)</f>
        <v>0</v>
      </c>
      <c r="Y14" s="406"/>
      <c r="Z14" s="406">
        <f>SUM(Z3:Z13)</f>
        <v>0</v>
      </c>
      <c r="AA14" s="406"/>
      <c r="AB14" s="68">
        <f t="shared" ref="AB14:AM14" si="11">SUM(AB3:AB13)</f>
        <v>0</v>
      </c>
      <c r="AC14" s="68">
        <f t="shared" si="11"/>
        <v>0</v>
      </c>
      <c r="AD14" s="68">
        <f t="shared" si="11"/>
        <v>0</v>
      </c>
      <c r="AE14" s="68">
        <f t="shared" si="11"/>
        <v>0</v>
      </c>
      <c r="AF14" s="68">
        <f t="shared" si="11"/>
        <v>0</v>
      </c>
      <c r="AG14" s="129">
        <f t="shared" si="11"/>
        <v>0</v>
      </c>
      <c r="AH14" s="68">
        <f t="shared" si="11"/>
        <v>0</v>
      </c>
      <c r="AI14" s="68">
        <f t="shared" si="11"/>
        <v>0</v>
      </c>
      <c r="AJ14" s="68">
        <f t="shared" si="11"/>
        <v>0</v>
      </c>
      <c r="AK14" s="68">
        <f t="shared" si="11"/>
        <v>0</v>
      </c>
      <c r="AL14" s="71">
        <f t="shared" si="11"/>
        <v>0</v>
      </c>
      <c r="AM14" s="71">
        <f t="shared" si="11"/>
        <v>0</v>
      </c>
      <c r="AN14" s="71"/>
      <c r="AO14" s="68">
        <f>SUM(AO3:AO13)</f>
        <v>0</v>
      </c>
      <c r="AP14" s="68">
        <f>SUM(AP3:AP13)</f>
        <v>0</v>
      </c>
      <c r="AQ14" s="68">
        <f>SUM(AQ3:AQ13)</f>
        <v>0</v>
      </c>
      <c r="AR14" s="68"/>
      <c r="AS14" s="68">
        <f t="shared" ref="AS14:BL14" si="12">SUM(AS3:AS13)</f>
        <v>0</v>
      </c>
      <c r="AT14" s="68">
        <f t="shared" si="12"/>
        <v>0</v>
      </c>
      <c r="AU14" s="68">
        <f t="shared" si="12"/>
        <v>0</v>
      </c>
      <c r="AV14" s="68">
        <f t="shared" si="12"/>
        <v>0</v>
      </c>
      <c r="AW14" s="68">
        <f t="shared" si="12"/>
        <v>0</v>
      </c>
      <c r="AX14" s="68">
        <f t="shared" si="12"/>
        <v>0</v>
      </c>
      <c r="AY14" s="68">
        <f t="shared" si="12"/>
        <v>0</v>
      </c>
      <c r="AZ14" s="68">
        <f t="shared" si="12"/>
        <v>0</v>
      </c>
      <c r="BA14" s="68">
        <f t="shared" si="12"/>
        <v>0</v>
      </c>
      <c r="BB14" s="68">
        <f t="shared" si="12"/>
        <v>0</v>
      </c>
      <c r="BC14" s="68">
        <f t="shared" si="12"/>
        <v>0</v>
      </c>
      <c r="BD14" s="68">
        <f t="shared" si="12"/>
        <v>0</v>
      </c>
      <c r="BE14" s="68">
        <f t="shared" si="12"/>
        <v>0</v>
      </c>
      <c r="BF14" s="68">
        <f t="shared" si="12"/>
        <v>0</v>
      </c>
      <c r="BG14" s="68">
        <f t="shared" si="12"/>
        <v>0</v>
      </c>
      <c r="BH14" s="68">
        <f t="shared" si="12"/>
        <v>0</v>
      </c>
      <c r="BI14" s="68">
        <f t="shared" si="12"/>
        <v>0</v>
      </c>
      <c r="BJ14" s="68">
        <f t="shared" si="12"/>
        <v>0</v>
      </c>
      <c r="BK14" s="68">
        <f t="shared" si="12"/>
        <v>0</v>
      </c>
      <c r="BL14" s="68">
        <f t="shared" si="12"/>
        <v>0</v>
      </c>
    </row>
    <row r="15" spans="1:64">
      <c r="N15" s="132" t="s">
        <v>494</v>
      </c>
    </row>
    <row r="16" spans="1:64">
      <c r="H16" s="132"/>
      <c r="I16" s="132"/>
      <c r="J16" s="303" t="s">
        <v>99</v>
      </c>
      <c r="K16" s="132"/>
      <c r="L16" s="132"/>
      <c r="M16" s="132"/>
      <c r="N16" s="132"/>
      <c r="O16" s="132" t="s">
        <v>494</v>
      </c>
      <c r="P16" s="112"/>
      <c r="Q16" s="112"/>
      <c r="V16" s="173" t="s">
        <v>163</v>
      </c>
      <c r="AC16" s="2"/>
      <c r="AE16" s="112" t="s">
        <v>100</v>
      </c>
      <c r="AL16" s="212" t="s">
        <v>101</v>
      </c>
    </row>
    <row r="17" spans="3:22">
      <c r="C17" s="3"/>
      <c r="D17" s="8" t="s">
        <v>568</v>
      </c>
      <c r="E17" s="360"/>
      <c r="F17" s="8"/>
      <c r="H17" s="3"/>
      <c r="I17" s="3"/>
      <c r="J17" s="3"/>
      <c r="K17" s="152" t="s">
        <v>157</v>
      </c>
      <c r="L17" s="113"/>
      <c r="M17" s="113"/>
      <c r="O17" s="132"/>
      <c r="P17" s="3"/>
      <c r="Q17" s="3"/>
      <c r="R17" s="3"/>
      <c r="S17" s="152" t="s">
        <v>164</v>
      </c>
      <c r="V17" s="9"/>
    </row>
    <row r="18" spans="3:22">
      <c r="C18" s="386"/>
      <c r="D18" s="360" t="s">
        <v>534</v>
      </c>
      <c r="E18" s="482"/>
      <c r="F18" s="8"/>
      <c r="H18" s="3"/>
      <c r="I18" s="3"/>
      <c r="J18" s="3"/>
      <c r="K18" s="113" t="s">
        <v>158</v>
      </c>
      <c r="L18" s="113"/>
      <c r="M18" s="113"/>
      <c r="O18" s="3"/>
      <c r="P18" s="3"/>
      <c r="Q18" s="3"/>
      <c r="R18" s="3"/>
      <c r="T18" s="113" t="s">
        <v>165</v>
      </c>
      <c r="V18" s="9"/>
    </row>
    <row r="19" spans="3:22">
      <c r="C19" s="386"/>
      <c r="D19" s="360" t="s">
        <v>536</v>
      </c>
      <c r="E19" s="9"/>
      <c r="F19" s="8"/>
      <c r="I19" s="3"/>
      <c r="K19" s="113"/>
      <c r="L19" s="152" t="s">
        <v>159</v>
      </c>
      <c r="M19" s="113"/>
      <c r="P19" s="147" t="s">
        <v>442</v>
      </c>
      <c r="Q19" s="4"/>
      <c r="V19" s="9"/>
    </row>
    <row r="20" spans="3:22">
      <c r="C20" s="440"/>
      <c r="D20" s="360"/>
      <c r="E20" s="9"/>
      <c r="F20" s="8"/>
      <c r="I20" s="3"/>
      <c r="L20" s="113" t="s">
        <v>160</v>
      </c>
      <c r="M20" s="113"/>
      <c r="V20" s="9"/>
    </row>
    <row r="21" spans="3:22">
      <c r="C21" s="440"/>
      <c r="D21" s="360"/>
      <c r="E21" s="9"/>
      <c r="F21" s="8"/>
      <c r="I21" s="3"/>
      <c r="M21" s="152" t="s">
        <v>265</v>
      </c>
      <c r="V21" s="9"/>
    </row>
    <row r="22" spans="3:22">
      <c r="C22" s="90" t="s">
        <v>574</v>
      </c>
      <c r="D22" s="76" t="s">
        <v>569</v>
      </c>
      <c r="E22" s="360"/>
      <c r="F22" s="8"/>
      <c r="M22" s="113" t="s">
        <v>266</v>
      </c>
      <c r="V22" s="9"/>
    </row>
    <row r="23" spans="3:22">
      <c r="C23" s="90" t="s">
        <v>575</v>
      </c>
      <c r="D23" s="360" t="s">
        <v>544</v>
      </c>
      <c r="E23" s="360"/>
      <c r="F23" s="8"/>
      <c r="M23" s="113"/>
      <c r="V23" s="9"/>
    </row>
    <row r="24" spans="3:22">
      <c r="C24" s="90" t="s">
        <v>576</v>
      </c>
      <c r="D24" s="360" t="s">
        <v>562</v>
      </c>
      <c r="E24" s="482"/>
      <c r="F24" s="8"/>
    </row>
    <row r="25" spans="3:22">
      <c r="C25" s="90" t="s">
        <v>577</v>
      </c>
      <c r="D25" s="76"/>
      <c r="E25" s="360"/>
      <c r="F25" s="8"/>
    </row>
    <row r="26" spans="3:22">
      <c r="C26" s="90" t="s">
        <v>578</v>
      </c>
      <c r="D26" s="360"/>
      <c r="E26" s="482"/>
      <c r="F26" s="8"/>
    </row>
    <row r="27" spans="3:22">
      <c r="C27" s="90" t="s">
        <v>579</v>
      </c>
      <c r="D27" s="76"/>
      <c r="E27" s="360"/>
      <c r="F27" s="8"/>
    </row>
    <row r="28" spans="3:22">
      <c r="C28" s="90" t="s">
        <v>580</v>
      </c>
      <c r="D28" s="360"/>
      <c r="E28" s="482"/>
      <c r="F28" s="8"/>
    </row>
    <row r="29" spans="3:22">
      <c r="C29" s="90" t="s">
        <v>581</v>
      </c>
      <c r="D29" s="360"/>
      <c r="E29" s="9"/>
      <c r="F29" s="8"/>
    </row>
    <row r="30" spans="3:22">
      <c r="C30" s="90" t="s">
        <v>582</v>
      </c>
      <c r="D30" s="360"/>
      <c r="E30" s="9"/>
      <c r="F30" s="8"/>
    </row>
    <row r="31" spans="3:22">
      <c r="C31" s="90" t="s">
        <v>583</v>
      </c>
      <c r="D31" s="360"/>
      <c r="E31" s="9"/>
      <c r="F31" s="8"/>
    </row>
    <row r="32" spans="3:22">
      <c r="C32" s="3"/>
      <c r="D32" s="76"/>
      <c r="E32" s="360"/>
      <c r="F32" s="8"/>
    </row>
    <row r="33" spans="3:6">
      <c r="C33" s="3" t="s">
        <v>563</v>
      </c>
      <c r="D33" s="76" t="s">
        <v>570</v>
      </c>
      <c r="E33" s="482"/>
      <c r="F33" s="8"/>
    </row>
    <row r="34" spans="3:6">
      <c r="C34" s="90" t="s">
        <v>579</v>
      </c>
      <c r="D34" s="360" t="s">
        <v>534</v>
      </c>
      <c r="E34" s="9"/>
      <c r="F34" s="8"/>
    </row>
    <row r="35" spans="3:6">
      <c r="C35" s="90" t="s">
        <v>582</v>
      </c>
      <c r="D35" s="360" t="s">
        <v>536</v>
      </c>
      <c r="F35" s="8"/>
    </row>
    <row r="36" spans="3:6">
      <c r="C36" s="3"/>
      <c r="D36" s="360"/>
      <c r="F36" s="8"/>
    </row>
    <row r="37" spans="3:6">
      <c r="C37" s="3"/>
      <c r="D37" s="76"/>
      <c r="E37" s="360"/>
      <c r="F37" s="8"/>
    </row>
    <row r="38" spans="3:6">
      <c r="C38" s="3" t="s">
        <v>565</v>
      </c>
      <c r="D38" s="76" t="s">
        <v>571</v>
      </c>
      <c r="E38" s="482"/>
    </row>
    <row r="39" spans="3:6">
      <c r="C39" s="90" t="s">
        <v>579</v>
      </c>
      <c r="D39" s="360" t="s">
        <v>534</v>
      </c>
    </row>
    <row r="40" spans="3:6">
      <c r="C40" s="90" t="s">
        <v>582</v>
      </c>
      <c r="D40" s="360" t="s">
        <v>536</v>
      </c>
      <c r="E40" s="360"/>
    </row>
    <row r="41" spans="3:6">
      <c r="C41" s="440"/>
      <c r="D41" s="360"/>
      <c r="E41" s="482"/>
    </row>
    <row r="42" spans="3:6">
      <c r="C42" s="3"/>
      <c r="D42" s="2"/>
    </row>
    <row r="43" spans="3:6">
      <c r="C43" s="90" t="s">
        <v>563</v>
      </c>
      <c r="D43" s="76" t="s">
        <v>572</v>
      </c>
    </row>
    <row r="44" spans="3:6">
      <c r="C44" s="90" t="s">
        <v>574</v>
      </c>
      <c r="D44" s="360" t="s">
        <v>537</v>
      </c>
    </row>
    <row r="45" spans="3:6">
      <c r="C45" s="90" t="s">
        <v>575</v>
      </c>
      <c r="D45" s="360" t="s">
        <v>536</v>
      </c>
      <c r="E45" s="360"/>
    </row>
    <row r="46" spans="3:6">
      <c r="C46" s="90" t="s">
        <v>576</v>
      </c>
      <c r="D46" s="360"/>
      <c r="E46" s="482"/>
    </row>
    <row r="47" spans="3:6">
      <c r="C47" s="90" t="s">
        <v>577</v>
      </c>
      <c r="D47" s="2"/>
    </row>
    <row r="48" spans="3:6">
      <c r="C48" s="90" t="s">
        <v>578</v>
      </c>
      <c r="D48" s="76"/>
      <c r="E48" s="360"/>
    </row>
    <row r="49" spans="3:5">
      <c r="C49" s="90" t="s">
        <v>580</v>
      </c>
      <c r="D49" s="360"/>
      <c r="E49" s="482"/>
    </row>
    <row r="50" spans="3:5">
      <c r="C50" s="90" t="s">
        <v>581</v>
      </c>
      <c r="D50" s="2"/>
    </row>
    <row r="51" spans="3:5">
      <c r="C51" s="440"/>
      <c r="D51" s="2"/>
    </row>
    <row r="52" spans="3:5">
      <c r="C52" s="3"/>
      <c r="D52" s="2"/>
    </row>
    <row r="53" spans="3:5">
      <c r="C53" s="3" t="s">
        <v>565</v>
      </c>
      <c r="D53" s="76" t="s">
        <v>573</v>
      </c>
      <c r="E53" s="360"/>
    </row>
    <row r="54" spans="3:5">
      <c r="C54" s="90" t="s">
        <v>574</v>
      </c>
      <c r="D54" s="360" t="s">
        <v>537</v>
      </c>
      <c r="E54" s="482"/>
    </row>
    <row r="55" spans="3:5">
      <c r="C55" s="90" t="s">
        <v>575</v>
      </c>
      <c r="D55" s="360" t="s">
        <v>536</v>
      </c>
    </row>
    <row r="56" spans="3:5">
      <c r="C56" s="90" t="s">
        <v>576</v>
      </c>
      <c r="D56" s="76"/>
      <c r="E56" s="360"/>
    </row>
    <row r="57" spans="3:5">
      <c r="C57" s="90" t="s">
        <v>577</v>
      </c>
      <c r="D57" s="360"/>
      <c r="E57" s="482"/>
    </row>
    <row r="58" spans="3:5">
      <c r="C58" s="90" t="s">
        <v>578</v>
      </c>
      <c r="D58" s="2"/>
    </row>
    <row r="59" spans="3:5">
      <c r="C59" s="90" t="s">
        <v>580</v>
      </c>
      <c r="D59" s="76"/>
      <c r="E59" s="360"/>
    </row>
    <row r="60" spans="3:5">
      <c r="C60" s="90" t="s">
        <v>581</v>
      </c>
      <c r="D60" s="360"/>
      <c r="E60" s="482"/>
    </row>
    <row r="61" spans="3:5">
      <c r="C61" s="90" t="s">
        <v>583</v>
      </c>
      <c r="D61" s="2"/>
    </row>
    <row r="62" spans="3:5">
      <c r="C62" s="3"/>
      <c r="D62" s="76"/>
      <c r="E62" s="360"/>
    </row>
    <row r="63" spans="3:5">
      <c r="C63" s="386"/>
      <c r="D63" s="360"/>
      <c r="E63" s="482"/>
    </row>
    <row r="64" spans="3:5">
      <c r="C64" s="90"/>
      <c r="D64" s="2"/>
    </row>
    <row r="65" spans="3:5">
      <c r="C65" s="3"/>
      <c r="D65" s="76"/>
      <c r="E65" s="360"/>
    </row>
    <row r="66" spans="3:5">
      <c r="C66" s="386"/>
      <c r="D66" s="360"/>
      <c r="E66" s="482"/>
    </row>
    <row r="67" spans="3:5">
      <c r="C67" s="90"/>
      <c r="D67" s="2"/>
    </row>
    <row r="68" spans="3:5">
      <c r="C68" s="90"/>
      <c r="D68" s="8"/>
      <c r="E68" s="9"/>
    </row>
    <row r="69" spans="3:5">
      <c r="C69" s="90"/>
      <c r="D69" s="76"/>
      <c r="E69" s="499"/>
    </row>
    <row r="70" spans="3:5">
      <c r="C70" s="90"/>
      <c r="D70" s="8"/>
    </row>
    <row r="71" spans="3:5">
      <c r="C71" s="90"/>
      <c r="D71" s="8"/>
      <c r="E71" s="9"/>
    </row>
    <row r="72" spans="3:5">
      <c r="C72" s="90"/>
      <c r="D72" s="76"/>
      <c r="E72" s="499"/>
    </row>
    <row r="73" spans="3:5">
      <c r="C73" s="90"/>
      <c r="D73" s="8"/>
    </row>
    <row r="74" spans="3:5">
      <c r="C74" s="90"/>
      <c r="D74" s="8"/>
      <c r="E74" s="9"/>
    </row>
    <row r="75" spans="3:5">
      <c r="C75" s="90"/>
      <c r="D75" s="76"/>
      <c r="E75" s="499"/>
    </row>
    <row r="76" spans="3:5">
      <c r="C76" s="90"/>
      <c r="D76" s="8"/>
    </row>
    <row r="77" spans="3:5">
      <c r="C77" s="90"/>
      <c r="D77" s="8"/>
      <c r="E77" s="9"/>
    </row>
    <row r="78" spans="3:5">
      <c r="C78" s="90"/>
      <c r="D78" s="76"/>
      <c r="E78" s="499"/>
    </row>
    <row r="79" spans="3:5">
      <c r="C79" s="90"/>
      <c r="D79" s="8"/>
    </row>
    <row r="80" spans="3:5">
      <c r="C80" s="90"/>
      <c r="D80" s="8"/>
      <c r="E80" s="9"/>
    </row>
    <row r="81" spans="3:5">
      <c r="C81" s="90"/>
      <c r="D81" s="76"/>
      <c r="E81" s="499"/>
    </row>
    <row r="82" spans="3:5">
      <c r="C82" s="90"/>
      <c r="D82" s="8"/>
      <c r="E82" s="9"/>
    </row>
    <row r="83" spans="3:5">
      <c r="C83" s="90"/>
      <c r="D83" s="8"/>
      <c r="E83" s="9"/>
    </row>
    <row r="84" spans="3:5">
      <c r="C84" s="90"/>
      <c r="D84" s="76"/>
      <c r="E84" s="499"/>
    </row>
    <row r="85" spans="3:5">
      <c r="C85" s="90"/>
      <c r="D85" s="8"/>
    </row>
    <row r="86" spans="3:5">
      <c r="C86" s="90"/>
      <c r="D86" s="8"/>
      <c r="E86" s="9"/>
    </row>
    <row r="87" spans="3:5">
      <c r="C87" s="90"/>
      <c r="D87" s="76"/>
      <c r="E87" s="499"/>
    </row>
    <row r="88" spans="3:5">
      <c r="C88" s="90"/>
      <c r="D88" s="2"/>
    </row>
    <row r="89" spans="3:5">
      <c r="C89" s="90"/>
      <c r="D89" s="2"/>
    </row>
    <row r="90" spans="3:5">
      <c r="C90" s="90"/>
      <c r="D90" s="2"/>
    </row>
    <row r="91" spans="3:5">
      <c r="C91" s="90"/>
      <c r="D91" s="2"/>
    </row>
    <row r="92" spans="3:5">
      <c r="C92" s="90"/>
      <c r="D92" s="2"/>
    </row>
    <row r="93" spans="3:5">
      <c r="C93" s="90"/>
      <c r="D93" s="2"/>
    </row>
    <row r="94" spans="3:5">
      <c r="C94" s="90"/>
      <c r="D94" s="2"/>
    </row>
    <row r="95" spans="3:5">
      <c r="C95" s="90"/>
      <c r="D95" s="2"/>
    </row>
    <row r="96" spans="3:5">
      <c r="C96" s="90"/>
      <c r="D96" s="2"/>
    </row>
    <row r="97" spans="3:4">
      <c r="C97" s="90"/>
      <c r="D97" s="2"/>
    </row>
    <row r="98" spans="3:4">
      <c r="C98" s="90"/>
      <c r="D98" s="2"/>
    </row>
  </sheetData>
  <mergeCells count="15">
    <mergeCell ref="AP1:AY1"/>
    <mergeCell ref="AZ1:BG1"/>
    <mergeCell ref="BH1:BL1"/>
    <mergeCell ref="W1:AF1"/>
    <mergeCell ref="BK2:BL2"/>
    <mergeCell ref="AX2:AY2"/>
    <mergeCell ref="A14:E14"/>
    <mergeCell ref="A1:E1"/>
    <mergeCell ref="AG1:AO1"/>
    <mergeCell ref="F1:T1"/>
    <mergeCell ref="U1:U2"/>
    <mergeCell ref="AE2:AF2"/>
    <mergeCell ref="AN2:AO2"/>
    <mergeCell ref="K2:M2"/>
    <mergeCell ref="V1: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97"/>
  <sheetViews>
    <sheetView workbookViewId="0">
      <pane ySplit="2" topLeftCell="A13" activePane="bottomLeft" state="frozen"/>
      <selection pane="bottomLeft" activeCell="C20" sqref="C20:D67"/>
    </sheetView>
  </sheetViews>
  <sheetFormatPr defaultRowHeight="11.25"/>
  <cols>
    <col min="1" max="1" width="10.5703125" style="8" bestFit="1" customWidth="1"/>
    <col min="2" max="2" width="10.5703125" style="8" customWidth="1"/>
    <col min="3" max="3" width="66.140625" style="88" bestFit="1" customWidth="1"/>
    <col min="4" max="4" width="7.42578125" style="3" customWidth="1"/>
    <col min="5" max="5" width="5.7109375" style="3" customWidth="1"/>
    <col min="6" max="6" width="11.140625" style="2" bestFit="1" customWidth="1"/>
    <col min="7" max="8" width="6.42578125" style="2" customWidth="1"/>
    <col min="9" max="9" width="6.140625" style="2" customWidth="1"/>
    <col min="10" max="10" width="9.28515625" style="2" customWidth="1"/>
    <col min="11" max="11" width="9.85546875" style="2" customWidth="1"/>
    <col min="12" max="12" width="8.85546875" style="2" customWidth="1"/>
    <col min="13" max="13" width="7.85546875" style="2" customWidth="1"/>
    <col min="14" max="20" width="8.85546875" style="2" customWidth="1"/>
    <col min="21" max="21" width="10.7109375" style="2" customWidth="1"/>
    <col min="22" max="22" width="12" style="2" customWidth="1"/>
    <col min="23" max="23" width="9.85546875" style="80" customWidth="1"/>
    <col min="24" max="24" width="7.42578125" style="80" customWidth="1"/>
    <col min="25" max="25" width="11.42578125" style="80" bestFit="1" customWidth="1"/>
    <col min="26" max="26" width="13" style="80" customWidth="1"/>
    <col min="27" max="16384" width="9.140625" style="3"/>
  </cols>
  <sheetData>
    <row r="1" spans="1:26" s="4" customFormat="1" ht="15.75" customHeight="1">
      <c r="A1" s="697" t="s">
        <v>31</v>
      </c>
      <c r="B1" s="698"/>
      <c r="C1" s="698"/>
      <c r="D1" s="698"/>
      <c r="E1" s="699"/>
      <c r="F1" s="703" t="s">
        <v>168</v>
      </c>
      <c r="G1" s="704"/>
      <c r="H1" s="704"/>
      <c r="I1" s="704"/>
      <c r="J1" s="692" t="s">
        <v>162</v>
      </c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2"/>
      <c r="V1" s="692"/>
      <c r="W1" s="693" t="s">
        <v>29</v>
      </c>
      <c r="X1" s="694"/>
      <c r="Y1" s="694"/>
      <c r="Z1" s="694"/>
    </row>
    <row r="2" spans="1:26" s="4" customFormat="1" ht="23.25" thickBot="1">
      <c r="A2" s="10" t="s">
        <v>19</v>
      </c>
      <c r="B2" s="10"/>
      <c r="C2" s="144" t="s">
        <v>0</v>
      </c>
      <c r="D2" s="54" t="s">
        <v>11</v>
      </c>
      <c r="E2" s="145" t="s">
        <v>12</v>
      </c>
      <c r="F2" s="40" t="s">
        <v>466</v>
      </c>
      <c r="G2" s="705" t="s">
        <v>29</v>
      </c>
      <c r="H2" s="706"/>
      <c r="I2" s="707"/>
      <c r="J2" s="40" t="s">
        <v>88</v>
      </c>
      <c r="K2" s="40" t="s">
        <v>89</v>
      </c>
      <c r="L2" s="54"/>
      <c r="M2" s="40" t="s">
        <v>237</v>
      </c>
      <c r="N2" s="40" t="s">
        <v>238</v>
      </c>
      <c r="O2" s="40" t="s">
        <v>239</v>
      </c>
      <c r="P2" s="54" t="s">
        <v>521</v>
      </c>
      <c r="Q2" s="54" t="s">
        <v>36</v>
      </c>
      <c r="R2" s="54" t="s">
        <v>522</v>
      </c>
      <c r="S2" s="54"/>
      <c r="T2" s="54" t="s">
        <v>523</v>
      </c>
      <c r="U2" s="54" t="s">
        <v>524</v>
      </c>
      <c r="V2" s="54" t="s">
        <v>47</v>
      </c>
      <c r="W2" s="695"/>
      <c r="X2" s="696"/>
      <c r="Y2" s="696"/>
      <c r="Z2" s="696"/>
    </row>
    <row r="3" spans="1:26" s="185" customFormat="1">
      <c r="A3" s="511" t="str">
        <f>'1-συμβολαια'!A3</f>
        <v>7ο</v>
      </c>
      <c r="B3" s="369">
        <f>'1-συμβολαια'!B3</f>
        <v>38525</v>
      </c>
      <c r="C3" s="340" t="str">
        <f>'1-συμβολαια'!C3</f>
        <v>*γονική ΨΙΛΗΣ ΚΥΡΙΟΤΗΤΑΣ [αγροτεμάχιο ;;;??? Πρίνος -'';;;???'' 580μ2</v>
      </c>
      <c r="D3" s="259" t="str">
        <f>'4-πολλυπρ'!D3</f>
        <v>219-119 = σύζυγος</v>
      </c>
      <c r="E3" s="259" t="str">
        <f>'4-πολλυπρ'!I3</f>
        <v>219-119 = υιός</v>
      </c>
      <c r="F3" s="323">
        <f>2*5</f>
        <v>10</v>
      </c>
      <c r="G3" s="342" t="s">
        <v>525</v>
      </c>
      <c r="H3" s="342" t="s">
        <v>526</v>
      </c>
      <c r="I3" s="323"/>
      <c r="J3" s="323">
        <v>7.4</v>
      </c>
      <c r="K3" s="323">
        <v>7.4</v>
      </c>
      <c r="L3" s="323"/>
      <c r="M3" s="323">
        <v>25</v>
      </c>
      <c r="N3" s="323"/>
      <c r="O3" s="323"/>
      <c r="P3" s="323"/>
      <c r="Q3" s="323"/>
      <c r="R3" s="323"/>
      <c r="S3" s="323"/>
      <c r="T3" s="323"/>
      <c r="U3" s="323"/>
      <c r="V3" s="323">
        <f t="shared" ref="V3:V13" si="0">SUM(J3:U3)-L3</f>
        <v>39.799999999999997</v>
      </c>
      <c r="W3" s="324"/>
      <c r="X3" s="324"/>
      <c r="Y3" s="407"/>
      <c r="Z3" s="266"/>
    </row>
    <row r="4" spans="1:26" s="185" customFormat="1" ht="12" thickBot="1">
      <c r="A4" s="518">
        <f>'1-συμβολαια'!A4</f>
        <v>0</v>
      </c>
      <c r="B4" s="514">
        <f>'1-συμβολαια'!B4</f>
        <v>0</v>
      </c>
      <c r="C4" s="515" t="str">
        <f>'1-συμβολαια'!C4</f>
        <v>ΧΡΗΣΙΚΤΗΣΙΑ αγροτεμαχίου = 1961 μητρος ΔΩΡΕΑ άτυπη</v>
      </c>
      <c r="D4" s="394">
        <f>'4-πολλυπρ'!D4</f>
        <v>0</v>
      </c>
      <c r="E4" s="394" t="str">
        <f>'4-πολλυπρ'!I4</f>
        <v>219-119 = σύζυγος</v>
      </c>
      <c r="F4" s="388">
        <f t="shared" ref="F4:F13" si="1">2*5</f>
        <v>10</v>
      </c>
      <c r="G4" s="516" t="s">
        <v>525</v>
      </c>
      <c r="H4" s="516" t="s">
        <v>526</v>
      </c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>
        <f t="shared" si="0"/>
        <v>0</v>
      </c>
      <c r="W4" s="502"/>
      <c r="X4" s="502"/>
      <c r="Y4" s="407"/>
      <c r="Z4" s="266"/>
    </row>
    <row r="5" spans="1:26" s="185" customFormat="1">
      <c r="A5" s="512" t="str">
        <f>'1-συμβολαια'!A5</f>
        <v>8ο</v>
      </c>
      <c r="B5" s="513">
        <f>'1-συμβολαια'!B5</f>
        <v>39548</v>
      </c>
      <c r="C5" s="340" t="str">
        <f>'1-συμβολαια'!C5</f>
        <v>κληρονομιάς ΑΠΟΔΟΧΗ</v>
      </c>
      <c r="D5" s="322" t="str">
        <f>'4-πολλυπρ'!D5</f>
        <v>219-119</v>
      </c>
      <c r="E5" s="322" t="str">
        <f>'4-πολλυπρ'!I5</f>
        <v>219-119 = σύζυγος</v>
      </c>
      <c r="F5" s="323">
        <f>3*2*5</f>
        <v>30</v>
      </c>
      <c r="G5" s="342" t="s">
        <v>525</v>
      </c>
      <c r="H5" s="342" t="s">
        <v>526</v>
      </c>
      <c r="I5" s="323"/>
      <c r="J5" s="323">
        <v>7.4</v>
      </c>
      <c r="K5" s="323">
        <v>7.4</v>
      </c>
      <c r="L5" s="323"/>
      <c r="M5" s="323">
        <f>10*5*5</f>
        <v>250</v>
      </c>
      <c r="N5" s="323"/>
      <c r="O5" s="323"/>
      <c r="P5" s="323"/>
      <c r="Q5" s="323"/>
      <c r="R5" s="323"/>
      <c r="S5" s="323"/>
      <c r="T5" s="323"/>
      <c r="U5" s="323"/>
      <c r="V5" s="323">
        <f t="shared" si="0"/>
        <v>264.8</v>
      </c>
      <c r="W5" s="500"/>
      <c r="X5" s="500"/>
      <c r="Y5" s="407"/>
      <c r="Z5" s="266"/>
    </row>
    <row r="6" spans="1:26" s="185" customFormat="1">
      <c r="A6" s="510">
        <f>'1-συμβολαια'!A6</f>
        <v>0</v>
      </c>
      <c r="B6" s="369"/>
      <c r="C6" s="340" t="str">
        <f>'1-συμβολαια'!C6</f>
        <v>διανομή [ = 2/8 μήτηρ &amp; από 3/8 τέκνα</v>
      </c>
      <c r="D6" s="259" t="str">
        <f>'4-πολλυπρ'!D6</f>
        <v>219-119 = σύζυγος</v>
      </c>
      <c r="E6" s="259">
        <f>'4-πολλυπρ'!I6</f>
        <v>0</v>
      </c>
      <c r="F6" s="323">
        <f t="shared" si="1"/>
        <v>10</v>
      </c>
      <c r="G6" s="342" t="s">
        <v>525</v>
      </c>
      <c r="H6" s="342" t="s">
        <v>526</v>
      </c>
      <c r="I6" s="323"/>
      <c r="J6" s="323"/>
      <c r="K6" s="323"/>
      <c r="L6" s="323"/>
      <c r="M6" s="323"/>
      <c r="N6" s="323"/>
      <c r="O6" s="323"/>
      <c r="P6" s="323"/>
      <c r="Q6" s="323"/>
      <c r="R6" s="323"/>
      <c r="S6" s="323"/>
      <c r="T6" s="323"/>
      <c r="U6" s="323"/>
      <c r="V6" s="323">
        <f t="shared" si="0"/>
        <v>0</v>
      </c>
      <c r="W6" s="324"/>
      <c r="X6" s="324"/>
      <c r="Y6" s="407"/>
      <c r="Z6" s="266"/>
    </row>
    <row r="7" spans="1:26" s="185" customFormat="1">
      <c r="A7" s="510">
        <f>'1-συμβολαια'!A7</f>
        <v>0</v>
      </c>
      <c r="B7" s="369"/>
      <c r="C7" s="340" t="str">
        <f>'1-συμβολαια'!C7</f>
        <v>εξισορρόπηση διαφοράς διανεμομένων μεριδίων</v>
      </c>
      <c r="D7" s="259">
        <f>'4-πολλυπρ'!D7</f>
        <v>0</v>
      </c>
      <c r="E7" s="259" t="str">
        <f>'4-πολλυπρ'!I7</f>
        <v>219-119 = σύζυγος</v>
      </c>
      <c r="F7" s="323">
        <f>2*2*5</f>
        <v>20</v>
      </c>
      <c r="G7" s="342" t="s">
        <v>525</v>
      </c>
      <c r="H7" s="342" t="s">
        <v>526</v>
      </c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>
        <f t="shared" si="0"/>
        <v>0</v>
      </c>
      <c r="W7" s="324"/>
      <c r="X7" s="324"/>
      <c r="Y7" s="407"/>
      <c r="Z7" s="266"/>
    </row>
    <row r="8" spans="1:26" s="185" customFormat="1">
      <c r="A8" s="510">
        <f>'1-συμβολαια'!A8</f>
        <v>0</v>
      </c>
      <c r="B8" s="369"/>
      <c r="C8" s="340" t="str">
        <f>'1-συμβολαια'!C8</f>
        <v>χρησικτησία αγροτεμάχιο 1' = 1968 ΑΝΑΔΑΣΜΟΣ</v>
      </c>
      <c r="D8" s="259">
        <f>'4-πολλυπρ'!D8</f>
        <v>0</v>
      </c>
      <c r="E8" s="259" t="str">
        <f>'4-πολλυπρ'!I8</f>
        <v>219-119</v>
      </c>
      <c r="F8" s="323">
        <f t="shared" si="1"/>
        <v>10</v>
      </c>
      <c r="G8" s="342" t="s">
        <v>525</v>
      </c>
      <c r="H8" s="342" t="s">
        <v>526</v>
      </c>
      <c r="I8" s="323"/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>
        <f t="shared" si="0"/>
        <v>0</v>
      </c>
      <c r="W8" s="324"/>
      <c r="X8" s="324"/>
      <c r="Y8" s="407"/>
      <c r="Z8" s="266"/>
    </row>
    <row r="9" spans="1:26" s="185" customFormat="1" ht="12" thickBot="1">
      <c r="A9" s="517">
        <f>'1-συμβολαια'!A9</f>
        <v>0</v>
      </c>
      <c r="B9" s="514"/>
      <c r="C9" s="515" t="str">
        <f>'1-συμβολαια'!C9</f>
        <v xml:space="preserve">χρησικτησία αγροτεμαχίων 2' έως 10' = 1961 πατρός ΔΩΡΕΑ άτυπος </v>
      </c>
      <c r="D9" s="394">
        <f>'4-πολλυπρ'!D9</f>
        <v>0</v>
      </c>
      <c r="E9" s="394" t="str">
        <f>'4-πολλυπρ'!I9</f>
        <v>219-119</v>
      </c>
      <c r="F9" s="388">
        <f t="shared" si="1"/>
        <v>10</v>
      </c>
      <c r="G9" s="516" t="s">
        <v>525</v>
      </c>
      <c r="H9" s="516" t="s">
        <v>526</v>
      </c>
      <c r="I9" s="388"/>
      <c r="J9" s="388"/>
      <c r="K9" s="388"/>
      <c r="L9" s="388"/>
      <c r="M9" s="388"/>
      <c r="N9" s="388"/>
      <c r="O9" s="388"/>
      <c r="P9" s="388"/>
      <c r="Q9" s="388"/>
      <c r="R9" s="388"/>
      <c r="S9" s="388"/>
      <c r="T9" s="388"/>
      <c r="U9" s="388"/>
      <c r="V9" s="388">
        <f t="shared" si="0"/>
        <v>0</v>
      </c>
      <c r="W9" s="502"/>
      <c r="X9" s="324"/>
      <c r="Y9" s="407"/>
      <c r="Z9" s="266"/>
    </row>
    <row r="10" spans="1:26" s="185" customFormat="1">
      <c r="A10" s="577" t="str">
        <f>'1-συμβολαια'!A10</f>
        <v>9ο</v>
      </c>
      <c r="B10" s="513">
        <f>'1-συμβολαια'!B10</f>
        <v>40009</v>
      </c>
      <c r="C10" s="340" t="str">
        <f>'1-συμβολαια'!C10</f>
        <v>γονική</v>
      </c>
      <c r="D10" s="322" t="str">
        <f>'4-πολλυπρ'!D10</f>
        <v>219-119 = σύζυγος</v>
      </c>
      <c r="E10" s="322" t="str">
        <f>'4-πολλυπρ'!I10</f>
        <v>219-119 = θυγατέρα</v>
      </c>
      <c r="F10" s="323">
        <f t="shared" si="1"/>
        <v>10</v>
      </c>
      <c r="G10" s="342" t="s">
        <v>525</v>
      </c>
      <c r="H10" s="342" t="s">
        <v>526</v>
      </c>
      <c r="I10" s="323"/>
      <c r="J10" s="323">
        <v>7.4</v>
      </c>
      <c r="K10" s="323">
        <v>7.4</v>
      </c>
      <c r="L10" s="323"/>
      <c r="M10" s="323">
        <f>2*5*5</f>
        <v>50</v>
      </c>
      <c r="N10" s="323"/>
      <c r="O10" s="323"/>
      <c r="P10" s="323"/>
      <c r="Q10" s="323"/>
      <c r="R10" s="323"/>
      <c r="S10" s="323"/>
      <c r="T10" s="323"/>
      <c r="U10" s="323"/>
      <c r="V10" s="323">
        <f t="shared" si="0"/>
        <v>64.8</v>
      </c>
      <c r="W10" s="500"/>
      <c r="X10" s="324"/>
      <c r="Y10" s="407"/>
      <c r="Z10" s="266"/>
    </row>
    <row r="11" spans="1:26" s="185" customFormat="1">
      <c r="A11" s="368" t="str">
        <f>'1-συμβολαια'!A11</f>
        <v>10ο</v>
      </c>
      <c r="B11" s="369">
        <f>'1-συμβολαια'!B11</f>
        <v>40009</v>
      </c>
      <c r="C11" s="340" t="str">
        <f>'1-συμβολαια'!C11</f>
        <v>δωρεά</v>
      </c>
      <c r="D11" s="259" t="str">
        <f>'4-πολλυπρ'!D11</f>
        <v>219-119 = υιός</v>
      </c>
      <c r="E11" s="259" t="str">
        <f>'4-πολλυπρ'!I11</f>
        <v>219-119 = θυγατέρα</v>
      </c>
      <c r="F11" s="323">
        <f t="shared" si="1"/>
        <v>10</v>
      </c>
      <c r="G11" s="342" t="s">
        <v>525</v>
      </c>
      <c r="H11" s="342" t="s">
        <v>526</v>
      </c>
      <c r="I11" s="323"/>
      <c r="J11" s="323"/>
      <c r="K11" s="323"/>
      <c r="L11" s="323"/>
      <c r="M11" s="323">
        <f>2*5*5</f>
        <v>50</v>
      </c>
      <c r="N11" s="323"/>
      <c r="O11" s="323"/>
      <c r="P11" s="323"/>
      <c r="Q11" s="323"/>
      <c r="R11" s="323"/>
      <c r="S11" s="323"/>
      <c r="T11" s="323">
        <f t="shared" ref="T11" si="2">4*5</f>
        <v>20</v>
      </c>
      <c r="U11" s="323">
        <f t="shared" ref="U11" si="3">(4+30)*4</f>
        <v>136</v>
      </c>
      <c r="V11" s="323">
        <f t="shared" si="0"/>
        <v>206</v>
      </c>
      <c r="W11" s="324"/>
      <c r="X11" s="324"/>
      <c r="Y11" s="407"/>
      <c r="Z11" s="266"/>
    </row>
    <row r="12" spans="1:26" s="185" customFormat="1">
      <c r="A12" s="368" t="str">
        <f>'1-συμβολαια'!A12</f>
        <v>11ο</v>
      </c>
      <c r="B12" s="369">
        <f>'1-συμβολαια'!B12</f>
        <v>40009</v>
      </c>
      <c r="C12" s="340" t="str">
        <f>'1-συμβολαια'!C12</f>
        <v>γονική</v>
      </c>
      <c r="D12" s="259" t="str">
        <f>'4-πολλυπρ'!D12</f>
        <v>219-119 = σύζυγος</v>
      </c>
      <c r="E12" s="259" t="str">
        <f>'4-πολλυπρ'!I12</f>
        <v>219-119 = υιός</v>
      </c>
      <c r="F12" s="323">
        <f t="shared" si="1"/>
        <v>10</v>
      </c>
      <c r="G12" s="342" t="s">
        <v>525</v>
      </c>
      <c r="H12" s="342" t="s">
        <v>526</v>
      </c>
      <c r="I12" s="323"/>
      <c r="J12" s="323"/>
      <c r="K12" s="323"/>
      <c r="L12" s="323"/>
      <c r="M12" s="323">
        <f>7*5*5</f>
        <v>175</v>
      </c>
      <c r="N12" s="323"/>
      <c r="O12" s="323"/>
      <c r="P12" s="323"/>
      <c r="Q12" s="323"/>
      <c r="R12" s="323"/>
      <c r="S12" s="323"/>
      <c r="T12" s="323">
        <f t="shared" ref="T12" si="4">6*5</f>
        <v>30</v>
      </c>
      <c r="U12" s="323">
        <f t="shared" ref="U12" si="5">(4+50)*4</f>
        <v>216</v>
      </c>
      <c r="V12" s="323">
        <f t="shared" si="0"/>
        <v>421</v>
      </c>
      <c r="W12" s="324"/>
      <c r="X12" s="324"/>
      <c r="Y12" s="407"/>
      <c r="Z12" s="266"/>
    </row>
    <row r="13" spans="1:26" s="185" customFormat="1">
      <c r="A13" s="368" t="str">
        <f>'1-συμβολαια'!A13</f>
        <v>12ο</v>
      </c>
      <c r="B13" s="369">
        <f>'1-συμβολαια'!B13</f>
        <v>40009</v>
      </c>
      <c r="C13" s="340" t="str">
        <f>'1-συμβολαια'!C13</f>
        <v>δωρεά</v>
      </c>
      <c r="D13" s="259" t="str">
        <f>'4-πολλυπρ'!D13</f>
        <v>219-119 = θυγατέρα</v>
      </c>
      <c r="E13" s="259" t="str">
        <f>'4-πολλυπρ'!I13</f>
        <v>219-119 = υιός</v>
      </c>
      <c r="F13" s="323">
        <f t="shared" si="1"/>
        <v>10</v>
      </c>
      <c r="G13" s="342" t="s">
        <v>525</v>
      </c>
      <c r="H13" s="342" t="s">
        <v>526</v>
      </c>
      <c r="I13" s="323"/>
      <c r="J13" s="323"/>
      <c r="K13" s="323"/>
      <c r="L13" s="323"/>
      <c r="M13" s="323">
        <f>8*5*5</f>
        <v>200</v>
      </c>
      <c r="N13" s="323"/>
      <c r="O13" s="323"/>
      <c r="P13" s="323"/>
      <c r="Q13" s="323"/>
      <c r="R13" s="323"/>
      <c r="S13" s="323"/>
      <c r="T13" s="323">
        <v>5</v>
      </c>
      <c r="U13" s="323">
        <f>2*4</f>
        <v>8</v>
      </c>
      <c r="V13" s="323">
        <f t="shared" si="0"/>
        <v>213</v>
      </c>
      <c r="W13" s="324"/>
      <c r="X13" s="324"/>
      <c r="Y13" s="407"/>
      <c r="Z13" s="266"/>
    </row>
    <row r="14" spans="1:26">
      <c r="A14" s="700" t="s">
        <v>35</v>
      </c>
      <c r="B14" s="701"/>
      <c r="C14" s="701"/>
      <c r="D14" s="701"/>
      <c r="E14" s="702"/>
      <c r="F14" s="406">
        <f>SUM(F3:F13)</f>
        <v>140</v>
      </c>
      <c r="G14" s="406"/>
      <c r="H14" s="406"/>
      <c r="I14" s="406"/>
      <c r="J14" s="406">
        <f t="shared" ref="J14:W14" si="6">SUM(J3:J13)</f>
        <v>22.200000000000003</v>
      </c>
      <c r="K14" s="406">
        <f t="shared" si="6"/>
        <v>22.200000000000003</v>
      </c>
      <c r="L14" s="406">
        <f t="shared" si="6"/>
        <v>0</v>
      </c>
      <c r="M14" s="406">
        <f t="shared" si="6"/>
        <v>750</v>
      </c>
      <c r="N14" s="406">
        <f t="shared" si="6"/>
        <v>0</v>
      </c>
      <c r="O14" s="406">
        <f t="shared" si="6"/>
        <v>0</v>
      </c>
      <c r="P14" s="406">
        <f t="shared" si="6"/>
        <v>0</v>
      </c>
      <c r="Q14" s="406">
        <f t="shared" si="6"/>
        <v>0</v>
      </c>
      <c r="R14" s="406">
        <f t="shared" si="6"/>
        <v>0</v>
      </c>
      <c r="S14" s="406">
        <f t="shared" si="6"/>
        <v>0</v>
      </c>
      <c r="T14" s="406">
        <f t="shared" si="6"/>
        <v>55</v>
      </c>
      <c r="U14" s="406">
        <f t="shared" si="6"/>
        <v>360</v>
      </c>
      <c r="V14" s="406">
        <f t="shared" si="6"/>
        <v>1209.4000000000001</v>
      </c>
      <c r="W14" s="433">
        <f t="shared" si="6"/>
        <v>0</v>
      </c>
      <c r="X14" s="135"/>
      <c r="Y14" s="3"/>
      <c r="Z14" s="3"/>
    </row>
    <row r="16" spans="1:26" ht="15.75" customHeight="1">
      <c r="J16" s="343" t="s">
        <v>453</v>
      </c>
      <c r="M16" s="127" t="s">
        <v>467</v>
      </c>
      <c r="X16" s="146"/>
      <c r="Y16" s="84"/>
      <c r="Z16" s="146"/>
    </row>
    <row r="17" spans="3:24">
      <c r="G17" s="152" t="s">
        <v>166</v>
      </c>
      <c r="H17" s="113"/>
      <c r="I17" s="80"/>
      <c r="M17" s="167" t="s">
        <v>205</v>
      </c>
      <c r="X17" s="2"/>
    </row>
    <row r="18" spans="3:24">
      <c r="G18" s="80"/>
      <c r="H18" s="113" t="s">
        <v>167</v>
      </c>
      <c r="N18" s="166" t="s">
        <v>206</v>
      </c>
      <c r="W18" s="2"/>
      <c r="X18" s="2"/>
    </row>
    <row r="19" spans="3:24" ht="12.75">
      <c r="O19" s="408" t="s">
        <v>207</v>
      </c>
      <c r="P19" s="409"/>
      <c r="Q19" s="409"/>
      <c r="R19" s="409"/>
      <c r="S19" s="409"/>
      <c r="T19" s="409"/>
      <c r="U19" s="409"/>
      <c r="W19" s="2"/>
      <c r="X19" s="2"/>
    </row>
    <row r="20" spans="3:24" ht="12.75">
      <c r="C20" s="3"/>
      <c r="D20" s="8" t="s">
        <v>568</v>
      </c>
      <c r="O20" s="409"/>
      <c r="P20" s="410" t="s">
        <v>516</v>
      </c>
      <c r="Q20" s="409"/>
      <c r="R20" s="409"/>
      <c r="S20" s="409"/>
      <c r="T20" s="409"/>
      <c r="U20" s="409"/>
      <c r="W20" s="2"/>
      <c r="X20" s="2"/>
    </row>
    <row r="21" spans="3:24" ht="12.75">
      <c r="C21" s="386"/>
      <c r="D21" s="360" t="s">
        <v>534</v>
      </c>
      <c r="E21" s="360"/>
      <c r="F21" s="8"/>
      <c r="O21" s="409"/>
      <c r="P21" s="409"/>
      <c r="Q21" s="410" t="s">
        <v>517</v>
      </c>
      <c r="R21" s="409"/>
      <c r="S21" s="409"/>
      <c r="T21" s="409"/>
      <c r="U21" s="409"/>
      <c r="V21" s="280"/>
    </row>
    <row r="22" spans="3:24" ht="12.75">
      <c r="C22" s="386"/>
      <c r="D22" s="360" t="s">
        <v>536</v>
      </c>
      <c r="E22" s="482"/>
      <c r="F22" s="8"/>
      <c r="H22" s="63"/>
      <c r="I22" s="63"/>
      <c r="J22" s="63"/>
      <c r="K22" s="63"/>
      <c r="L22" s="63"/>
      <c r="M22" s="63"/>
      <c r="N22" s="63"/>
      <c r="O22" s="409"/>
      <c r="P22" s="409"/>
      <c r="Q22" s="409"/>
      <c r="R22" s="410" t="s">
        <v>518</v>
      </c>
      <c r="S22" s="409"/>
      <c r="T22" s="409"/>
      <c r="U22" s="409"/>
      <c r="V22" s="280"/>
      <c r="W22" s="308"/>
    </row>
    <row r="23" spans="3:24" ht="12.75">
      <c r="C23" s="440"/>
      <c r="D23" s="360"/>
      <c r="E23" s="9"/>
      <c r="F23" s="8"/>
      <c r="O23" s="409"/>
      <c r="P23" s="409"/>
      <c r="Q23" s="409"/>
      <c r="R23" s="409"/>
      <c r="S23" s="409"/>
      <c r="T23" s="409" t="s">
        <v>519</v>
      </c>
      <c r="U23" s="409"/>
    </row>
    <row r="24" spans="3:24" ht="12.75">
      <c r="C24" s="440"/>
      <c r="D24" s="360"/>
      <c r="E24" s="9"/>
      <c r="F24" s="8"/>
      <c r="O24" s="409"/>
      <c r="P24" s="409"/>
      <c r="Q24" s="409"/>
      <c r="R24" s="409"/>
      <c r="S24" s="409"/>
      <c r="T24" s="409"/>
      <c r="U24" s="409" t="s">
        <v>520</v>
      </c>
    </row>
    <row r="25" spans="3:24">
      <c r="C25" s="90" t="s">
        <v>574</v>
      </c>
      <c r="D25" s="76" t="s">
        <v>569</v>
      </c>
      <c r="E25" s="9"/>
      <c r="F25" s="8"/>
    </row>
    <row r="26" spans="3:24">
      <c r="C26" s="90" t="s">
        <v>575</v>
      </c>
      <c r="D26" s="360" t="s">
        <v>544</v>
      </c>
      <c r="E26" s="360"/>
      <c r="F26" s="8"/>
    </row>
    <row r="27" spans="3:24">
      <c r="C27" s="90" t="s">
        <v>576</v>
      </c>
      <c r="D27" s="360" t="s">
        <v>562</v>
      </c>
      <c r="E27" s="360"/>
      <c r="F27" s="8"/>
    </row>
    <row r="28" spans="3:24">
      <c r="C28" s="90" t="s">
        <v>577</v>
      </c>
      <c r="D28" s="76"/>
      <c r="E28" s="482"/>
      <c r="F28" s="8"/>
    </row>
    <row r="29" spans="3:24">
      <c r="C29" s="90" t="s">
        <v>578</v>
      </c>
      <c r="D29" s="360"/>
      <c r="E29" s="360"/>
      <c r="F29" s="8"/>
    </row>
    <row r="30" spans="3:24">
      <c r="C30" s="90" t="s">
        <v>579</v>
      </c>
      <c r="D30" s="76"/>
      <c r="E30" s="482"/>
      <c r="F30" s="8"/>
    </row>
    <row r="31" spans="3:24">
      <c r="C31" s="90" t="s">
        <v>580</v>
      </c>
      <c r="D31" s="360"/>
      <c r="E31" s="360"/>
      <c r="F31" s="8"/>
    </row>
    <row r="32" spans="3:24">
      <c r="C32" s="90" t="s">
        <v>581</v>
      </c>
      <c r="D32" s="360"/>
      <c r="E32" s="482"/>
      <c r="F32" s="8"/>
    </row>
    <row r="33" spans="3:6">
      <c r="C33" s="90" t="s">
        <v>582</v>
      </c>
      <c r="D33" s="360"/>
      <c r="E33" s="9"/>
      <c r="F33" s="8"/>
    </row>
    <row r="34" spans="3:6">
      <c r="C34" s="90" t="s">
        <v>583</v>
      </c>
      <c r="D34" s="360"/>
      <c r="E34" s="9"/>
      <c r="F34" s="8"/>
    </row>
    <row r="35" spans="3:6">
      <c r="C35" s="3"/>
      <c r="D35" s="76"/>
      <c r="E35" s="9"/>
      <c r="F35" s="8"/>
    </row>
    <row r="36" spans="3:6">
      <c r="C36" s="3" t="s">
        <v>563</v>
      </c>
      <c r="D36" s="76" t="s">
        <v>570</v>
      </c>
      <c r="E36" s="360"/>
      <c r="F36" s="8"/>
    </row>
    <row r="37" spans="3:6">
      <c r="C37" s="90" t="s">
        <v>579</v>
      </c>
      <c r="D37" s="360" t="s">
        <v>534</v>
      </c>
      <c r="E37" s="482"/>
      <c r="F37" s="8"/>
    </row>
    <row r="38" spans="3:6">
      <c r="C38" s="90" t="s">
        <v>582</v>
      </c>
      <c r="D38" s="360" t="s">
        <v>536</v>
      </c>
      <c r="E38" s="9"/>
      <c r="F38" s="8"/>
    </row>
    <row r="39" spans="3:6">
      <c r="C39" s="3"/>
      <c r="D39" s="360"/>
      <c r="F39" s="8"/>
    </row>
    <row r="40" spans="3:6">
      <c r="C40" s="3"/>
      <c r="D40" s="76"/>
      <c r="F40" s="8"/>
    </row>
    <row r="41" spans="3:6">
      <c r="C41" s="3" t="s">
        <v>565</v>
      </c>
      <c r="D41" s="76" t="s">
        <v>571</v>
      </c>
      <c r="E41" s="360"/>
      <c r="F41" s="8"/>
    </row>
    <row r="42" spans="3:6">
      <c r="C42" s="90" t="s">
        <v>579</v>
      </c>
      <c r="D42" s="360" t="s">
        <v>534</v>
      </c>
      <c r="E42" s="482"/>
      <c r="F42" s="3"/>
    </row>
    <row r="43" spans="3:6">
      <c r="C43" s="90" t="s">
        <v>582</v>
      </c>
      <c r="D43" s="360" t="s">
        <v>536</v>
      </c>
      <c r="F43" s="3"/>
    </row>
    <row r="44" spans="3:6">
      <c r="C44" s="440"/>
      <c r="D44" s="360"/>
      <c r="E44" s="360"/>
      <c r="F44" s="3"/>
    </row>
    <row r="45" spans="3:6">
      <c r="C45" s="3"/>
      <c r="D45" s="2"/>
      <c r="E45" s="482"/>
      <c r="F45" s="3"/>
    </row>
    <row r="46" spans="3:6">
      <c r="C46" s="90" t="s">
        <v>563</v>
      </c>
      <c r="D46" s="76" t="s">
        <v>572</v>
      </c>
      <c r="F46" s="3"/>
    </row>
    <row r="47" spans="3:6">
      <c r="C47" s="90" t="s">
        <v>574</v>
      </c>
      <c r="D47" s="360" t="s">
        <v>537</v>
      </c>
      <c r="F47" s="3"/>
    </row>
    <row r="48" spans="3:6">
      <c r="C48" s="90" t="s">
        <v>575</v>
      </c>
      <c r="D48" s="360" t="s">
        <v>536</v>
      </c>
      <c r="F48" s="3"/>
    </row>
    <row r="49" spans="3:6">
      <c r="C49" s="90" t="s">
        <v>576</v>
      </c>
      <c r="D49" s="360"/>
      <c r="E49" s="360"/>
      <c r="F49" s="3"/>
    </row>
    <row r="50" spans="3:6">
      <c r="C50" s="90" t="s">
        <v>577</v>
      </c>
      <c r="D50" s="2"/>
      <c r="E50" s="482"/>
      <c r="F50" s="3"/>
    </row>
    <row r="51" spans="3:6">
      <c r="C51" s="90" t="s">
        <v>578</v>
      </c>
      <c r="D51" s="76"/>
      <c r="F51" s="3"/>
    </row>
    <row r="52" spans="3:6">
      <c r="C52" s="90" t="s">
        <v>580</v>
      </c>
      <c r="D52" s="360"/>
      <c r="E52" s="360"/>
      <c r="F52" s="3"/>
    </row>
    <row r="53" spans="3:6">
      <c r="C53" s="90" t="s">
        <v>581</v>
      </c>
      <c r="D53" s="2"/>
      <c r="E53" s="482"/>
      <c r="F53" s="3"/>
    </row>
    <row r="54" spans="3:6">
      <c r="C54" s="440"/>
      <c r="D54" s="2"/>
      <c r="F54" s="3"/>
    </row>
    <row r="55" spans="3:6">
      <c r="C55" s="3"/>
      <c r="D55" s="2"/>
      <c r="F55" s="3"/>
    </row>
    <row r="56" spans="3:6">
      <c r="C56" s="3" t="s">
        <v>565</v>
      </c>
      <c r="D56" s="76" t="s">
        <v>573</v>
      </c>
      <c r="F56" s="3"/>
    </row>
    <row r="57" spans="3:6">
      <c r="C57" s="90" t="s">
        <v>574</v>
      </c>
      <c r="D57" s="360" t="s">
        <v>537</v>
      </c>
      <c r="E57" s="360"/>
      <c r="F57" s="3"/>
    </row>
    <row r="58" spans="3:6">
      <c r="C58" s="90" t="s">
        <v>575</v>
      </c>
      <c r="D58" s="360" t="s">
        <v>536</v>
      </c>
      <c r="E58" s="482"/>
      <c r="F58" s="3"/>
    </row>
    <row r="59" spans="3:6">
      <c r="C59" s="90" t="s">
        <v>576</v>
      </c>
      <c r="D59" s="76"/>
      <c r="F59" s="3"/>
    </row>
    <row r="60" spans="3:6">
      <c r="C60" s="90" t="s">
        <v>577</v>
      </c>
      <c r="D60" s="360"/>
      <c r="E60" s="360"/>
      <c r="F60" s="3"/>
    </row>
    <row r="61" spans="3:6">
      <c r="C61" s="90" t="s">
        <v>578</v>
      </c>
      <c r="D61" s="2"/>
      <c r="E61" s="482"/>
      <c r="F61" s="3"/>
    </row>
    <row r="62" spans="3:6">
      <c r="C62" s="90" t="s">
        <v>580</v>
      </c>
      <c r="D62" s="76"/>
      <c r="F62" s="3"/>
    </row>
    <row r="63" spans="3:6">
      <c r="C63" s="90" t="s">
        <v>581</v>
      </c>
      <c r="D63" s="360"/>
      <c r="E63" s="360"/>
      <c r="F63" s="3"/>
    </row>
    <row r="64" spans="3:6">
      <c r="C64" s="90" t="s">
        <v>583</v>
      </c>
      <c r="D64" s="2"/>
      <c r="E64" s="482"/>
      <c r="F64" s="3"/>
    </row>
    <row r="65" spans="3:6">
      <c r="C65" s="3"/>
      <c r="D65" s="76"/>
      <c r="F65" s="3"/>
    </row>
    <row r="66" spans="3:6">
      <c r="C66" s="386"/>
      <c r="D66" s="360"/>
      <c r="E66" s="360"/>
      <c r="F66" s="3"/>
    </row>
    <row r="67" spans="3:6">
      <c r="C67" s="90"/>
      <c r="D67" s="2"/>
      <c r="E67" s="482"/>
      <c r="F67" s="3"/>
    </row>
    <row r="68" spans="3:6">
      <c r="C68" s="3"/>
      <c r="D68" s="76"/>
      <c r="F68" s="3"/>
    </row>
    <row r="69" spans="3:6">
      <c r="C69" s="386"/>
      <c r="D69" s="360"/>
      <c r="E69" s="360"/>
      <c r="F69" s="3"/>
    </row>
    <row r="70" spans="3:6">
      <c r="C70" s="90"/>
      <c r="D70" s="2"/>
      <c r="E70" s="482"/>
      <c r="F70" s="3"/>
    </row>
    <row r="71" spans="3:6">
      <c r="C71" s="90"/>
      <c r="D71" s="2"/>
      <c r="F71" s="3"/>
    </row>
    <row r="72" spans="3:6">
      <c r="C72" s="90"/>
      <c r="D72" s="8"/>
      <c r="E72" s="9"/>
      <c r="F72" s="3"/>
    </row>
    <row r="73" spans="3:6">
      <c r="C73" s="90"/>
      <c r="D73" s="76"/>
      <c r="E73" s="499"/>
      <c r="F73" s="3"/>
    </row>
    <row r="74" spans="3:6">
      <c r="C74" s="90"/>
      <c r="D74" s="8"/>
      <c r="F74" s="3"/>
    </row>
    <row r="75" spans="3:6">
      <c r="C75" s="90"/>
      <c r="D75" s="8"/>
      <c r="E75" s="9"/>
      <c r="F75" s="3"/>
    </row>
    <row r="76" spans="3:6">
      <c r="C76" s="90"/>
      <c r="D76" s="76"/>
      <c r="E76" s="499"/>
      <c r="F76" s="3"/>
    </row>
    <row r="77" spans="3:6">
      <c r="C77" s="90"/>
      <c r="D77" s="8"/>
      <c r="F77" s="3"/>
    </row>
    <row r="78" spans="3:6">
      <c r="C78" s="90"/>
      <c r="D78" s="8"/>
      <c r="E78" s="9"/>
      <c r="F78" s="3"/>
    </row>
    <row r="79" spans="3:6">
      <c r="C79" s="90"/>
      <c r="D79" s="76"/>
      <c r="E79" s="499"/>
      <c r="F79" s="3"/>
    </row>
    <row r="80" spans="3:6">
      <c r="C80" s="90"/>
      <c r="D80" s="8"/>
      <c r="F80" s="3"/>
    </row>
    <row r="81" spans="3:6">
      <c r="C81" s="90"/>
      <c r="D81" s="8"/>
      <c r="E81" s="9"/>
      <c r="F81" s="3"/>
    </row>
    <row r="82" spans="3:6">
      <c r="C82" s="90"/>
      <c r="D82" s="76"/>
      <c r="E82" s="499"/>
      <c r="F82" s="3"/>
    </row>
    <row r="83" spans="3:6">
      <c r="C83" s="90"/>
      <c r="D83" s="8"/>
      <c r="F83" s="3"/>
    </row>
    <row r="84" spans="3:6">
      <c r="C84" s="90"/>
      <c r="D84" s="8"/>
      <c r="E84" s="9"/>
      <c r="F84" s="3"/>
    </row>
    <row r="85" spans="3:6">
      <c r="C85" s="90"/>
      <c r="D85" s="76"/>
      <c r="E85" s="499"/>
      <c r="F85" s="3"/>
    </row>
    <row r="86" spans="3:6">
      <c r="C86" s="90"/>
      <c r="D86" s="8"/>
      <c r="E86" s="9"/>
      <c r="F86" s="3"/>
    </row>
    <row r="87" spans="3:6">
      <c r="C87" s="90"/>
      <c r="D87" s="8"/>
      <c r="E87" s="9"/>
      <c r="F87" s="3"/>
    </row>
    <row r="88" spans="3:6">
      <c r="C88" s="90"/>
      <c r="D88" s="76"/>
      <c r="E88" s="499"/>
      <c r="F88" s="3"/>
    </row>
    <row r="89" spans="3:6">
      <c r="C89" s="90"/>
      <c r="D89" s="8"/>
      <c r="F89" s="3"/>
    </row>
    <row r="90" spans="3:6">
      <c r="C90" s="90"/>
      <c r="D90" s="8"/>
      <c r="E90" s="9"/>
      <c r="F90" s="3"/>
    </row>
    <row r="91" spans="3:6">
      <c r="C91" s="90"/>
      <c r="D91" s="76"/>
      <c r="E91" s="499"/>
      <c r="F91" s="3"/>
    </row>
    <row r="92" spans="3:6">
      <c r="C92" s="90"/>
      <c r="D92" s="2"/>
      <c r="F92" s="3"/>
    </row>
    <row r="93" spans="3:6">
      <c r="C93" s="90"/>
      <c r="D93" s="2"/>
      <c r="F93" s="3"/>
    </row>
    <row r="94" spans="3:6">
      <c r="C94" s="90"/>
      <c r="D94" s="2"/>
      <c r="F94" s="3"/>
    </row>
    <row r="95" spans="3:6">
      <c r="C95" s="90"/>
      <c r="D95" s="2"/>
      <c r="F95" s="3"/>
    </row>
    <row r="96" spans="3:6">
      <c r="C96" s="90"/>
      <c r="D96" s="2"/>
      <c r="F96" s="3"/>
    </row>
    <row r="97" spans="3:6">
      <c r="C97" s="90"/>
      <c r="D97" s="2"/>
      <c r="F97" s="3"/>
    </row>
  </sheetData>
  <mergeCells count="6">
    <mergeCell ref="J1:V1"/>
    <mergeCell ref="W1:Z2"/>
    <mergeCell ref="A1:E1"/>
    <mergeCell ref="A14:E14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5"/>
  <sheetViews>
    <sheetView topLeftCell="H1" workbookViewId="0">
      <pane ySplit="2" topLeftCell="A3" activePane="bottomLeft" state="frozen"/>
      <selection pane="bottomLeft" activeCell="R35" sqref="R35"/>
    </sheetView>
  </sheetViews>
  <sheetFormatPr defaultRowHeight="11.25"/>
  <cols>
    <col min="1" max="1" width="4.42578125" style="3" bestFit="1" customWidth="1"/>
    <col min="2" max="2" width="50.425781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 customWidth="1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 customWidth="1"/>
    <col min="16" max="16" width="9.42578125" style="3" customWidth="1"/>
    <col min="17" max="17" width="9.140625" style="3"/>
    <col min="18" max="21" width="9.140625" style="3" customWidth="1"/>
    <col min="22" max="22" width="13.140625" style="3" customWidth="1"/>
    <col min="23" max="23" width="12" style="3" customWidth="1"/>
    <col min="24" max="25" width="9.140625" style="3" customWidth="1"/>
    <col min="26" max="33" width="9.140625" style="3"/>
    <col min="34" max="34" width="11.85546875" style="3" customWidth="1"/>
    <col min="35" max="16384" width="9.140625" style="3"/>
  </cols>
  <sheetData>
    <row r="1" spans="1:38" ht="15.75">
      <c r="A1" s="717" t="s">
        <v>324</v>
      </c>
      <c r="B1" s="718"/>
      <c r="C1" s="718"/>
      <c r="D1" s="718"/>
      <c r="E1" s="718"/>
      <c r="F1" s="718"/>
      <c r="G1" s="718"/>
      <c r="H1" s="718"/>
      <c r="I1" s="718"/>
      <c r="J1" s="718"/>
      <c r="K1" s="718"/>
      <c r="L1" s="718"/>
      <c r="M1" s="718"/>
      <c r="N1" s="718"/>
      <c r="O1" s="718"/>
      <c r="P1" s="718"/>
      <c r="Q1" s="718"/>
      <c r="R1" s="718"/>
      <c r="S1" s="718"/>
      <c r="T1" s="718"/>
      <c r="U1" s="718"/>
      <c r="V1" s="718"/>
      <c r="W1" s="718"/>
      <c r="X1" s="718"/>
      <c r="Y1" s="718"/>
      <c r="Z1" s="718"/>
      <c r="AA1" s="718"/>
      <c r="AB1" s="718"/>
      <c r="AC1" s="718"/>
      <c r="AD1" s="718"/>
      <c r="AE1" s="719" t="s">
        <v>47</v>
      </c>
      <c r="AF1" s="721" t="s">
        <v>9</v>
      </c>
      <c r="AG1" s="723" t="s">
        <v>33</v>
      </c>
      <c r="AH1" s="708" t="s">
        <v>334</v>
      </c>
      <c r="AI1" s="710" t="s">
        <v>84</v>
      </c>
      <c r="AJ1" s="711"/>
      <c r="AK1" s="711"/>
      <c r="AL1" s="712"/>
    </row>
    <row r="2" spans="1:38" ht="12" thickBot="1">
      <c r="A2" s="187"/>
      <c r="B2" s="188" t="s">
        <v>333</v>
      </c>
      <c r="C2" s="188" t="s">
        <v>85</v>
      </c>
      <c r="D2" s="189" t="s">
        <v>325</v>
      </c>
      <c r="E2" s="170" t="s">
        <v>31</v>
      </c>
      <c r="F2" s="170" t="s">
        <v>326</v>
      </c>
      <c r="G2" s="170" t="s">
        <v>327</v>
      </c>
      <c r="H2" s="170" t="s">
        <v>328</v>
      </c>
      <c r="I2" s="170" t="s">
        <v>329</v>
      </c>
      <c r="J2" s="170" t="s">
        <v>330</v>
      </c>
      <c r="K2" s="679" t="s">
        <v>29</v>
      </c>
      <c r="L2" s="680"/>
      <c r="M2" s="176" t="s">
        <v>331</v>
      </c>
      <c r="N2" s="176" t="s">
        <v>31</v>
      </c>
      <c r="O2" s="176" t="s">
        <v>326</v>
      </c>
      <c r="P2" s="176" t="s">
        <v>327</v>
      </c>
      <c r="Q2" s="176" t="s">
        <v>328</v>
      </c>
      <c r="R2" s="176" t="s">
        <v>329</v>
      </c>
      <c r="S2" s="176" t="s">
        <v>330</v>
      </c>
      <c r="T2" s="681" t="s">
        <v>29</v>
      </c>
      <c r="U2" s="682"/>
      <c r="V2" s="170" t="s">
        <v>332</v>
      </c>
      <c r="W2" s="170" t="s">
        <v>31</v>
      </c>
      <c r="X2" s="170" t="s">
        <v>326</v>
      </c>
      <c r="Y2" s="170" t="s">
        <v>327</v>
      </c>
      <c r="Z2" s="170" t="s">
        <v>328</v>
      </c>
      <c r="AA2" s="170" t="s">
        <v>329</v>
      </c>
      <c r="AB2" s="170" t="s">
        <v>330</v>
      </c>
      <c r="AC2" s="679" t="s">
        <v>29</v>
      </c>
      <c r="AD2" s="680"/>
      <c r="AE2" s="720"/>
      <c r="AF2" s="722"/>
      <c r="AG2" s="724"/>
      <c r="AH2" s="709"/>
      <c r="AI2" s="713"/>
      <c r="AJ2" s="714"/>
      <c r="AK2" s="714"/>
      <c r="AL2" s="715"/>
    </row>
    <row r="3" spans="1:38" s="5" customFormat="1">
      <c r="A3" s="486" t="str">
        <f>'1-συμβολαια'!A3</f>
        <v>7ο</v>
      </c>
      <c r="B3" s="73" t="str">
        <f>'1-συμβολαια'!C3</f>
        <v>*γονική ΨΙΛΗΣ ΚΥΡΙΟΤΗΤΑΣ [αγροτεμάχιο ;;;??? Πρίνος -'';;;???'' 580μ2</v>
      </c>
      <c r="C3" s="330">
        <f>'1-συμβολαια'!D3</f>
        <v>1874.74</v>
      </c>
      <c r="D3" s="330"/>
      <c r="E3" s="73"/>
      <c r="F3" s="73"/>
      <c r="G3" s="73"/>
      <c r="H3" s="73"/>
      <c r="I3" s="73"/>
      <c r="J3" s="73"/>
      <c r="K3" s="73"/>
      <c r="L3" s="73"/>
      <c r="M3" s="330">
        <f>C3*0.65%</f>
        <v>12.185810000000002</v>
      </c>
      <c r="N3" s="73"/>
      <c r="O3" s="73"/>
      <c r="P3" s="73"/>
      <c r="Q3" s="73"/>
      <c r="R3" s="73"/>
      <c r="S3" s="73"/>
      <c r="T3" s="73"/>
      <c r="U3" s="73"/>
      <c r="V3" s="330">
        <f>C3*0.125%</f>
        <v>2.3434249999999999</v>
      </c>
      <c r="W3" s="73"/>
      <c r="X3" s="73"/>
      <c r="Y3" s="73"/>
      <c r="Z3" s="73"/>
      <c r="AA3" s="73"/>
      <c r="AB3" s="73"/>
      <c r="AC3" s="73"/>
      <c r="AD3" s="73"/>
      <c r="AE3" s="316">
        <f t="shared" ref="AE3" si="0">D3+M3+V3</f>
        <v>14.529235000000002</v>
      </c>
      <c r="AF3" s="316">
        <v>14.53</v>
      </c>
      <c r="AG3" s="316">
        <f t="shared" ref="AG3" si="1">AE3-AF3</f>
        <v>-7.649999999976842E-4</v>
      </c>
      <c r="AH3" s="73"/>
      <c r="AI3" s="73"/>
      <c r="AJ3" s="73"/>
      <c r="AK3" s="73"/>
      <c r="AL3" s="73"/>
    </row>
    <row r="4" spans="1:38" s="5" customFormat="1" ht="12" thickBot="1">
      <c r="A4" s="487"/>
      <c r="B4" s="446" t="str">
        <f>'1-συμβολαια'!C4</f>
        <v>ΧΡΗΣΙΚΤΗΣΙΑ αγροτεμαχίου = 1961 μητρος ΔΩΡΕΑ άτυπη</v>
      </c>
      <c r="C4" s="391">
        <f>'1-συμβολαια'!D4</f>
        <v>1111</v>
      </c>
      <c r="D4" s="391"/>
      <c r="E4" s="446"/>
      <c r="F4" s="446"/>
      <c r="G4" s="446"/>
      <c r="H4" s="446"/>
      <c r="I4" s="446"/>
      <c r="J4" s="446"/>
      <c r="K4" s="446"/>
      <c r="L4" s="446"/>
      <c r="M4" s="391">
        <f t="shared" ref="M4:M13" si="2">C4*0.65%</f>
        <v>7.2215000000000007</v>
      </c>
      <c r="N4" s="446"/>
      <c r="O4" s="446"/>
      <c r="P4" s="446"/>
      <c r="Q4" s="446"/>
      <c r="R4" s="446"/>
      <c r="S4" s="446"/>
      <c r="T4" s="446"/>
      <c r="U4" s="446"/>
      <c r="V4" s="391">
        <f t="shared" ref="V4:V13" si="3">C4*0.125%</f>
        <v>1.3887499999999999</v>
      </c>
      <c r="W4" s="446"/>
      <c r="X4" s="446"/>
      <c r="Y4" s="446"/>
      <c r="Z4" s="446"/>
      <c r="AA4" s="446"/>
      <c r="AB4" s="446"/>
      <c r="AC4" s="446"/>
      <c r="AD4" s="446"/>
      <c r="AE4" s="391">
        <f t="shared" ref="AE4:AE13" si="4">D4+M4+V4</f>
        <v>8.6102500000000006</v>
      </c>
      <c r="AF4" s="391"/>
      <c r="AG4" s="391">
        <f t="shared" ref="AG4:AG13" si="5">AE4-AF4</f>
        <v>8.6102500000000006</v>
      </c>
      <c r="AH4" s="446"/>
      <c r="AI4" s="73"/>
      <c r="AJ4" s="73"/>
      <c r="AK4" s="73"/>
      <c r="AL4" s="73"/>
    </row>
    <row r="5" spans="1:38" s="5" customFormat="1">
      <c r="A5" s="473" t="str">
        <f>'1-συμβολαια'!A5</f>
        <v>8ο</v>
      </c>
      <c r="B5" s="445" t="str">
        <f>'1-συμβολαια'!C5</f>
        <v>κληρονομιάς ΑΠΟΔΟΧΗ</v>
      </c>
      <c r="C5" s="316">
        <f>'1-συμβολαια'!D5</f>
        <v>0</v>
      </c>
      <c r="D5" s="316"/>
      <c r="E5" s="445"/>
      <c r="F5" s="445"/>
      <c r="G5" s="445"/>
      <c r="H5" s="445"/>
      <c r="I5" s="445"/>
      <c r="J5" s="445"/>
      <c r="K5" s="445"/>
      <c r="L5" s="445"/>
      <c r="M5" s="316">
        <f t="shared" si="2"/>
        <v>0</v>
      </c>
      <c r="N5" s="445"/>
      <c r="O5" s="445"/>
      <c r="P5" s="445"/>
      <c r="Q5" s="445"/>
      <c r="R5" s="445"/>
      <c r="S5" s="445"/>
      <c r="T5" s="445"/>
      <c r="U5" s="445"/>
      <c r="V5" s="563">
        <f t="shared" si="3"/>
        <v>0</v>
      </c>
      <c r="W5" s="445"/>
      <c r="X5" s="445"/>
      <c r="Y5" s="445"/>
      <c r="Z5" s="445"/>
      <c r="AA5" s="445"/>
      <c r="AB5" s="445"/>
      <c r="AC5" s="445"/>
      <c r="AD5" s="445"/>
      <c r="AE5" s="316">
        <f t="shared" si="4"/>
        <v>0</v>
      </c>
      <c r="AF5" s="316"/>
      <c r="AG5" s="316">
        <f t="shared" si="5"/>
        <v>0</v>
      </c>
      <c r="AH5" s="445"/>
      <c r="AI5" s="73"/>
      <c r="AJ5" s="73"/>
      <c r="AK5" s="73"/>
      <c r="AL5" s="73"/>
    </row>
    <row r="6" spans="1:38" s="5" customFormat="1">
      <c r="A6" s="474"/>
      <c r="B6" s="73" t="str">
        <f>'1-συμβολαια'!C6</f>
        <v>διανομή [ = 2/8 μήτηρ &amp; από 3/8 τέκνα</v>
      </c>
      <c r="C6" s="330">
        <f>'1-συμβολαια'!D6</f>
        <v>28896.59</v>
      </c>
      <c r="D6" s="330"/>
      <c r="E6" s="73"/>
      <c r="F6" s="73"/>
      <c r="G6" s="73"/>
      <c r="H6" s="73"/>
      <c r="I6" s="73"/>
      <c r="J6" s="73"/>
      <c r="K6" s="73"/>
      <c r="L6" s="73"/>
      <c r="M6" s="316"/>
      <c r="N6" s="73"/>
      <c r="O6" s="73"/>
      <c r="P6" s="73"/>
      <c r="Q6" s="73"/>
      <c r="R6" s="73"/>
      <c r="S6" s="73"/>
      <c r="T6" s="73"/>
      <c r="U6" s="73"/>
      <c r="V6" s="330"/>
      <c r="W6" s="73"/>
      <c r="X6" s="73"/>
      <c r="Y6" s="73"/>
      <c r="Z6" s="73"/>
      <c r="AA6" s="73"/>
      <c r="AB6" s="73"/>
      <c r="AC6" s="73"/>
      <c r="AD6" s="73"/>
      <c r="AE6" s="316">
        <f t="shared" si="4"/>
        <v>0</v>
      </c>
      <c r="AF6" s="316"/>
      <c r="AG6" s="316">
        <f t="shared" si="5"/>
        <v>0</v>
      </c>
      <c r="AH6" s="73"/>
      <c r="AI6" s="73"/>
      <c r="AJ6" s="73"/>
      <c r="AK6" s="73"/>
      <c r="AL6" s="73"/>
    </row>
    <row r="7" spans="1:38" s="5" customFormat="1">
      <c r="A7" s="474"/>
      <c r="B7" s="73" t="str">
        <f>'1-συμβολαια'!C7</f>
        <v>εξισορρόπηση διαφοράς διανεμομένων μεριδίων</v>
      </c>
      <c r="C7" s="330">
        <f>'1-συμβολαια'!D7</f>
        <v>666.66</v>
      </c>
      <c r="D7" s="330">
        <f>C7*1.3%</f>
        <v>8.6665799999999997</v>
      </c>
      <c r="E7" s="73"/>
      <c r="F7" s="73"/>
      <c r="G7" s="73"/>
      <c r="H7" s="73"/>
      <c r="I7" s="73"/>
      <c r="J7" s="73"/>
      <c r="K7" s="73"/>
      <c r="L7" s="73"/>
      <c r="M7" s="316"/>
      <c r="N7" s="73"/>
      <c r="O7" s="73"/>
      <c r="P7" s="73"/>
      <c r="Q7" s="73"/>
      <c r="R7" s="73"/>
      <c r="S7" s="73"/>
      <c r="T7" s="73"/>
      <c r="U7" s="73"/>
      <c r="V7" s="330"/>
      <c r="W7" s="73"/>
      <c r="X7" s="73"/>
      <c r="Y7" s="73"/>
      <c r="Z7" s="73"/>
      <c r="AA7" s="73"/>
      <c r="AB7" s="73"/>
      <c r="AC7" s="73"/>
      <c r="AD7" s="73"/>
      <c r="AE7" s="316">
        <f t="shared" si="4"/>
        <v>8.6665799999999997</v>
      </c>
      <c r="AF7" s="316"/>
      <c r="AG7" s="316">
        <f t="shared" si="5"/>
        <v>8.6665799999999997</v>
      </c>
      <c r="AH7" s="73"/>
      <c r="AI7" s="73"/>
      <c r="AJ7" s="73"/>
      <c r="AK7" s="73"/>
      <c r="AL7" s="73"/>
    </row>
    <row r="8" spans="1:38" s="5" customFormat="1">
      <c r="A8" s="474"/>
      <c r="B8" s="73" t="str">
        <f>'1-συμβολαια'!C8</f>
        <v>χρησικτησία αγροτεμάχιο 1' = 1968 ΑΝΑΔΑΣΜΟΣ</v>
      </c>
      <c r="C8" s="330">
        <f>'1-συμβολαια'!D8</f>
        <v>333.33</v>
      </c>
      <c r="D8" s="330"/>
      <c r="E8" s="73"/>
      <c r="F8" s="73"/>
      <c r="G8" s="73"/>
      <c r="H8" s="73"/>
      <c r="I8" s="73"/>
      <c r="J8" s="73"/>
      <c r="K8" s="73"/>
      <c r="L8" s="73"/>
      <c r="M8" s="316">
        <f t="shared" si="2"/>
        <v>2.1666449999999999</v>
      </c>
      <c r="N8" s="73"/>
      <c r="O8" s="73"/>
      <c r="P8" s="73"/>
      <c r="Q8" s="73"/>
      <c r="R8" s="73"/>
      <c r="S8" s="73"/>
      <c r="T8" s="73"/>
      <c r="U8" s="73"/>
      <c r="V8" s="330">
        <f t="shared" si="3"/>
        <v>0.41666249999999999</v>
      </c>
      <c r="W8" s="73"/>
      <c r="X8" s="73"/>
      <c r="Y8" s="73"/>
      <c r="Z8" s="73"/>
      <c r="AA8" s="73"/>
      <c r="AB8" s="73"/>
      <c r="AC8" s="73"/>
      <c r="AD8" s="73"/>
      <c r="AE8" s="316">
        <f t="shared" si="4"/>
        <v>2.5833075000000001</v>
      </c>
      <c r="AF8" s="316"/>
      <c r="AG8" s="316">
        <f t="shared" si="5"/>
        <v>2.5833075000000001</v>
      </c>
      <c r="AH8" s="73"/>
      <c r="AI8" s="73"/>
      <c r="AJ8" s="73"/>
      <c r="AK8" s="73"/>
      <c r="AL8" s="73"/>
    </row>
    <row r="9" spans="1:38" s="5" customFormat="1" ht="12" thickBot="1">
      <c r="A9" s="475"/>
      <c r="B9" s="446" t="str">
        <f>'1-συμβολαια'!C9</f>
        <v xml:space="preserve">χρησικτησία αγροτεμαχίων 2' έως 10' = 1961 πατρός ΔΩΡΕΑ άτυπος </v>
      </c>
      <c r="C9" s="391">
        <f>'1-συμβολαια'!D9</f>
        <v>2222.2199999999998</v>
      </c>
      <c r="D9" s="391"/>
      <c r="E9" s="446"/>
      <c r="F9" s="446"/>
      <c r="G9" s="446"/>
      <c r="H9" s="446"/>
      <c r="I9" s="446"/>
      <c r="J9" s="446"/>
      <c r="K9" s="446"/>
      <c r="L9" s="446"/>
      <c r="M9" s="391">
        <f t="shared" si="2"/>
        <v>14.444430000000001</v>
      </c>
      <c r="N9" s="446"/>
      <c r="O9" s="446"/>
      <c r="P9" s="446"/>
      <c r="Q9" s="446"/>
      <c r="R9" s="446"/>
      <c r="S9" s="446"/>
      <c r="T9" s="446"/>
      <c r="U9" s="446"/>
      <c r="V9" s="554">
        <f t="shared" si="3"/>
        <v>2.7777749999999997</v>
      </c>
      <c r="W9" s="446"/>
      <c r="X9" s="446"/>
      <c r="Y9" s="446"/>
      <c r="Z9" s="446"/>
      <c r="AA9" s="446"/>
      <c r="AB9" s="446"/>
      <c r="AC9" s="446"/>
      <c r="AD9" s="446"/>
      <c r="AE9" s="391">
        <f t="shared" si="4"/>
        <v>17.222204999999999</v>
      </c>
      <c r="AF9" s="391"/>
      <c r="AG9" s="391">
        <f t="shared" si="5"/>
        <v>17.222204999999999</v>
      </c>
      <c r="AH9" s="446"/>
      <c r="AI9" s="446"/>
      <c r="AJ9" s="446"/>
      <c r="AK9" s="446"/>
      <c r="AL9" s="446"/>
    </row>
    <row r="10" spans="1:38" s="5" customFormat="1">
      <c r="A10" s="445" t="str">
        <f>'1-συμβολαια'!A10</f>
        <v>9ο</v>
      </c>
      <c r="B10" s="445" t="str">
        <f>'1-συμβολαια'!C10</f>
        <v>γονική</v>
      </c>
      <c r="C10" s="316">
        <f>'1-συμβολαια'!D10</f>
        <v>1292.5</v>
      </c>
      <c r="D10" s="316"/>
      <c r="E10" s="445"/>
      <c r="F10" s="445"/>
      <c r="G10" s="445"/>
      <c r="H10" s="445"/>
      <c r="I10" s="445"/>
      <c r="J10" s="445"/>
      <c r="K10" s="445"/>
      <c r="L10" s="445"/>
      <c r="M10" s="316">
        <f t="shared" si="2"/>
        <v>8.401250000000001</v>
      </c>
      <c r="N10" s="445">
        <v>8.4</v>
      </c>
      <c r="O10" s="445"/>
      <c r="P10" s="445"/>
      <c r="Q10" s="445"/>
      <c r="R10" s="445"/>
      <c r="S10" s="445"/>
      <c r="T10" s="445"/>
      <c r="U10" s="445"/>
      <c r="V10" s="563">
        <f t="shared" si="3"/>
        <v>1.6156250000000001</v>
      </c>
      <c r="W10" s="445">
        <v>1.62</v>
      </c>
      <c r="X10" s="445"/>
      <c r="Y10" s="445"/>
      <c r="Z10" s="445"/>
      <c r="AA10" s="445"/>
      <c r="AB10" s="445"/>
      <c r="AC10" s="445"/>
      <c r="AD10" s="445"/>
      <c r="AE10" s="316">
        <f t="shared" si="4"/>
        <v>10.016875000000001</v>
      </c>
      <c r="AF10" s="316">
        <v>10.02</v>
      </c>
      <c r="AG10" s="316">
        <f t="shared" si="5"/>
        <v>-3.1249999999989342E-3</v>
      </c>
      <c r="AH10" s="445"/>
      <c r="AI10" s="445"/>
      <c r="AJ10" s="445"/>
      <c r="AK10" s="445"/>
      <c r="AL10" s="445"/>
    </row>
    <row r="11" spans="1:38" s="5" customFormat="1">
      <c r="A11" s="445" t="str">
        <f>'1-συμβολαια'!A11</f>
        <v>10ο</v>
      </c>
      <c r="B11" s="73" t="str">
        <f>'1-συμβολαια'!C11</f>
        <v>δωρεά</v>
      </c>
      <c r="C11" s="330">
        <f>'1-συμβολαια'!D11</f>
        <v>1938.73</v>
      </c>
      <c r="D11" s="330"/>
      <c r="E11" s="73"/>
      <c r="F11" s="73"/>
      <c r="G11" s="73"/>
      <c r="H11" s="73"/>
      <c r="I11" s="73"/>
      <c r="J11" s="73"/>
      <c r="K11" s="73"/>
      <c r="L11" s="73"/>
      <c r="M11" s="316">
        <f t="shared" si="2"/>
        <v>12.601745000000001</v>
      </c>
      <c r="N11" s="73">
        <v>12.6</v>
      </c>
      <c r="O11" s="73"/>
      <c r="P11" s="73"/>
      <c r="Q11" s="73"/>
      <c r="R11" s="73"/>
      <c r="S11" s="73"/>
      <c r="T11" s="73"/>
      <c r="U11" s="73"/>
      <c r="V11" s="330">
        <f t="shared" si="3"/>
        <v>2.4234125</v>
      </c>
      <c r="W11" s="73">
        <v>2.42</v>
      </c>
      <c r="X11" s="73"/>
      <c r="Y11" s="73"/>
      <c r="Z11" s="73"/>
      <c r="AA11" s="73"/>
      <c r="AB11" s="73"/>
      <c r="AC11" s="73"/>
      <c r="AD11" s="73"/>
      <c r="AE11" s="316">
        <f t="shared" si="4"/>
        <v>15.025157500000001</v>
      </c>
      <c r="AF11" s="316">
        <v>15.03</v>
      </c>
      <c r="AG11" s="316">
        <f t="shared" si="5"/>
        <v>-4.8424999999987506E-3</v>
      </c>
      <c r="AH11" s="73"/>
      <c r="AI11" s="73"/>
      <c r="AJ11" s="73"/>
      <c r="AK11" s="73"/>
      <c r="AL11" s="73"/>
    </row>
    <row r="12" spans="1:38" s="5" customFormat="1">
      <c r="A12" s="445" t="str">
        <f>'1-συμβολαια'!A12</f>
        <v>11ο</v>
      </c>
      <c r="B12" s="73" t="str">
        <f>'1-συμβολαια'!C12</f>
        <v>γονική</v>
      </c>
      <c r="C12" s="330">
        <f>'1-συμβολαια'!D12</f>
        <v>8416.32</v>
      </c>
      <c r="D12" s="330"/>
      <c r="E12" s="73"/>
      <c r="F12" s="73"/>
      <c r="G12" s="73"/>
      <c r="H12" s="73"/>
      <c r="I12" s="73"/>
      <c r="J12" s="73"/>
      <c r="K12" s="73"/>
      <c r="L12" s="73"/>
      <c r="M12" s="316">
        <f t="shared" si="2"/>
        <v>54.70608</v>
      </c>
      <c r="N12" s="73">
        <v>54.71</v>
      </c>
      <c r="O12" s="73"/>
      <c r="P12" s="73"/>
      <c r="Q12" s="73"/>
      <c r="R12" s="73"/>
      <c r="S12" s="73"/>
      <c r="T12" s="73"/>
      <c r="U12" s="73"/>
      <c r="V12" s="330">
        <f t="shared" si="3"/>
        <v>10.5204</v>
      </c>
      <c r="W12" s="73">
        <v>10.52</v>
      </c>
      <c r="X12" s="73"/>
      <c r="Y12" s="73"/>
      <c r="Z12" s="73"/>
      <c r="AA12" s="73"/>
      <c r="AB12" s="73"/>
      <c r="AC12" s="73"/>
      <c r="AD12" s="73"/>
      <c r="AE12" s="316">
        <f t="shared" si="4"/>
        <v>65.226479999999995</v>
      </c>
      <c r="AF12" s="316">
        <v>65.23</v>
      </c>
      <c r="AG12" s="316">
        <f t="shared" si="5"/>
        <v>-3.5200000000088494E-3</v>
      </c>
      <c r="AH12" s="73"/>
      <c r="AI12" s="73"/>
      <c r="AJ12" s="73"/>
      <c r="AK12" s="73"/>
      <c r="AL12" s="73"/>
    </row>
    <row r="13" spans="1:38" s="5" customFormat="1">
      <c r="A13" s="445" t="str">
        <f>'1-συμβολαια'!A13</f>
        <v>12ο</v>
      </c>
      <c r="B13" s="73" t="str">
        <f>'1-συμβολαια'!C13</f>
        <v>δωρεά</v>
      </c>
      <c r="C13" s="330">
        <f>'1-συμβολαια'!D13</f>
        <v>12624.63</v>
      </c>
      <c r="D13" s="330"/>
      <c r="E13" s="73"/>
      <c r="F13" s="73"/>
      <c r="G13" s="73"/>
      <c r="H13" s="73"/>
      <c r="I13" s="73"/>
      <c r="J13" s="73"/>
      <c r="K13" s="73"/>
      <c r="L13" s="73"/>
      <c r="M13" s="330">
        <f t="shared" si="2"/>
        <v>82.060095000000004</v>
      </c>
      <c r="N13" s="73">
        <v>82.06</v>
      </c>
      <c r="O13" s="73"/>
      <c r="P13" s="73"/>
      <c r="Q13" s="73"/>
      <c r="R13" s="73"/>
      <c r="S13" s="73"/>
      <c r="T13" s="73"/>
      <c r="U13" s="73"/>
      <c r="V13" s="330">
        <f t="shared" si="3"/>
        <v>15.780787499999999</v>
      </c>
      <c r="W13" s="73">
        <v>15.78</v>
      </c>
      <c r="X13" s="73"/>
      <c r="Y13" s="73"/>
      <c r="Z13" s="73"/>
      <c r="AA13" s="73"/>
      <c r="AB13" s="73"/>
      <c r="AC13" s="73"/>
      <c r="AD13" s="73"/>
      <c r="AE13" s="330">
        <f t="shared" si="4"/>
        <v>97.840882500000006</v>
      </c>
      <c r="AF13" s="330">
        <v>97.84</v>
      </c>
      <c r="AG13" s="330">
        <f t="shared" si="5"/>
        <v>8.8250000000300588E-4</v>
      </c>
      <c r="AH13" s="73"/>
      <c r="AI13" s="73"/>
      <c r="AJ13" s="73"/>
      <c r="AK13" s="73"/>
      <c r="AL13" s="73"/>
    </row>
    <row r="14" spans="1:38">
      <c r="A14" s="716" t="str">
        <f>'1-συμβολαια'!A14</f>
        <v>σύνολο</v>
      </c>
      <c r="B14" s="716"/>
      <c r="C14" s="716"/>
      <c r="D14" s="562">
        <f>SUM(D3:D13)</f>
        <v>8.6665799999999997</v>
      </c>
      <c r="E14" s="564"/>
      <c r="F14" s="564"/>
      <c r="G14" s="564"/>
      <c r="H14" s="564"/>
      <c r="I14" s="564"/>
      <c r="J14" s="564"/>
      <c r="K14" s="564"/>
      <c r="L14" s="564"/>
      <c r="M14" s="562">
        <f>SUM(M3:M13)</f>
        <v>193.787555</v>
      </c>
      <c r="N14" s="562"/>
      <c r="O14" s="564"/>
      <c r="P14" s="562"/>
      <c r="Q14" s="564"/>
      <c r="R14" s="564"/>
      <c r="S14" s="564"/>
      <c r="T14" s="564"/>
      <c r="U14" s="564"/>
      <c r="V14" s="562">
        <f>SUM(V3:V13)</f>
        <v>37.266837499999994</v>
      </c>
      <c r="W14" s="562"/>
      <c r="X14" s="564"/>
      <c r="Y14" s="564"/>
      <c r="Z14" s="564"/>
      <c r="AA14" s="564"/>
      <c r="AB14" s="564"/>
      <c r="AC14" s="564"/>
      <c r="AD14" s="564"/>
      <c r="AE14" s="562">
        <f>SUM(AE3:AE13)</f>
        <v>239.72097250000002</v>
      </c>
      <c r="AF14" s="562">
        <f>SUM(AF3:AF13)</f>
        <v>202.65</v>
      </c>
      <c r="AG14" s="562">
        <f>SUM(AG3:AG13)</f>
        <v>37.070972499999996</v>
      </c>
      <c r="AH14" s="564">
        <f>SUM(AH3:AH13)</f>
        <v>0</v>
      </c>
      <c r="AI14" s="564"/>
      <c r="AJ14" s="564"/>
      <c r="AK14" s="564"/>
      <c r="AL14" s="564"/>
    </row>
    <row r="16" spans="1:38">
      <c r="E16" s="2"/>
      <c r="F16" s="2"/>
      <c r="G16" s="2"/>
      <c r="H16" s="160" t="s">
        <v>335</v>
      </c>
      <c r="I16" s="2"/>
      <c r="J16" s="2"/>
      <c r="K16" s="2"/>
      <c r="L16" s="2"/>
      <c r="M16" s="2"/>
      <c r="N16" s="2"/>
      <c r="O16" s="2"/>
      <c r="P16" s="2"/>
      <c r="Q16" s="160" t="s">
        <v>335</v>
      </c>
      <c r="R16" s="2"/>
      <c r="S16" s="2"/>
      <c r="T16" s="2"/>
      <c r="U16" s="2"/>
      <c r="V16" s="2"/>
      <c r="W16" s="2"/>
      <c r="X16" s="2"/>
      <c r="Y16" s="2"/>
      <c r="Z16" s="160" t="s">
        <v>335</v>
      </c>
      <c r="AA16" s="2"/>
      <c r="AB16" s="2"/>
      <c r="AC16" s="2"/>
      <c r="AD16" s="2"/>
      <c r="AE16" s="2"/>
    </row>
    <row r="17" spans="5:31">
      <c r="E17" s="2"/>
      <c r="F17" s="190" t="s">
        <v>336</v>
      </c>
      <c r="G17" s="190"/>
      <c r="H17" s="190"/>
      <c r="I17" s="190"/>
      <c r="J17" s="190"/>
      <c r="K17" s="190"/>
      <c r="L17" s="190"/>
      <c r="M17" s="190"/>
      <c r="N17" s="190"/>
      <c r="O17" s="190" t="s">
        <v>336</v>
      </c>
      <c r="P17" s="2"/>
      <c r="Q17" s="2"/>
      <c r="R17" s="2"/>
      <c r="S17" s="2"/>
      <c r="T17" s="2"/>
      <c r="U17" s="2"/>
      <c r="V17" s="2"/>
      <c r="W17" s="2"/>
      <c r="X17" s="190" t="s">
        <v>336</v>
      </c>
      <c r="Y17" s="2"/>
      <c r="Z17" s="2"/>
      <c r="AA17" s="2"/>
      <c r="AB17" s="2"/>
      <c r="AC17" s="2"/>
      <c r="AD17" s="2"/>
      <c r="AE17" s="2"/>
    </row>
    <row r="18" spans="5:31">
      <c r="E18" s="2"/>
      <c r="F18" s="2"/>
      <c r="G18" s="2"/>
      <c r="H18" s="2"/>
      <c r="I18" s="4"/>
      <c r="J18" s="164" t="s">
        <v>337</v>
      </c>
      <c r="K18" s="160"/>
      <c r="L18" s="2"/>
      <c r="M18" s="2"/>
      <c r="N18" s="2"/>
      <c r="O18" s="2"/>
      <c r="P18" s="2"/>
      <c r="Q18" s="4"/>
      <c r="R18" s="164" t="s">
        <v>338</v>
      </c>
      <c r="S18" s="164"/>
      <c r="T18" s="164"/>
      <c r="U18" s="164"/>
      <c r="V18" s="4"/>
      <c r="W18" s="4"/>
      <c r="X18" s="4"/>
      <c r="Y18" s="4"/>
      <c r="Z18" s="4"/>
      <c r="AA18" s="164" t="s">
        <v>338</v>
      </c>
      <c r="AB18" s="164"/>
      <c r="AC18" s="164"/>
      <c r="AD18" s="160"/>
      <c r="AE18" s="2"/>
    </row>
    <row r="19" spans="5:31">
      <c r="E19" s="2"/>
      <c r="F19" s="2"/>
      <c r="G19" s="2"/>
      <c r="H19" s="2"/>
      <c r="I19" s="164" t="s">
        <v>338</v>
      </c>
      <c r="J19" s="4"/>
      <c r="K19" s="2"/>
      <c r="L19" s="2"/>
      <c r="M19" s="2"/>
      <c r="N19" s="2"/>
      <c r="O19" s="2"/>
      <c r="P19" s="2"/>
      <c r="Q19" s="4"/>
      <c r="R19" s="4"/>
      <c r="S19" s="164" t="s">
        <v>337</v>
      </c>
      <c r="T19" s="164"/>
      <c r="U19" s="4"/>
      <c r="V19" s="4"/>
      <c r="W19" s="4"/>
      <c r="X19" s="4"/>
      <c r="Y19" s="4"/>
      <c r="Z19" s="4"/>
      <c r="AA19" s="4"/>
      <c r="AB19" s="164" t="s">
        <v>337</v>
      </c>
      <c r="AC19" s="164"/>
      <c r="AD19" s="2"/>
      <c r="AE19" s="2"/>
    </row>
    <row r="20" spans="5:31">
      <c r="E20" s="2"/>
      <c r="F20" s="2"/>
      <c r="G20" s="2"/>
      <c r="H20" s="2"/>
      <c r="I20" s="4"/>
      <c r="J20" s="4"/>
      <c r="K20" s="2"/>
      <c r="L20" s="2"/>
      <c r="M20" s="2"/>
      <c r="N20" s="2"/>
      <c r="O20" s="2"/>
      <c r="P20" s="2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2"/>
      <c r="AE20" s="2"/>
    </row>
    <row r="21" spans="5:31">
      <c r="E21" s="191" t="s">
        <v>339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192" t="s">
        <v>340</v>
      </c>
      <c r="R21" s="2"/>
      <c r="S21" s="2"/>
      <c r="T21" s="2"/>
      <c r="U21" s="2"/>
      <c r="V21" s="2"/>
      <c r="W21" s="2"/>
      <c r="X21" s="2"/>
      <c r="Y21" s="2"/>
      <c r="Z21" s="193" t="s">
        <v>341</v>
      </c>
      <c r="AA21" s="2"/>
      <c r="AB21" s="2"/>
      <c r="AC21" s="2"/>
      <c r="AD21" s="2"/>
      <c r="AE21" s="2"/>
    </row>
    <row r="22" spans="5:31">
      <c r="E22" s="194" t="s">
        <v>342</v>
      </c>
      <c r="F22" s="2"/>
      <c r="G22" s="2"/>
      <c r="H22" s="2"/>
      <c r="I22" s="2"/>
      <c r="J22" s="2"/>
      <c r="K22" s="2"/>
      <c r="L22" s="2"/>
      <c r="M22" s="8"/>
      <c r="N22" s="2"/>
      <c r="O22" s="160"/>
      <c r="P22" s="160"/>
      <c r="Q22" s="160"/>
      <c r="R22" s="160"/>
      <c r="S22" s="195" t="s">
        <v>343</v>
      </c>
      <c r="T22" s="160"/>
      <c r="U22" s="160"/>
      <c r="V22" s="160"/>
      <c r="W22" s="2"/>
      <c r="X22" s="2"/>
      <c r="Y22" s="2"/>
      <c r="Z22" s="2"/>
      <c r="AA22" s="196" t="s">
        <v>344</v>
      </c>
      <c r="AB22" s="2"/>
      <c r="AC22" s="2"/>
      <c r="AD22" s="2"/>
      <c r="AE22" s="2"/>
    </row>
    <row r="23" spans="5:31">
      <c r="E23" s="2"/>
      <c r="F23" s="194" t="s">
        <v>345</v>
      </c>
      <c r="G23" s="2"/>
      <c r="H23" s="2"/>
      <c r="I23" s="2"/>
      <c r="J23" s="2"/>
      <c r="K23" s="2"/>
      <c r="L23" s="2"/>
      <c r="M23" s="8"/>
      <c r="N23" s="2"/>
      <c r="O23" s="2"/>
      <c r="P23" s="2"/>
      <c r="Q23" s="2"/>
      <c r="R23" s="2"/>
      <c r="S23" s="197" t="s">
        <v>346</v>
      </c>
      <c r="T23" s="2"/>
      <c r="U23" s="2"/>
      <c r="V23" s="2"/>
      <c r="W23" s="2"/>
      <c r="X23" s="2"/>
      <c r="Y23" s="2"/>
      <c r="Z23" s="2"/>
      <c r="AA23" s="2"/>
      <c r="AB23" s="197" t="s">
        <v>346</v>
      </c>
      <c r="AC23" s="2"/>
      <c r="AD23" s="2"/>
      <c r="AE23" s="2"/>
    </row>
    <row r="24" spans="5:31">
      <c r="E24" s="2"/>
      <c r="F24" s="2"/>
      <c r="G24" s="2"/>
      <c r="H24" s="2"/>
      <c r="I24" s="2"/>
      <c r="J24" s="2"/>
      <c r="K24" s="2"/>
      <c r="L24" s="2"/>
      <c r="M24" s="8"/>
      <c r="N24" s="2"/>
      <c r="O24" s="2"/>
      <c r="P24" s="160"/>
      <c r="Q24" s="160"/>
      <c r="R24" s="160"/>
      <c r="S24" s="160"/>
      <c r="T24" s="160"/>
      <c r="U24" s="160"/>
      <c r="V24" s="160"/>
      <c r="W24" s="160"/>
      <c r="X24" s="160"/>
      <c r="Y24" s="2"/>
      <c r="Z24" s="2"/>
      <c r="AA24" s="2"/>
      <c r="AB24" s="195" t="s">
        <v>343</v>
      </c>
      <c r="AC24" s="2"/>
      <c r="AD24" s="2"/>
      <c r="AE24" s="2"/>
    </row>
    <row r="25" spans="5:31">
      <c r="E25" s="2"/>
      <c r="F25" s="2"/>
      <c r="G25" s="2"/>
      <c r="H25" s="2"/>
      <c r="I25" s="2"/>
      <c r="J25" s="2"/>
      <c r="K25" s="2"/>
      <c r="L25" s="2"/>
      <c r="M25" s="8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</sheetData>
  <mergeCells count="10">
    <mergeCell ref="A14:C1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2026-02-10T07:43:59Z</dcterms:modified>
</cp:coreProperties>
</file>