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9" i="5"/>
  <c r="O9"/>
  <c r="N9"/>
  <c r="L9"/>
  <c r="K9"/>
  <c r="J9"/>
  <c r="AB5"/>
  <c r="AB6"/>
  <c r="AB7"/>
  <c r="AB8"/>
  <c r="AB4"/>
  <c r="AB3"/>
  <c r="V9"/>
  <c r="S4"/>
  <c r="S5"/>
  <c r="S6"/>
  <c r="S7"/>
  <c r="S8"/>
  <c r="S3"/>
  <c r="B7"/>
  <c r="B8"/>
  <c r="B6"/>
  <c r="N7" i="1"/>
  <c r="N8"/>
  <c r="N6"/>
  <c r="P4" i="9"/>
  <c r="P5"/>
  <c r="P6"/>
  <c r="P7"/>
  <c r="P8"/>
  <c r="P3"/>
  <c r="BR9" i="24"/>
  <c r="BS9"/>
  <c r="BT9"/>
  <c r="BU9"/>
  <c r="BV9"/>
  <c r="BN9"/>
  <c r="BO9"/>
  <c r="BM8"/>
  <c r="BM6"/>
  <c r="BM7"/>
  <c r="AX8"/>
  <c r="AX7"/>
  <c r="AX6"/>
  <c r="AV8"/>
  <c r="AV7"/>
  <c r="AV6"/>
  <c r="AJ7"/>
  <c r="AJ6"/>
  <c r="AH8"/>
  <c r="AH7"/>
  <c r="AH6"/>
  <c r="AI8"/>
  <c r="AI7"/>
  <c r="AI6"/>
  <c r="AG8"/>
  <c r="AG7"/>
  <c r="AG6"/>
  <c r="K8"/>
  <c r="K7"/>
  <c r="K6"/>
  <c r="J8"/>
  <c r="J7"/>
  <c r="J6"/>
  <c r="J34"/>
  <c r="F4"/>
  <c r="F5"/>
  <c r="F6"/>
  <c r="F7"/>
  <c r="F8"/>
  <c r="F3"/>
  <c r="T4" i="20"/>
  <c r="T5"/>
  <c r="T6"/>
  <c r="T7"/>
  <c r="T8"/>
  <c r="S7"/>
  <c r="S6"/>
  <c r="S9" s="1"/>
  <c r="T3"/>
  <c r="P9"/>
  <c r="Q9"/>
  <c r="R9"/>
  <c r="S4"/>
  <c r="S3"/>
  <c r="S8"/>
  <c r="L8"/>
  <c r="L7"/>
  <c r="L6"/>
  <c r="E8"/>
  <c r="E6"/>
  <c r="E7"/>
  <c r="H8" i="4"/>
  <c r="F8"/>
  <c r="F7"/>
  <c r="H7" s="1"/>
  <c r="F6"/>
  <c r="H6" s="1"/>
  <c r="AF8" i="16"/>
  <c r="AF7"/>
  <c r="AF6"/>
  <c r="AE8"/>
  <c r="AE7"/>
  <c r="AE6"/>
  <c r="H22"/>
  <c r="H19"/>
  <c r="H16"/>
  <c r="H58" i="1"/>
  <c r="K70"/>
  <c r="J70"/>
  <c r="I70"/>
  <c r="H70"/>
  <c r="H71" s="1"/>
  <c r="V8" i="26"/>
  <c r="M8"/>
  <c r="V7"/>
  <c r="M7"/>
  <c r="V6"/>
  <c r="M6"/>
  <c r="K57" i="1"/>
  <c r="J57"/>
  <c r="I57"/>
  <c r="H57"/>
  <c r="F7" i="12"/>
  <c r="F8"/>
  <c r="F6"/>
  <c r="K45" i="1"/>
  <c r="J45"/>
  <c r="I45"/>
  <c r="H45"/>
  <c r="T9" i="20" l="1"/>
  <c r="Q3"/>
  <c r="P3"/>
  <c r="O3"/>
  <c r="L3"/>
  <c r="U5"/>
  <c r="E3"/>
  <c r="N3" i="1"/>
  <c r="BE5" i="24"/>
  <c r="BA5"/>
  <c r="AU5"/>
  <c r="AE5"/>
  <c r="BE4"/>
  <c r="BA4"/>
  <c r="AU4"/>
  <c r="AE4"/>
  <c r="BM3"/>
  <c r="BE3"/>
  <c r="BA3"/>
  <c r="AX3"/>
  <c r="AV3"/>
  <c r="AO3"/>
  <c r="AJ3"/>
  <c r="AI3"/>
  <c r="AH3"/>
  <c r="AU3" s="1"/>
  <c r="AG3"/>
  <c r="K3"/>
  <c r="J3"/>
  <c r="AE3" s="1"/>
  <c r="K5" i="15"/>
  <c r="K4"/>
  <c r="K3"/>
  <c r="U4" i="20"/>
  <c r="U6"/>
  <c r="U7"/>
  <c r="U8"/>
  <c r="U3" l="1"/>
  <c r="V4" i="26"/>
  <c r="M4"/>
  <c r="O3" i="4"/>
  <c r="H13" i="16"/>
  <c r="D3"/>
  <c r="E3"/>
  <c r="H3"/>
  <c r="K3" s="1"/>
  <c r="I3"/>
  <c r="L3"/>
  <c r="P3"/>
  <c r="AM3"/>
  <c r="AN3"/>
  <c r="D4"/>
  <c r="H4" s="1"/>
  <c r="E4"/>
  <c r="I4" s="1"/>
  <c r="AM4"/>
  <c r="AN4"/>
  <c r="D5"/>
  <c r="E5"/>
  <c r="H5"/>
  <c r="I5"/>
  <c r="N5" s="1"/>
  <c r="P5"/>
  <c r="AM5"/>
  <c r="AN5"/>
  <c r="G6" i="13"/>
  <c r="G7"/>
  <c r="F5" i="12"/>
  <c r="F4"/>
  <c r="G3"/>
  <c r="F3"/>
  <c r="G5" i="13"/>
  <c r="O32" i="1"/>
  <c r="N32"/>
  <c r="M32"/>
  <c r="K32"/>
  <c r="J32"/>
  <c r="I32"/>
  <c r="H32"/>
  <c r="N3" i="16" l="1"/>
  <c r="L4"/>
  <c r="K4"/>
  <c r="J4"/>
  <c r="O4" s="1"/>
  <c r="Q4" s="1"/>
  <c r="N4"/>
  <c r="P4"/>
  <c r="L5"/>
  <c r="M3"/>
  <c r="J5"/>
  <c r="J3"/>
  <c r="O3" s="1"/>
  <c r="Q3" s="1"/>
  <c r="K5"/>
  <c r="P32" i="1"/>
  <c r="M4" i="16" l="1"/>
  <c r="O5"/>
  <c r="Q5" l="1"/>
  <c r="M5"/>
  <c r="AM6" l="1"/>
  <c r="AM7"/>
  <c r="AM8"/>
  <c r="AN6"/>
  <c r="AN7"/>
  <c r="AN8"/>
  <c r="J7" i="1" l="1"/>
  <c r="J6" l="1"/>
  <c r="J5"/>
  <c r="BW3" i="24" l="1"/>
  <c r="BW4"/>
  <c r="BW5"/>
  <c r="BW6"/>
  <c r="BW7"/>
  <c r="BW8"/>
  <c r="BW9" s="1"/>
  <c r="AF3" i="5" l="1"/>
  <c r="AF4"/>
  <c r="AF5"/>
  <c r="AF6"/>
  <c r="AF7"/>
  <c r="AF8"/>
  <c r="AC3"/>
  <c r="AC4"/>
  <c r="AC5"/>
  <c r="AC6"/>
  <c r="T6" s="1"/>
  <c r="AC7"/>
  <c r="T7" s="1"/>
  <c r="AC8"/>
  <c r="T8" s="1"/>
  <c r="J3" i="13"/>
  <c r="J4"/>
  <c r="J5"/>
  <c r="J6"/>
  <c r="J7"/>
  <c r="J8"/>
  <c r="V9" i="9" l="1"/>
  <c r="BA6" i="24"/>
  <c r="BA7"/>
  <c r="BA8"/>
  <c r="AU6"/>
  <c r="AU7"/>
  <c r="AU8"/>
  <c r="Q9"/>
  <c r="P9" l="1"/>
  <c r="BQ8"/>
  <c r="BQ7"/>
  <c r="BQ6"/>
  <c r="BQ5"/>
  <c r="BQ4"/>
  <c r="BQ3"/>
  <c r="AE8"/>
  <c r="AE7"/>
  <c r="AE6"/>
  <c r="D7" l="1"/>
  <c r="D3"/>
  <c r="D5"/>
  <c r="D6"/>
  <c r="D8"/>
  <c r="D4"/>
  <c r="L14" i="27"/>
  <c r="L13"/>
  <c r="F3" i="4"/>
  <c r="H3" s="1"/>
  <c r="I5" i="1"/>
  <c r="I6"/>
  <c r="I7"/>
  <c r="F5" l="1"/>
  <c r="F6"/>
  <c r="F7"/>
  <c r="T18" i="13"/>
  <c r="T17"/>
  <c r="O9" i="24"/>
  <c r="AQ9"/>
  <c r="AR9"/>
  <c r="U9"/>
  <c r="J3" i="1"/>
  <c r="J4"/>
  <c r="J8"/>
  <c r="T9" i="23"/>
  <c r="S9" i="24"/>
  <c r="T9"/>
  <c r="T9" i="9"/>
  <c r="U9"/>
  <c r="W9"/>
  <c r="X9"/>
  <c r="U9" i="5" l="1"/>
  <c r="W9"/>
  <c r="AD9" i="16" l="1"/>
  <c r="AE9"/>
  <c r="AF9"/>
  <c r="AH9"/>
  <c r="AI9"/>
  <c r="AL9"/>
  <c r="AM9"/>
  <c r="L9" i="9"/>
  <c r="D9" i="15" l="1"/>
  <c r="E9"/>
  <c r="F9"/>
  <c r="G9"/>
  <c r="H9"/>
  <c r="I9"/>
  <c r="J9"/>
  <c r="K6"/>
  <c r="K7"/>
  <c r="K8"/>
  <c r="K9" l="1"/>
  <c r="F3" i="1"/>
  <c r="F4"/>
  <c r="F8"/>
  <c r="AA9" i="5" l="1"/>
  <c r="Y9"/>
  <c r="E8" l="1"/>
  <c r="D8"/>
  <c r="C8"/>
  <c r="A8"/>
  <c r="E7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AF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S9" i="9" l="1"/>
  <c r="R9"/>
  <c r="I9" l="1"/>
  <c r="H9"/>
  <c r="G9"/>
  <c r="F9"/>
  <c r="E9"/>
  <c r="D9"/>
  <c r="C8" l="1"/>
  <c r="B8"/>
  <c r="A8"/>
  <c r="C7"/>
  <c r="B7"/>
  <c r="A7"/>
  <c r="C6"/>
  <c r="B6"/>
  <c r="A6"/>
  <c r="C5"/>
  <c r="B5"/>
  <c r="A5"/>
  <c r="C4"/>
  <c r="B4"/>
  <c r="A4"/>
  <c r="C3"/>
  <c r="B3"/>
  <c r="A3"/>
  <c r="BP9" i="24" l="1"/>
  <c r="BM9"/>
  <c r="BL9"/>
  <c r="BK9"/>
  <c r="BJ9"/>
  <c r="BI9"/>
  <c r="BH9"/>
  <c r="BG9"/>
  <c r="BF9"/>
  <c r="BD9"/>
  <c r="BC9"/>
  <c r="BB9"/>
  <c r="AZ9"/>
  <c r="AY9"/>
  <c r="AX9"/>
  <c r="AW9"/>
  <c r="AV9"/>
  <c r="AT9"/>
  <c r="AP9"/>
  <c r="AO9"/>
  <c r="AN9"/>
  <c r="AM9"/>
  <c r="AL9"/>
  <c r="AK9"/>
  <c r="AJ9"/>
  <c r="AI9"/>
  <c r="AH9"/>
  <c r="AG9"/>
  <c r="AD9"/>
  <c r="AC9"/>
  <c r="AB9"/>
  <c r="AA9"/>
  <c r="Z9"/>
  <c r="Y9"/>
  <c r="X9"/>
  <c r="W9"/>
  <c r="V9"/>
  <c r="R9"/>
  <c r="N9"/>
  <c r="M9"/>
  <c r="L9"/>
  <c r="K9"/>
  <c r="J9"/>
  <c r="BE8"/>
  <c r="I8"/>
  <c r="BY8" s="1"/>
  <c r="G8"/>
  <c r="B8"/>
  <c r="A8"/>
  <c r="BE7"/>
  <c r="I7"/>
  <c r="BY7" s="1"/>
  <c r="G7"/>
  <c r="B7"/>
  <c r="A7"/>
  <c r="BE6"/>
  <c r="I6"/>
  <c r="BY6" s="1"/>
  <c r="G6"/>
  <c r="B6"/>
  <c r="A6"/>
  <c r="I5"/>
  <c r="BY5" s="1"/>
  <c r="G5"/>
  <c r="B5"/>
  <c r="A5"/>
  <c r="I4"/>
  <c r="BY4" s="1"/>
  <c r="G4"/>
  <c r="B4"/>
  <c r="A4"/>
  <c r="I3"/>
  <c r="BY3" s="1"/>
  <c r="G3"/>
  <c r="B3"/>
  <c r="A3"/>
  <c r="BA9"/>
  <c r="C18" i="23"/>
  <c r="S9"/>
  <c r="R9"/>
  <c r="Q9"/>
  <c r="P9"/>
  <c r="O9"/>
  <c r="N9"/>
  <c r="M9"/>
  <c r="L9"/>
  <c r="K9"/>
  <c r="J9"/>
  <c r="I9"/>
  <c r="G4" i="5" l="1"/>
  <c r="G6"/>
  <c r="G8"/>
  <c r="G5"/>
  <c r="G3"/>
  <c r="G7"/>
  <c r="BE9" i="24"/>
  <c r="BQ9"/>
  <c r="AU9"/>
  <c r="AE9"/>
  <c r="G9"/>
  <c r="F9" s="1"/>
  <c r="D9"/>
  <c r="I9"/>
  <c r="BY9" l="1"/>
  <c r="G9" i="5"/>
  <c r="P9" i="9"/>
  <c r="B8" i="23"/>
  <c r="A8"/>
  <c r="B7"/>
  <c r="A7"/>
  <c r="B6"/>
  <c r="A6"/>
  <c r="B5"/>
  <c r="A5"/>
  <c r="B4"/>
  <c r="A4"/>
  <c r="B3"/>
  <c r="A3"/>
  <c r="L9" i="15" l="1"/>
  <c r="C8"/>
  <c r="B8"/>
  <c r="A8"/>
  <c r="C7"/>
  <c r="B7"/>
  <c r="A7"/>
  <c r="C6"/>
  <c r="B6"/>
  <c r="A6"/>
  <c r="C5"/>
  <c r="B5" l="1"/>
  <c r="A5"/>
  <c r="C4"/>
  <c r="B4"/>
  <c r="A4"/>
  <c r="C3"/>
  <c r="B3"/>
  <c r="A3"/>
  <c r="A9" i="27" l="1"/>
  <c r="C8"/>
  <c r="B8"/>
  <c r="A8"/>
  <c r="C7"/>
  <c r="B7"/>
  <c r="A7"/>
  <c r="C6"/>
  <c r="B6"/>
  <c r="A6"/>
  <c r="C5"/>
  <c r="B5"/>
  <c r="C4"/>
  <c r="B4"/>
  <c r="C3"/>
  <c r="B3"/>
  <c r="A3"/>
  <c r="AH9" i="26"/>
  <c r="A9"/>
  <c r="C8" l="1"/>
  <c r="D8" i="27" s="1"/>
  <c r="B8" i="26"/>
  <c r="AF7"/>
  <c r="C7"/>
  <c r="F7" i="27" s="1"/>
  <c r="B7" i="26"/>
  <c r="AF6"/>
  <c r="C6"/>
  <c r="B6"/>
  <c r="AF5"/>
  <c r="C5"/>
  <c r="B5"/>
  <c r="AF4"/>
  <c r="C4"/>
  <c r="B4"/>
  <c r="AF3"/>
  <c r="C3"/>
  <c r="F3" i="27" s="1"/>
  <c r="B3" i="26"/>
  <c r="A3"/>
  <c r="E7" i="27" l="1"/>
  <c r="D7"/>
  <c r="E3"/>
  <c r="D4"/>
  <c r="D6"/>
  <c r="F6"/>
  <c r="E6" s="1"/>
  <c r="V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C9"/>
  <c r="AB9"/>
  <c r="AA9"/>
  <c r="Z9"/>
  <c r="Y9"/>
  <c r="W9"/>
  <c r="U9"/>
  <c r="R9"/>
  <c r="Q9"/>
  <c r="P9"/>
  <c r="N9"/>
  <c r="M9"/>
  <c r="L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AC9" i="5" l="1"/>
  <c r="AE7" i="26"/>
  <c r="AG7" s="1"/>
  <c r="H9" i="24"/>
  <c r="U9" i="20"/>
  <c r="E9" i="24"/>
  <c r="O9" i="4"/>
  <c r="H9"/>
  <c r="D3" i="27"/>
  <c r="AE3" i="26"/>
  <c r="AG3" s="1"/>
  <c r="AE6"/>
  <c r="AG6" s="1"/>
  <c r="AC9" i="16"/>
  <c r="AB9"/>
  <c r="AA9"/>
  <c r="W9"/>
  <c r="V9"/>
  <c r="U9"/>
  <c r="T9"/>
  <c r="S9"/>
  <c r="R9"/>
  <c r="I6" i="5" l="1"/>
  <c r="O6" i="9"/>
  <c r="I3" i="5"/>
  <c r="O3" i="9"/>
  <c r="I7" i="5"/>
  <c r="O7" i="9"/>
  <c r="D9" i="26"/>
  <c r="M9"/>
  <c r="C8" i="24" l="1"/>
  <c r="BX8" s="1"/>
  <c r="E8" i="16"/>
  <c r="I8" s="1"/>
  <c r="D8"/>
  <c r="H8" s="1"/>
  <c r="C8"/>
  <c r="B8"/>
  <c r="A8"/>
  <c r="C7" i="24"/>
  <c r="BX7" s="1"/>
  <c r="E7" i="16"/>
  <c r="I7" s="1"/>
  <c r="D7"/>
  <c r="H7" s="1"/>
  <c r="C7"/>
  <c r="B7"/>
  <c r="A7"/>
  <c r="C6" i="24"/>
  <c r="BX6" s="1"/>
  <c r="E6" i="16"/>
  <c r="I6" s="1"/>
  <c r="D6"/>
  <c r="H6" s="1"/>
  <c r="C6"/>
  <c r="B6"/>
  <c r="A6"/>
  <c r="C5" i="24"/>
  <c r="BX5" s="1"/>
  <c r="C5" i="16"/>
  <c r="B5"/>
  <c r="A5"/>
  <c r="C4" i="24"/>
  <c r="BX4" s="1"/>
  <c r="C4" i="16"/>
  <c r="B4"/>
  <c r="A4"/>
  <c r="C3" i="24"/>
  <c r="BX3" s="1"/>
  <c r="C3" i="16"/>
  <c r="B3"/>
  <c r="A3"/>
  <c r="B8" i="14"/>
  <c r="A8"/>
  <c r="B7"/>
  <c r="A7"/>
  <c r="B6"/>
  <c r="A6"/>
  <c r="B5"/>
  <c r="A5"/>
  <c r="B4"/>
  <c r="A4"/>
  <c r="B3"/>
  <c r="A3"/>
  <c r="G9" i="12"/>
  <c r="Q3" i="9" l="1"/>
  <c r="Q5"/>
  <c r="Q4"/>
  <c r="Q6"/>
  <c r="Q8"/>
  <c r="Q7"/>
  <c r="L7" i="16"/>
  <c r="K7"/>
  <c r="J7"/>
  <c r="P7"/>
  <c r="N7" s="1"/>
  <c r="P6"/>
  <c r="N6" s="1"/>
  <c r="L6"/>
  <c r="K6"/>
  <c r="J6"/>
  <c r="L8"/>
  <c r="K8"/>
  <c r="J8"/>
  <c r="AN9"/>
  <c r="H5" i="1" l="1"/>
  <c r="O7" i="16"/>
  <c r="Q7" s="1"/>
  <c r="R7" i="10" s="1"/>
  <c r="J9" i="16"/>
  <c r="O6"/>
  <c r="P8"/>
  <c r="N8" s="1"/>
  <c r="L9"/>
  <c r="O8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C3"/>
  <c r="B3"/>
  <c r="A3"/>
  <c r="F9"/>
  <c r="R5" i="10" l="1"/>
  <c r="M7" i="16"/>
  <c r="H7" i="1" s="1"/>
  <c r="H4"/>
  <c r="R4" i="10"/>
  <c r="R3"/>
  <c r="H3" i="1"/>
  <c r="P9" i="16"/>
  <c r="O9"/>
  <c r="Q6"/>
  <c r="R6" i="10" s="1"/>
  <c r="M6" i="16"/>
  <c r="H6" i="1" s="1"/>
  <c r="M8" i="16"/>
  <c r="H8" i="1" s="1"/>
  <c r="Q8" i="16"/>
  <c r="R8" i="10" s="1"/>
  <c r="BX9" i="24"/>
  <c r="Q9" i="9"/>
  <c r="F9" i="13"/>
  <c r="E9"/>
  <c r="D9"/>
  <c r="N9" i="16" l="1"/>
  <c r="Q9"/>
  <c r="R9" i="10"/>
  <c r="M9" i="16"/>
  <c r="N8" i="13" l="1"/>
  <c r="P8" i="14" s="1"/>
  <c r="C8" i="13"/>
  <c r="B8"/>
  <c r="A8"/>
  <c r="N7"/>
  <c r="P7" i="14" s="1"/>
  <c r="G7" i="1" s="1"/>
  <c r="C7" i="13"/>
  <c r="B7"/>
  <c r="A7"/>
  <c r="N6"/>
  <c r="P6" i="14" s="1"/>
  <c r="G6" i="1" s="1"/>
  <c r="C6" i="13"/>
  <c r="B6"/>
  <c r="A6"/>
  <c r="N5"/>
  <c r="P5" i="14" s="1"/>
  <c r="G5" i="1" s="1"/>
  <c r="C5" i="13"/>
  <c r="B5"/>
  <c r="A5"/>
  <c r="N4"/>
  <c r="P4" i="14" s="1"/>
  <c r="C4" i="13"/>
  <c r="B4"/>
  <c r="A4"/>
  <c r="N3"/>
  <c r="P3" i="14" s="1"/>
  <c r="C3" i="13"/>
  <c r="B3"/>
  <c r="A3"/>
  <c r="I3" l="1"/>
  <c r="G4"/>
  <c r="I4" s="1"/>
  <c r="I5"/>
  <c r="I6"/>
  <c r="I7"/>
  <c r="G8"/>
  <c r="I8" s="1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9" i="1"/>
  <c r="K9"/>
  <c r="P9" i="14" l="1"/>
  <c r="I8" i="1" l="1"/>
  <c r="G8" s="1"/>
  <c r="I4"/>
  <c r="G4" s="1"/>
  <c r="I3"/>
  <c r="G3" s="1"/>
  <c r="F9" l="1"/>
  <c r="I9" l="1"/>
  <c r="J9"/>
  <c r="G9" l="1"/>
  <c r="H9" l="1"/>
  <c r="H5" i="13" l="1"/>
  <c r="H3"/>
  <c r="H4"/>
  <c r="H6"/>
  <c r="L6" s="1"/>
  <c r="H7"/>
  <c r="H7" i="27" s="1"/>
  <c r="H8" i="13"/>
  <c r="N9"/>
  <c r="AE4" i="26"/>
  <c r="AG4" s="1"/>
  <c r="F5" i="27"/>
  <c r="AE8" i="26"/>
  <c r="AG8" s="1"/>
  <c r="AF9"/>
  <c r="D5" i="27"/>
  <c r="E4"/>
  <c r="E5"/>
  <c r="E8"/>
  <c r="I8" i="5" l="1"/>
  <c r="O8" i="9"/>
  <c r="I4" i="5"/>
  <c r="O4" i="9"/>
  <c r="J6" i="27"/>
  <c r="X6"/>
  <c r="S9" i="5"/>
  <c r="D9" i="27"/>
  <c r="F4"/>
  <c r="E9"/>
  <c r="K5" i="13"/>
  <c r="L5"/>
  <c r="H5" i="27"/>
  <c r="K7" i="13"/>
  <c r="L7"/>
  <c r="K4"/>
  <c r="L4"/>
  <c r="H4" i="27"/>
  <c r="V9" i="26"/>
  <c r="F8" i="27"/>
  <c r="H3"/>
  <c r="K3" i="13"/>
  <c r="L3"/>
  <c r="H8" i="27"/>
  <c r="G9" i="13"/>
  <c r="AE5" i="26"/>
  <c r="AG5" s="1"/>
  <c r="K8" i="13"/>
  <c r="H6" i="27"/>
  <c r="K6" i="13"/>
  <c r="G4" i="27"/>
  <c r="H9" i="13"/>
  <c r="L8"/>
  <c r="O4" l="1"/>
  <c r="I5" i="5"/>
  <c r="O5" i="9"/>
  <c r="V6" i="27"/>
  <c r="V4"/>
  <c r="J8"/>
  <c r="X8"/>
  <c r="J3"/>
  <c r="X3"/>
  <c r="I4"/>
  <c r="W4"/>
  <c r="I8"/>
  <c r="W8"/>
  <c r="G5"/>
  <c r="V5"/>
  <c r="I7"/>
  <c r="W7"/>
  <c r="I3"/>
  <c r="W3"/>
  <c r="J7"/>
  <c r="X7"/>
  <c r="V8"/>
  <c r="I6"/>
  <c r="W6"/>
  <c r="J4"/>
  <c r="X4"/>
  <c r="I5"/>
  <c r="W5"/>
  <c r="G7"/>
  <c r="V7"/>
  <c r="J5"/>
  <c r="X5"/>
  <c r="V3"/>
  <c r="O7" i="13"/>
  <c r="AG9" i="26"/>
  <c r="O5" i="13"/>
  <c r="G6" i="27"/>
  <c r="O6" i="13"/>
  <c r="J9"/>
  <c r="K9"/>
  <c r="G3" i="27"/>
  <c r="O3" i="13"/>
  <c r="AE9" i="26"/>
  <c r="L9" i="13"/>
  <c r="G8" i="27"/>
  <c r="O8" i="13"/>
  <c r="I9"/>
  <c r="F9" i="27"/>
  <c r="O9" i="9" l="1"/>
  <c r="I9" i="5"/>
  <c r="M8" i="13"/>
  <c r="E8" i="1" s="1"/>
  <c r="L8" s="1"/>
  <c r="K8" i="9"/>
  <c r="M6" i="13"/>
  <c r="K6" i="9"/>
  <c r="M5" i="13"/>
  <c r="K5" i="9"/>
  <c r="M7" i="13"/>
  <c r="E7" i="1" s="1"/>
  <c r="L7" s="1"/>
  <c r="K7" i="9"/>
  <c r="I9" i="27"/>
  <c r="M3" i="13"/>
  <c r="E3" i="1" s="1"/>
  <c r="L3" s="1"/>
  <c r="K3" i="9"/>
  <c r="M4" i="13"/>
  <c r="E4" i="1" s="1"/>
  <c r="L4" s="1"/>
  <c r="K4" i="9"/>
  <c r="J9" i="27"/>
  <c r="H9"/>
  <c r="O9" i="13"/>
  <c r="G9" i="27"/>
  <c r="O7" i="1" l="1"/>
  <c r="E6"/>
  <c r="L6" s="1"/>
  <c r="O6" s="1"/>
  <c r="E5"/>
  <c r="L5" s="1"/>
  <c r="O5" s="1"/>
  <c r="M5" i="9" s="1"/>
  <c r="C4" i="23"/>
  <c r="F4" i="5"/>
  <c r="H4" s="1"/>
  <c r="O4" i="1"/>
  <c r="M4" i="9" s="1"/>
  <c r="N4"/>
  <c r="O3" i="1"/>
  <c r="M3" i="9" s="1"/>
  <c r="F3" i="5"/>
  <c r="H3" s="1"/>
  <c r="N3" i="9"/>
  <c r="N7"/>
  <c r="F7" i="5"/>
  <c r="H7" s="1"/>
  <c r="N5" i="9"/>
  <c r="F5" i="5"/>
  <c r="H5" s="1"/>
  <c r="F6"/>
  <c r="H6" s="1"/>
  <c r="N6" i="9"/>
  <c r="O8" i="1"/>
  <c r="M8" i="9" s="1"/>
  <c r="N8"/>
  <c r="F8" i="5"/>
  <c r="H8" s="1"/>
  <c r="K9" i="9"/>
  <c r="M9" i="13"/>
  <c r="C5" i="23" l="1"/>
  <c r="AD5" i="5"/>
  <c r="X5" s="1"/>
  <c r="R8"/>
  <c r="R5"/>
  <c r="R4"/>
  <c r="R3"/>
  <c r="AD8"/>
  <c r="X8" s="1"/>
  <c r="J7" i="9"/>
  <c r="P7" i="10" s="1"/>
  <c r="AD4" i="5"/>
  <c r="X4" s="1"/>
  <c r="J3" i="9"/>
  <c r="P3" i="10" s="1"/>
  <c r="M7" i="9"/>
  <c r="R7" i="5" s="1"/>
  <c r="E4" i="23"/>
  <c r="J4" i="9"/>
  <c r="P4" i="10" s="1"/>
  <c r="J8" i="9"/>
  <c r="P8" i="10" s="1"/>
  <c r="J6" i="9"/>
  <c r="P6" i="10" s="1"/>
  <c r="J5" i="9"/>
  <c r="P5" i="10" s="1"/>
  <c r="AD3" i="5"/>
  <c r="X3" s="1"/>
  <c r="N9" i="9"/>
  <c r="M6"/>
  <c r="R6" i="5" s="1"/>
  <c r="F9"/>
  <c r="N9" i="1"/>
  <c r="E9"/>
  <c r="L9"/>
  <c r="E5" i="23" l="1"/>
  <c r="AD6" i="5"/>
  <c r="X6" s="1"/>
  <c r="AD7"/>
  <c r="X7" s="1"/>
  <c r="J9" i="9"/>
  <c r="H9" i="5"/>
  <c r="D9" i="23"/>
  <c r="P9" i="10" l="1"/>
  <c r="AB9" i="5"/>
  <c r="E9" i="23"/>
  <c r="C9"/>
  <c r="O9" i="1"/>
  <c r="M9" i="9" l="1"/>
  <c r="AD9" i="5"/>
  <c r="Z9" l="1"/>
  <c r="R9"/>
  <c r="Q9"/>
  <c r="T9"/>
  <c r="X9" l="1"/>
</calcChain>
</file>

<file path=xl/sharedStrings.xml><?xml version="1.0" encoding="utf-8"?>
<sst xmlns="http://schemas.openxmlformats.org/spreadsheetml/2006/main" count="1096" uniqueCount="600">
  <si>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</si>
  <si>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</si>
  <si>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</si>
  <si>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</si>
  <si>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</si>
  <si>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</si>
  <si>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</si>
  <si>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</si>
  <si>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</si>
  <si>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</si>
  <si>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</si>
  <si>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</si>
  <si>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</si>
  <si>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</si>
  <si>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</si>
  <si>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</si>
  <si>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</si>
  <si>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</si>
  <si>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</si>
  <si>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</si>
  <si>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</si>
  <si>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</si>
  <si>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</si>
  <si>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</si>
  <si>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</si>
  <si>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</si>
  <si>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</si>
  <si>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</si>
  <si>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</si>
  <si>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</si>
  <si>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</si>
  <si>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</si>
  <si>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</si>
  <si>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</si>
  <si>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</si>
  <si>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</si>
  <si>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</si>
  <si>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</si>
  <si>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</si>
  <si>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</si>
  <si>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</si>
  <si>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</si>
  <si>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</si>
  <si>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</si>
  <si>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</si>
  <si>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</si>
  <si>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</si>
  <si>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</si>
  <si>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</si>
  <si>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</si>
  <si>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</si>
  <si>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</si>
  <si>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</si>
  <si>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</si>
  <si>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</si>
  <si>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</si>
  <si>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</si>
  <si>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</si>
  <si>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</si>
  <si>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</si>
  <si>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</si>
  <si>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</si>
  <si>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</si>
  <si>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</si>
  <si>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</si>
  <si>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</si>
  <si>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</si>
  <si>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</si>
  <si>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</si>
  <si>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</si>
  <si>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</si>
  <si>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</si>
  <si>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</si>
  <si>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</si>
  <si>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</si>
  <si>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</si>
  <si>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</si>
  <si>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</si>
  <si>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</si>
  <si>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</si>
  <si>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</si>
  <si>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</si>
  <si>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</si>
  <si>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</si>
  <si>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</si>
  <si>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</si>
  <si>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</si>
  <si>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</si>
  <si>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</si>
  <si>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</si>
  <si>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</si>
  <si>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</si>
  <si>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</si>
  <si>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</si>
  <si>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</si>
  <si>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</si>
  <si>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</si>
  <si>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</si>
  <si>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</si>
  <si>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</si>
  <si>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</si>
  <si>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</si>
  <si>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</si>
  <si>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</si>
  <si>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</si>
  <si>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</si>
  <si>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</si>
  <si>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</si>
  <si>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</si>
  <si>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</si>
  <si>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</si>
  <si>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</si>
  <si>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</si>
  <si>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</si>
  <si>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</si>
  <si>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</si>
  <si>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</si>
  <si>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</si>
  <si>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</si>
  <si>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</si>
  <si>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</si>
  <si>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</si>
  <si>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</si>
  <si>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</si>
  <si>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</si>
  <si>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</si>
  <si>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</si>
  <si>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</si>
  <si>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</si>
  <si>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</si>
  <si>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</si>
  <si>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</si>
  <si>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</si>
  <si>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</si>
  <si>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</si>
  <si>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</si>
  <si>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</si>
  <si>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</si>
  <si>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</si>
  <si>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</si>
  <si>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</si>
  <si>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</si>
  <si>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</si>
  <si>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</si>
  <si>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</si>
  <si>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</si>
  <si>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</si>
  <si>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</si>
  <si>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</si>
  <si>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</si>
  <si>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</si>
  <si>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</si>
  <si>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</si>
  <si>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</si>
  <si>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</si>
  <si>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</si>
  <si>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</si>
  <si>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</si>
  <si>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</si>
  <si>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</si>
  <si>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</si>
  <si>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</si>
  <si>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</si>
  <si>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</si>
  <si>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</si>
  <si>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</si>
  <si>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</si>
  <si>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</si>
  <si>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</si>
  <si>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</si>
  <si>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</si>
  <si>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</si>
  <si>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</si>
  <si>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</si>
  <si>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</si>
  <si>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</si>
  <si>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</si>
  <si>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</si>
  <si>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</si>
  <si>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</si>
  <si>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</si>
  <si>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</si>
  <si>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</si>
  <si>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</si>
  <si>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</si>
  <si>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</si>
  <si>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</si>
  <si>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</si>
  <si>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</si>
  <si>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</si>
  <si>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</si>
  <si>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</si>
  <si>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</si>
  <si>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</si>
  <si>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</si>
  <si>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</si>
  <si>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</si>
  <si>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</si>
  <si>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</si>
  <si>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</si>
  <si>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</si>
  <si>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</si>
  <si>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</si>
  <si>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</si>
  <si>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</si>
  <si>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</si>
  <si>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</si>
  <si>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</si>
  <si>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</si>
  <si>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</si>
  <si>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</si>
  <si>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</si>
  <si>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</si>
  <si>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</si>
  <si>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</si>
  <si>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</si>
  <si>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</si>
  <si>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</si>
  <si>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</si>
  <si>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</si>
  <si>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</si>
  <si>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</si>
  <si>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</si>
  <si>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</si>
  <si>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</si>
  <si>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</si>
  <si>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</si>
  <si>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</si>
  <si>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</si>
  <si>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</si>
  <si>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</si>
  <si>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</si>
  <si>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</si>
  <si>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</si>
  <si>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</si>
  <si>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</si>
  <si>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</si>
  <si>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</si>
  <si>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</si>
  <si>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</si>
  <si>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</si>
  <si>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</si>
  <si>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</si>
  <si>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</si>
  <si>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</si>
  <si>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</si>
  <si>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</si>
  <si>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</si>
  <si>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</si>
  <si>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</si>
  <si>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</si>
  <si>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</si>
  <si>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</si>
  <si>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</si>
  <si>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</si>
  <si>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</si>
  <si>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</si>
  <si>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</si>
  <si>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</si>
  <si>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</si>
  <si>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</si>
  <si>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</si>
  <si>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</si>
  <si>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</si>
  <si>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</si>
  <si>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</si>
  <si>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</si>
  <si>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</si>
  <si>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</si>
  <si>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</si>
  <si>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</si>
  <si>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</si>
  <si>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</si>
  <si>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</si>
  <si>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</si>
  <si>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</si>
  <si>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</si>
  <si>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</si>
  <si>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</si>
  <si>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</si>
  <si>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</si>
  <si>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</si>
  <si>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</si>
  <si>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</si>
  <si>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</si>
  <si>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</si>
  <si>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</si>
  <si>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</si>
  <si>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</si>
  <si>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</si>
  <si>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</si>
  <si>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</si>
  <si>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</si>
  <si>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</si>
  <si>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</si>
  <si>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</si>
  <si>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</si>
  <si>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</si>
  <si>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</si>
  <si>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</si>
  <si>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</si>
  <si>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</si>
  <si>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</si>
  <si>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</si>
  <si>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</si>
  <si>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</si>
  <si>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</si>
  <si>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</si>
  <si>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</si>
  <si>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</si>
  <si>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</si>
  <si>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</si>
  <si>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</si>
  <si>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</si>
  <si>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</si>
  <si>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</si>
  <si>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</si>
  <si>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</si>
  <si>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</si>
  <si>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</si>
  <si>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</si>
  <si>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</si>
  <si>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</si>
  <si>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</si>
  <si>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</si>
  <si>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</si>
  <si>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</si>
  <si>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</si>
  <si>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</si>
  <si>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</si>
  <si>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</si>
  <si>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</si>
  <si>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</si>
  <si>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</si>
  <si>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</si>
  <si>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</si>
  <si>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</si>
  <si>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</si>
  <si>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</si>
  <si>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</si>
  <si>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</si>
  <si>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</si>
  <si>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</si>
  <si>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</si>
  <si>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</si>
  <si>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</si>
  <si>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</si>
  <si>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</si>
  <si>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</si>
  <si>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</si>
  <si>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</si>
  <si>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</si>
  <si>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</si>
  <si>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</si>
  <si>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</si>
  <si>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</si>
  <si>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</si>
  <si>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</si>
  <si>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</si>
  <si>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</si>
  <si>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</si>
  <si>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</si>
  <si>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</si>
  <si>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</si>
  <si>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</si>
  <si>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</si>
  <si>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</si>
  <si>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</si>
  <si>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</si>
  <si>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</si>
  <si>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</si>
  <si>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</si>
  <si>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</si>
  <si>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</si>
  <si>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</si>
  <si>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</si>
  <si>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</si>
  <si>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</si>
  <si>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</si>
  <si>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</si>
  <si>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</si>
  <si>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</si>
  <si>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</si>
  <si>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</si>
  <si>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</si>
  <si>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</si>
  <si>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</si>
  <si>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</si>
  <si>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</si>
  <si>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</si>
  <si>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</si>
  <si>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</si>
  <si>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</si>
  <si>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</si>
  <si>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</si>
  <si>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</si>
  <si>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</si>
  <si>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</si>
  <si>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</si>
  <si>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</si>
  <si>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</si>
  <si>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</si>
  <si>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</si>
  <si>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</si>
  <si>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</si>
  <si>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</si>
  <si>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</si>
  <si>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</si>
  <si>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</si>
  <si>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</si>
  <si>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</si>
  <si>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</si>
  <si>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</si>
  <si>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</si>
  <si>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</si>
  <si>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</si>
  <si>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</si>
  <si>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</si>
  <si>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</si>
  <si>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</si>
  <si>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</si>
  <si>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</si>
  <si>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</si>
  <si>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</si>
  <si>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</si>
  <si>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</si>
  <si>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</si>
  <si>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</si>
  <si>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</si>
  <si>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</si>
  <si>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</si>
  <si>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</si>
  <si>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</si>
  <si>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</si>
  <si>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</si>
  <si>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</si>
  <si>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</si>
  <si>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</si>
  <si>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</si>
  <si>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</si>
  <si>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</si>
  <si>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</si>
  <si>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</si>
  <si>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</si>
  <si>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</si>
  <si>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</si>
  <si>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</si>
  <si>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</si>
  <si>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</si>
  <si>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</si>
  <si>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</si>
  <si>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</si>
  <si>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</si>
  <si>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</si>
  <si>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</si>
  <si>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</si>
  <si>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</si>
  <si>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</si>
  <si>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</si>
  <si>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</si>
  <si>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</si>
  <si>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</si>
  <si>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</si>
  <si>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</si>
  <si>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</si>
  <si>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</si>
  <si>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</si>
  <si>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</si>
  <si>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</si>
  <si>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</si>
  <si>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</si>
  <si>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</si>
  <si>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</si>
  <si>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</si>
  <si>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</si>
  <si>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</si>
  <si>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</si>
  <si>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</si>
  <si>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</si>
  <si>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</si>
  <si>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</si>
  <si>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</si>
  <si>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</si>
  <si>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</si>
  <si>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</si>
  <si>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</si>
  <si>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</si>
  <si>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</si>
  <si>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</si>
  <si>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</si>
  <si>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</si>
  <si>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</si>
  <si>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</si>
  <si>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</si>
  <si>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</si>
  <si>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</si>
  <si>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</si>
  <si>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</si>
  <si>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</si>
  <si>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</si>
  <si>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</si>
  <si>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</si>
  <si>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</si>
  <si>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</si>
  <si>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</si>
  <si>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</si>
  <si>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</si>
  <si>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</si>
  <si>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</si>
  <si>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</si>
  <si>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</si>
  <si>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</si>
  <si>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</si>
  <si>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</si>
  <si>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</si>
  <si>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</si>
  <si>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</si>
  <si>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</si>
  <si>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</si>
  <si>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</si>
  <si>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</si>
  <si>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</si>
  <si>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</si>
  <si>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</si>
  <si>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</si>
  <si>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</si>
  <si>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</si>
  <si>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</si>
  <si>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</si>
  <si>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</si>
  <si>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</si>
  <si>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</si>
  <si>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</si>
  <si>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</si>
  <si>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</si>
  <si>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κληρονομιάς ΑΠΟΔΟΧΗ</t>
  </si>
  <si>
    <t>χρησικτησία αγροτεμαχίων {0,7 &amp; 1,8στρ} = 19?? πατρός ΔΩΡΕΑ άτυπη</t>
  </si>
  <si>
    <t>γονική</t>
  </si>
  <si>
    <t>δωρεά</t>
  </si>
  <si>
    <t>ΠΩΣ γίνεται η αγοραπωλησία ΧΩΡΙΣ μεταγραφές των πρώην</t>
  </si>
  <si>
    <t>αθανασιος</t>
  </si>
  <si>
    <t>μεταγραφές</t>
  </si>
  <si>
    <t>μεΨυχανάλυση</t>
  </si>
  <si>
    <t>μαζι ΜΕ 2515-2390-3291-13594</t>
  </si>
  <si>
    <t>*2β*</t>
  </si>
  <si>
    <t>*13α*</t>
  </si>
  <si>
    <t>*13β*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</si>
  <si>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</si>
  <si>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</si>
  <si>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</si>
  <si>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</si>
  <si>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</si>
  <si>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</si>
  <si>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</si>
  <si>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</si>
  <si>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</si>
  <si>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16έτη &amp;3 μήνες</t>
  </si>
  <si>
    <t>καθεστώς ΤΟΓΚΑΣ</t>
  </si>
  <si>
    <t>ζημία</t>
  </si>
  <si>
    <t>2/8 στην σύζυγο &amp; ανά 3/8 στα 2 παιδιά</t>
  </si>
  <si>
    <t>οικόπεδο Ραχώνι 502,58μ2 ΜΕ οικία (με υπόγειο) από 71,37μ2 + αποθήκη 31,75μ2</t>
  </si>
  <si>
    <t>χρησικτησία οικοπέδου = νικολουδηΣαββατουλα ΑΝΤΑΛΑΓΗ άτυπη</t>
  </si>
  <si>
    <t>διανομή ανισομερής ΑΤΥΠΗ</t>
  </si>
  <si>
    <t>ΜΕ κ-15</t>
  </si>
  <si>
    <t>μαζί ΜΕ 2515-3290-3291-13594</t>
  </si>
  <si>
    <t>αιτΥποθ = ΤΑΧΔΙΚ-1 , ΤΑΝ-0,60 , ΤΑΣ-0,06</t>
  </si>
  <si>
    <t>ΔΕΝ</t>
  </si>
  <si>
    <t>1/2 των 2/8 οικόπεδο Ραχώνι 502,58μ2 ΜΕ οικία (με υπόγειο) από 71,37μ2 + αποθήκη 31,75μ2</t>
  </si>
  <si>
    <t>ΔΕΝ ΧΡΕΩΝΕΙ τίποτα</t>
  </si>
  <si>
    <t>1 σε 1</t>
  </si>
  <si>
    <t>οι 3</t>
  </si>
  <si>
    <t>οι3</t>
  </si>
  <si>
    <t>13έτη &amp; 4μήνες</t>
  </si>
  <si>
    <t>1ο</t>
  </si>
  <si>
    <t>2ο</t>
  </si>
  <si>
    <t>3ο</t>
  </si>
  <si>
    <t>4ο</t>
  </si>
  <si>
    <t>ελαιοτεμάχιο ;;;???  Ραχώνι -'';;;???'' 718μ2</t>
  </si>
  <si>
    <t>ελαιοτεμάχιο ;;;??? Ραχώνι -'';;;???'' 1.806μ2</t>
  </si>
  <si>
    <t>1/2 από αγροτεμάχιο ;;;??? '';;;???'' 1830μ2</t>
  </si>
  <si>
    <t>2/8 ελαιοτεμάχιο ;;;???  Ραχώνι -'';;;???'' 718μ2</t>
  </si>
  <si>
    <t>2/8 ελαιοτεμάχιο ;;;??? Ραχώνι -'';;;???'' 1.806μ2</t>
  </si>
  <si>
    <t>αγροτεμάχιο Ραχώνι - '';;;???'' 500μ2</t>
  </si>
  <si>
    <t>3/8 ελαιοτεμάχιο ;;;???  Ραχώνι -'';;;???'' 718μ2</t>
  </si>
  <si>
    <t>3/8 ελαιοτεμάχιο ;;;??? Ραχώνι -'';;;???'' 1.806μ2</t>
  </si>
  <si>
    <t>5ο</t>
  </si>
  <si>
    <t>6ο</t>
  </si>
  <si>
    <t>7ο</t>
  </si>
  <si>
    <t>κληρονομιάς αποδοχή 1ου  ΔΙΟΡΘΩΣΗ [μεταγραφή 06/02/2017</t>
  </si>
  <si>
    <t>219-113 = υιός 1ος</t>
  </si>
  <si>
    <t>219-113 = υιός 2ος</t>
  </si>
  <si>
    <t>219-113 = μήτηρ</t>
  </si>
  <si>
    <t>219-113 = πατήρ</t>
  </si>
  <si>
    <t>παππούς</t>
  </si>
  <si>
    <t>;;;???</t>
  </si>
  <si>
    <r>
      <t>αγοραπωλησία = 9.535 {ως πωλητές ΠΡΟΣ ;;;???} [</t>
    </r>
    <r>
      <rPr>
        <sz val="8"/>
        <color rgb="FFFF0000"/>
        <rFont val="Arial"/>
        <family val="2"/>
        <charset val="161"/>
      </rPr>
      <t>μεταγραφή = 5/6/2020</t>
    </r>
  </si>
  <si>
    <t>αγοραπωλησία = 64.274 [ως πωλητές (μεταγραφή 06/02/2017</t>
  </si>
  <si>
    <t>καθεστώς πληρωμής από ΑΓΑΠΕ</t>
  </si>
  <si>
    <t>καθεστώς</t>
  </si>
  <si>
    <t>ΔΕΝ έχω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</si>
</sst>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9"/>
      <color indexed="8"/>
      <name val="Arial"/>
      <family val="2"/>
      <charset val="161"/>
    </font>
    <font>
      <u/>
      <sz val="8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sz val="8"/>
      <color rgb="FF00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2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43" fontId="21" fillId="4" borderId="1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0" fontId="42" fillId="0" borderId="14" xfId="0" applyFont="1" applyFill="1" applyBorder="1" applyAlignment="1">
      <alignment horizontal="center" wrapText="1"/>
    </xf>
    <xf numFmtId="43" fontId="42" fillId="0" borderId="1" xfId="1" applyFont="1" applyFill="1" applyBorder="1"/>
    <xf numFmtId="43" fontId="12" fillId="0" borderId="1" xfId="1" applyFont="1" applyFill="1" applyBorder="1"/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4" xfId="1" applyFont="1" applyFill="1" applyBorder="1"/>
    <xf numFmtId="43" fontId="37" fillId="0" borderId="1" xfId="1" applyFont="1" applyFill="1" applyBorder="1" applyAlignment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43" fontId="21" fillId="7" borderId="14" xfId="0" applyNumberFormat="1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3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 applyAlignment="1">
      <alignment horizontal="center" vertical="center" wrapText="1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20" fillId="3" borderId="0" xfId="1" applyFont="1" applyFill="1"/>
    <xf numFmtId="164" fontId="27" fillId="6" borderId="0" xfId="1" applyNumberFormat="1" applyFont="1" applyFill="1" applyAlignment="1"/>
    <xf numFmtId="0" fontId="47" fillId="0" borderId="1" xfId="1" applyNumberFormat="1" applyFont="1" applyFill="1" applyBorder="1" applyAlignment="1">
      <alignment horizontal="left" vertical="center"/>
    </xf>
    <xf numFmtId="43" fontId="20" fillId="4" borderId="10" xfId="1" applyFont="1" applyFill="1" applyBorder="1" applyAlignment="1">
      <alignment horizontal="center" vertical="center" wrapText="1"/>
    </xf>
    <xf numFmtId="43" fontId="18" fillId="3" borderId="1" xfId="1" applyFont="1" applyFill="1" applyBorder="1"/>
    <xf numFmtId="0" fontId="18" fillId="0" borderId="14" xfId="0" applyFont="1" applyFill="1" applyBorder="1"/>
    <xf numFmtId="0" fontId="42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43" fontId="18" fillId="3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18" fillId="0" borderId="9" xfId="1" applyFont="1" applyFill="1" applyBorder="1"/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164" fontId="23" fillId="0" borderId="18" xfId="1" applyNumberFormat="1" applyFont="1" applyFill="1" applyBorder="1" applyAlignment="1">
      <alignment horizontal="center" vertical="center"/>
    </xf>
    <xf numFmtId="164" fontId="23" fillId="0" borderId="2" xfId="1" applyNumberFormat="1" applyFont="1" applyFill="1" applyBorder="1" applyAlignment="1">
      <alignment horizontal="center" vertical="center"/>
    </xf>
    <xf numFmtId="14" fontId="21" fillId="0" borderId="0" xfId="1" applyNumberFormat="1" applyFont="1" applyFill="1"/>
    <xf numFmtId="0" fontId="48" fillId="0" borderId="0" xfId="0" applyFont="1" applyAlignment="1">
      <alignment horizontal="right"/>
    </xf>
    <xf numFmtId="0" fontId="49" fillId="0" borderId="0" xfId="0" applyFont="1"/>
    <xf numFmtId="10" fontId="18" fillId="0" borderId="0" xfId="1" applyNumberFormat="1" applyFont="1" applyAlignment="1">
      <alignment horizontal="right"/>
    </xf>
    <xf numFmtId="14" fontId="21" fillId="0" borderId="1" xfId="0" applyNumberFormat="1" applyFont="1" applyBorder="1"/>
    <xf numFmtId="0" fontId="21" fillId="0" borderId="14" xfId="0" applyFont="1" applyBorder="1"/>
    <xf numFmtId="43" fontId="21" fillId="0" borderId="14" xfId="1" applyFont="1" applyBorder="1"/>
    <xf numFmtId="164" fontId="21" fillId="2" borderId="9" xfId="1" applyNumberFormat="1" applyFont="1" applyFill="1" applyBorder="1"/>
    <xf numFmtId="43" fontId="21" fillId="0" borderId="9" xfId="1" applyFont="1" applyBorder="1"/>
    <xf numFmtId="43" fontId="21" fillId="4" borderId="9" xfId="1" applyFont="1" applyFill="1" applyBorder="1"/>
    <xf numFmtId="0" fontId="18" fillId="0" borderId="9" xfId="0" applyFont="1" applyFill="1" applyBorder="1" applyAlignment="1">
      <alignment horizontal="left"/>
    </xf>
    <xf numFmtId="0" fontId="42" fillId="0" borderId="9" xfId="0" applyFont="1" applyFill="1" applyBorder="1" applyAlignment="1">
      <alignment horizontal="center" wrapText="1"/>
    </xf>
    <xf numFmtId="164" fontId="36" fillId="0" borderId="2" xfId="1" applyNumberFormat="1" applyFont="1" applyFill="1" applyBorder="1" applyAlignment="1">
      <alignment horizontal="center" vertical="center"/>
    </xf>
    <xf numFmtId="164" fontId="1" fillId="0" borderId="1" xfId="1" applyNumberFormat="1" applyFont="1" applyFill="1" applyBorder="1"/>
    <xf numFmtId="0" fontId="1" fillId="0" borderId="1" xfId="0" applyFont="1" applyFill="1" applyBorder="1" applyAlignment="1">
      <alignment horizontal="center" wrapText="1"/>
    </xf>
    <xf numFmtId="164" fontId="36" fillId="0" borderId="1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43" fontId="17" fillId="0" borderId="14" xfId="1" applyFont="1" applyFill="1" applyBorder="1" applyAlignment="1">
      <alignment horizontal="right" vertical="center"/>
    </xf>
    <xf numFmtId="43" fontId="12" fillId="0" borderId="14" xfId="1" applyFont="1" applyFill="1" applyBorder="1"/>
    <xf numFmtId="0" fontId="12" fillId="0" borderId="14" xfId="0" applyFont="1" applyFill="1" applyBorder="1" applyAlignment="1">
      <alignment horizontal="center" wrapText="1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1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1" fillId="0" borderId="9" xfId="1" applyNumberFormat="1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43" fontId="18" fillId="0" borderId="22" xfId="1" applyFont="1" applyFill="1" applyBorder="1" applyAlignment="1">
      <alignment horizontal="right" vertical="center"/>
    </xf>
    <xf numFmtId="0" fontId="21" fillId="0" borderId="14" xfId="0" applyFont="1" applyFill="1" applyBorder="1" applyAlignment="1">
      <alignment horizontal="center" wrapText="1"/>
    </xf>
    <xf numFmtId="164" fontId="23" fillId="0" borderId="9" xfId="1" applyNumberFormat="1" applyFont="1" applyFill="1" applyBorder="1" applyAlignment="1">
      <alignment horizontal="center" vertical="center"/>
    </xf>
    <xf numFmtId="43" fontId="18" fillId="0" borderId="26" xfId="1" applyFont="1" applyFill="1" applyBorder="1" applyAlignment="1">
      <alignment horizontal="right" vertical="center"/>
    </xf>
    <xf numFmtId="0" fontId="21" fillId="0" borderId="9" xfId="0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18" fillId="0" borderId="9" xfId="1" applyNumberFormat="1" applyFont="1" applyFill="1" applyBorder="1"/>
    <xf numFmtId="164" fontId="42" fillId="0" borderId="9" xfId="1" applyNumberFormat="1" applyFont="1" applyFill="1" applyBorder="1"/>
    <xf numFmtId="0" fontId="21" fillId="0" borderId="14" xfId="0" applyFont="1" applyFill="1" applyBorder="1"/>
    <xf numFmtId="0" fontId="21" fillId="2" borderId="9" xfId="0" applyFont="1" applyFill="1" applyBorder="1"/>
    <xf numFmtId="0" fontId="21" fillId="0" borderId="9" xfId="0" applyFont="1" applyFill="1" applyBorder="1"/>
    <xf numFmtId="43" fontId="50" fillId="0" borderId="0" xfId="1" applyFont="1" applyFill="1"/>
    <xf numFmtId="43" fontId="33" fillId="0" borderId="0" xfId="1" applyFont="1"/>
    <xf numFmtId="43" fontId="33" fillId="7" borderId="0" xfId="1" applyFont="1" applyFill="1"/>
    <xf numFmtId="14" fontId="30" fillId="0" borderId="9" xfId="1" applyNumberFormat="1" applyFont="1" applyFill="1" applyBorder="1" applyAlignment="1">
      <alignment horizontal="center" vertical="center" wrapText="1"/>
    </xf>
    <xf numFmtId="164" fontId="39" fillId="0" borderId="2" xfId="1" applyNumberFormat="1" applyFont="1" applyFill="1" applyBorder="1" applyAlignment="1">
      <alignment horizontal="center" vertical="center"/>
    </xf>
    <xf numFmtId="43" fontId="35" fillId="4" borderId="1" xfId="1" applyFont="1" applyFill="1" applyBorder="1"/>
    <xf numFmtId="164" fontId="39" fillId="0" borderId="18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164" fontId="40" fillId="0" borderId="9" xfId="1" applyNumberFormat="1" applyFont="1" applyFill="1" applyBorder="1"/>
    <xf numFmtId="43" fontId="35" fillId="4" borderId="9" xfId="1" applyFont="1" applyFill="1" applyBorder="1"/>
    <xf numFmtId="43" fontId="35" fillId="0" borderId="9" xfId="1" applyFont="1" applyFill="1" applyBorder="1"/>
    <xf numFmtId="164" fontId="1" fillId="0" borderId="1" xfId="1" applyNumberFormat="1" applyFont="1" applyFill="1" applyBorder="1" applyAlignment="1">
      <alignment horizontal="center" wrapText="1"/>
    </xf>
    <xf numFmtId="0" fontId="36" fillId="0" borderId="14" xfId="1" applyNumberFormat="1" applyFont="1" applyFill="1" applyBorder="1" applyAlignment="1">
      <alignment horizontal="lef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" fillId="0" borderId="9" xfId="1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164" fontId="21" fillId="0" borderId="14" xfId="1" applyNumberFormat="1" applyFont="1" applyFill="1" applyBorder="1" applyAlignment="1">
      <alignment horizontal="center" wrapText="1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7" borderId="9" xfId="0" applyNumberFormat="1" applyFont="1" applyFill="1" applyBorder="1" applyAlignment="1">
      <alignment horizontal="center" wrapText="1"/>
    </xf>
    <xf numFmtId="43" fontId="23" fillId="0" borderId="14" xfId="1" applyFont="1" applyFill="1" applyBorder="1" applyAlignment="1">
      <alignment horizontal="right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0" fontId="21" fillId="0" borderId="21" xfId="1" applyNumberFormat="1" applyFont="1" applyFill="1" applyBorder="1" applyAlignment="1">
      <alignment horizontal="center" vertical="center" wrapText="1"/>
    </xf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12" borderId="9" xfId="1" applyNumberFormat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0" borderId="0" xfId="1" applyNumberFormat="1" applyFont="1" applyAlignment="1">
      <alignment horizontal="left"/>
    </xf>
    <xf numFmtId="164" fontId="42" fillId="0" borderId="0" xfId="1" applyNumberFormat="1" applyFont="1" applyAlignment="1">
      <alignment horizontal="right"/>
    </xf>
    <xf numFmtId="0" fontId="17" fillId="0" borderId="9" xfId="0" applyFont="1" applyFill="1" applyBorder="1" applyAlignment="1">
      <alignment horizontal="left"/>
    </xf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9" xfId="0" applyNumberFormat="1" applyFont="1" applyFill="1" applyBorder="1" applyAlignment="1">
      <alignment horizontal="center" wrapText="1"/>
    </xf>
    <xf numFmtId="0" fontId="34" fillId="0" borderId="1" xfId="0" applyFont="1" applyBorder="1" applyAlignment="1">
      <alignment horizontal="center"/>
    </xf>
    <xf numFmtId="43" fontId="21" fillId="4" borderId="0" xfId="1" applyFont="1" applyFill="1"/>
    <xf numFmtId="164" fontId="21" fillId="0" borderId="0" xfId="1" applyNumberFormat="1" applyFont="1" applyFill="1" applyAlignment="1">
      <alignment horizontal="left"/>
    </xf>
    <xf numFmtId="0" fontId="49" fillId="0" borderId="0" xfId="0" applyFont="1" applyAlignment="1">
      <alignment horizontal="center"/>
    </xf>
    <xf numFmtId="0" fontId="20" fillId="0" borderId="0" xfId="0" applyFont="1" applyAlignment="1">
      <alignment horizontal="center" wrapText="1"/>
    </xf>
    <xf numFmtId="43" fontId="21" fillId="13" borderId="14" xfId="1" applyFont="1" applyFill="1" applyBorder="1"/>
    <xf numFmtId="43" fontId="21" fillId="13" borderId="9" xfId="1" applyFont="1" applyFill="1" applyBorder="1"/>
    <xf numFmtId="43" fontId="20" fillId="13" borderId="14" xfId="1" applyFont="1" applyFill="1" applyBorder="1"/>
    <xf numFmtId="43" fontId="20" fillId="12" borderId="14" xfId="1" applyFont="1" applyFill="1" applyBorder="1"/>
    <xf numFmtId="164" fontId="20" fillId="12" borderId="14" xfId="1" applyNumberFormat="1" applyFont="1" applyFill="1" applyBorder="1"/>
    <xf numFmtId="164" fontId="24" fillId="0" borderId="0" xfId="1" applyNumberFormat="1" applyFont="1" applyAlignment="1">
      <alignment horizontal="right"/>
    </xf>
    <xf numFmtId="164" fontId="21" fillId="0" borderId="0" xfId="1" applyNumberFormat="1" applyFont="1" applyFill="1" applyAlignment="1">
      <alignment horizontal="right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2" borderId="3" xfId="1" applyNumberFormat="1" applyFont="1" applyFill="1" applyBorder="1" applyAlignment="1">
      <alignment horizontal="right"/>
    </xf>
    <xf numFmtId="164" fontId="21" fillId="2" borderId="12" xfId="1" applyNumberFormat="1" applyFont="1" applyFill="1" applyBorder="1" applyAlignment="1">
      <alignment horizontal="right"/>
    </xf>
    <xf numFmtId="164" fontId="21" fillId="2" borderId="13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26" fillId="3" borderId="15" xfId="1" applyFont="1" applyFill="1" applyBorder="1" applyAlignment="1">
      <alignment horizontal="center" vertical="center" wrapText="1"/>
    </xf>
    <xf numFmtId="43" fontId="26" fillId="3" borderId="10" xfId="1" applyFont="1" applyFill="1" applyBorder="1" applyAlignment="1">
      <alignment horizontal="center" vertical="center" wrapText="1"/>
    </xf>
    <xf numFmtId="164" fontId="51" fillId="14" borderId="3" xfId="1" applyNumberFormat="1" applyFont="1" applyFill="1" applyBorder="1" applyAlignment="1">
      <alignment horizontal="center" vertical="center" wrapText="1"/>
    </xf>
    <xf numFmtId="164" fontId="51" fillId="14" borderId="12" xfId="1" applyNumberFormat="1" applyFont="1" applyFill="1" applyBorder="1" applyAlignment="1">
      <alignment horizontal="center" vertical="center" wrapText="1"/>
    </xf>
    <xf numFmtId="164" fontId="51" fillId="14" borderId="13" xfId="1" applyNumberFormat="1" applyFont="1" applyFill="1" applyBorder="1" applyAlignment="1">
      <alignment horizontal="center" vertical="center" wrapText="1"/>
    </xf>
    <xf numFmtId="164" fontId="51" fillId="0" borderId="10" xfId="1" applyNumberFormat="1" applyFont="1" applyFill="1" applyBorder="1" applyAlignment="1">
      <alignment horizontal="center" vertical="center" wrapText="1"/>
    </xf>
    <xf numFmtId="164" fontId="51" fillId="14" borderId="10" xfId="1" applyNumberFormat="1" applyFont="1" applyFill="1" applyBorder="1" applyAlignment="1">
      <alignment horizontal="center" vertical="center" wrapText="1"/>
    </xf>
    <xf numFmtId="14" fontId="21" fillId="0" borderId="14" xfId="1" applyNumberFormat="1" applyFont="1" applyFill="1" applyBorder="1"/>
    <xf numFmtId="14" fontId="42" fillId="0" borderId="14" xfId="1" applyNumberFormat="1" applyFont="1" applyFill="1" applyBorder="1"/>
    <xf numFmtId="43" fontId="42" fillId="0" borderId="1" xfId="1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91"/>
  <sheetViews>
    <sheetView tabSelected="1"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9.28515625" style="8" customWidth="1"/>
    <col min="2" max="2" width="9" style="376" customWidth="1"/>
    <col min="3" max="3" width="56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.85546875" style="3" customWidth="1"/>
    <col min="17" max="17" width="4.7109375" style="3" customWidth="1"/>
    <col min="18" max="18" width="7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42" t="s">
        <v>1</v>
      </c>
      <c r="B1" s="544" t="s">
        <v>2</v>
      </c>
      <c r="C1" s="546" t="s">
        <v>0</v>
      </c>
      <c r="D1" s="548" t="s">
        <v>62</v>
      </c>
      <c r="E1" s="550" t="s">
        <v>82</v>
      </c>
      <c r="F1" s="551"/>
      <c r="G1" s="551"/>
      <c r="H1" s="551"/>
      <c r="I1" s="551"/>
      <c r="J1" s="551"/>
      <c r="K1" s="551"/>
      <c r="L1" s="536" t="s">
        <v>365</v>
      </c>
      <c r="M1" s="536"/>
      <c r="N1" s="534" t="s">
        <v>521</v>
      </c>
      <c r="O1" s="535"/>
      <c r="P1" s="537" t="s">
        <v>29</v>
      </c>
      <c r="Q1" s="538"/>
      <c r="R1" s="538"/>
      <c r="S1" s="538"/>
      <c r="T1" s="538"/>
      <c r="U1" s="538"/>
      <c r="V1" s="538"/>
      <c r="W1" s="538"/>
      <c r="X1" s="538"/>
      <c r="Y1" s="538"/>
      <c r="Z1" s="538"/>
      <c r="AA1" s="539"/>
    </row>
    <row r="2" spans="1:27" ht="12" thickBot="1">
      <c r="A2" s="543"/>
      <c r="B2" s="545"/>
      <c r="C2" s="547"/>
      <c r="D2" s="549"/>
      <c r="E2" s="90" t="s">
        <v>91</v>
      </c>
      <c r="F2" s="90" t="s">
        <v>3</v>
      </c>
      <c r="G2" s="90" t="s">
        <v>141</v>
      </c>
      <c r="H2" s="90" t="s">
        <v>92</v>
      </c>
      <c r="I2" s="90" t="s">
        <v>93</v>
      </c>
      <c r="J2" s="90" t="s">
        <v>94</v>
      </c>
      <c r="K2" s="100" t="s">
        <v>139</v>
      </c>
      <c r="L2" s="66" t="s">
        <v>23</v>
      </c>
      <c r="M2" s="151" t="s">
        <v>68</v>
      </c>
      <c r="N2" s="143" t="s">
        <v>23</v>
      </c>
      <c r="O2" s="99" t="s">
        <v>140</v>
      </c>
      <c r="P2" s="152">
        <v>1</v>
      </c>
      <c r="Q2" s="152" t="s">
        <v>220</v>
      </c>
      <c r="R2" s="152" t="s">
        <v>221</v>
      </c>
      <c r="S2" s="152" t="s">
        <v>222</v>
      </c>
      <c r="T2" s="152" t="s">
        <v>223</v>
      </c>
      <c r="U2" s="152" t="s">
        <v>376</v>
      </c>
      <c r="V2" s="152" t="s">
        <v>377</v>
      </c>
      <c r="W2" s="152" t="s">
        <v>378</v>
      </c>
      <c r="X2" s="152" t="s">
        <v>379</v>
      </c>
      <c r="Y2" s="152"/>
      <c r="Z2" s="152"/>
      <c r="AA2" s="153"/>
    </row>
    <row r="3" spans="1:27" s="5" customFormat="1">
      <c r="A3" s="379" t="s">
        <v>573</v>
      </c>
      <c r="B3" s="336">
        <v>37568</v>
      </c>
      <c r="C3" s="329" t="s">
        <v>535</v>
      </c>
      <c r="D3" s="330"/>
      <c r="E3" s="331">
        <f>'2-δικαιώμ'!M3</f>
        <v>26.121500000000001</v>
      </c>
      <c r="F3" s="332">
        <f>'3-φύλλα2α'!F3</f>
        <v>4.7</v>
      </c>
      <c r="G3" s="332">
        <f>'4-πολλυπρ'!P3</f>
        <v>68.100000000000009</v>
      </c>
      <c r="H3" s="330">
        <f>'5-αντίγρ'!M3</f>
        <v>25.872299999999999</v>
      </c>
      <c r="I3" s="330">
        <f>'6-μεταγρ'!H3</f>
        <v>12.92</v>
      </c>
      <c r="J3" s="330">
        <f>'7-προςΔΟΥ'!E3</f>
        <v>19.38</v>
      </c>
      <c r="K3" s="330"/>
      <c r="L3" s="331">
        <f t="shared" ref="L3:L8" si="0">E3+F3+G3+H3+I3+J3+K3</f>
        <v>157.09379999999999</v>
      </c>
      <c r="M3" s="331">
        <v>75.739999999999995</v>
      </c>
      <c r="N3" s="333">
        <f>M3-'14-βιβλΕσ'!L3-0.5</f>
        <v>69.88</v>
      </c>
      <c r="O3" s="333">
        <f t="shared" ref="O3:O8" si="1">L3-N3</f>
        <v>87.213799999999992</v>
      </c>
      <c r="P3" s="359"/>
      <c r="Q3" s="334"/>
      <c r="R3" s="334"/>
      <c r="S3" s="334"/>
      <c r="T3" s="334"/>
      <c r="U3" s="334"/>
      <c r="V3" s="334"/>
      <c r="W3" s="334"/>
      <c r="X3" s="334"/>
      <c r="Y3" s="334"/>
      <c r="Z3" s="76"/>
      <c r="AA3" s="76"/>
    </row>
    <row r="4" spans="1:27" s="5" customFormat="1">
      <c r="A4" s="379"/>
      <c r="B4" s="336"/>
      <c r="C4" s="329" t="s">
        <v>536</v>
      </c>
      <c r="D4" s="407">
        <v>1111</v>
      </c>
      <c r="E4" s="331">
        <f>'2-δικαιώμ'!M4</f>
        <v>19.614466</v>
      </c>
      <c r="F4" s="332">
        <f>'3-φύλλα2α'!F4</f>
        <v>5.86</v>
      </c>
      <c r="G4" s="332">
        <f>'4-πολλυπρ'!P4</f>
        <v>0</v>
      </c>
      <c r="H4" s="330">
        <f>'5-αντίγρ'!M4</f>
        <v>0</v>
      </c>
      <c r="I4" s="330">
        <f>'6-μεταγρ'!H4</f>
        <v>0</v>
      </c>
      <c r="J4" s="330">
        <f>'7-προςΔΟΥ'!E4</f>
        <v>6.46</v>
      </c>
      <c r="K4" s="330"/>
      <c r="L4" s="331">
        <f t="shared" si="0"/>
        <v>31.934466</v>
      </c>
      <c r="M4" s="331"/>
      <c r="N4" s="333"/>
      <c r="O4" s="333">
        <f t="shared" si="1"/>
        <v>31.934466</v>
      </c>
      <c r="P4" s="359"/>
      <c r="Q4" s="334"/>
      <c r="R4" s="334"/>
      <c r="S4" s="334"/>
      <c r="T4" s="334"/>
      <c r="U4" s="334"/>
      <c r="V4" s="334"/>
      <c r="W4" s="334"/>
      <c r="X4" s="334"/>
      <c r="Y4" s="334"/>
      <c r="Z4" s="76"/>
      <c r="AA4" s="76"/>
    </row>
    <row r="5" spans="1:27" s="5" customFormat="1" ht="12" thickBot="1">
      <c r="A5" s="410"/>
      <c r="B5" s="411"/>
      <c r="C5" s="412" t="s">
        <v>561</v>
      </c>
      <c r="D5" s="413">
        <v>22222</v>
      </c>
      <c r="E5" s="414">
        <f>'2-δικαιώμ'!M5</f>
        <v>234.94666600000002</v>
      </c>
      <c r="F5" s="414">
        <f>'3-φύλλα2α'!F5</f>
        <v>5.86</v>
      </c>
      <c r="G5" s="414">
        <f>'4-πολλυπρ'!P5</f>
        <v>0</v>
      </c>
      <c r="H5" s="415">
        <f>'5-αντίγρ'!M5</f>
        <v>0</v>
      </c>
      <c r="I5" s="415">
        <f>'6-μεταγρ'!H5</f>
        <v>0</v>
      </c>
      <c r="J5" s="415">
        <f>'7-προςΔΟΥ'!E5</f>
        <v>6.46</v>
      </c>
      <c r="K5" s="415"/>
      <c r="L5" s="414">
        <f t="shared" ref="L5" si="2">E5+F5+G5+H5+I5+J5+K5</f>
        <v>247.26666600000004</v>
      </c>
      <c r="M5" s="414"/>
      <c r="N5" s="416"/>
      <c r="O5" s="416">
        <f t="shared" ref="O5" si="3">L5-N5</f>
        <v>247.26666600000004</v>
      </c>
      <c r="P5" s="417"/>
      <c r="Q5" s="418"/>
      <c r="R5" s="418"/>
      <c r="S5" s="334"/>
      <c r="T5" s="334"/>
      <c r="U5" s="334"/>
      <c r="V5" s="334"/>
      <c r="W5" s="334"/>
      <c r="X5" s="334"/>
      <c r="Y5" s="334"/>
      <c r="Z5" s="76"/>
      <c r="AA5" s="76"/>
    </row>
    <row r="6" spans="1:27" s="5" customFormat="1">
      <c r="A6" s="419" t="s">
        <v>574</v>
      </c>
      <c r="B6" s="375">
        <v>37893</v>
      </c>
      <c r="C6" s="408" t="s">
        <v>537</v>
      </c>
      <c r="D6" s="339">
        <v>5454.92</v>
      </c>
      <c r="E6" s="332">
        <f>'2-δικαιώμ'!M6</f>
        <v>63.922449999999998</v>
      </c>
      <c r="F6" s="332">
        <f>'3-φύλλα2α'!F6</f>
        <v>11.72</v>
      </c>
      <c r="G6" s="332">
        <f>'4-πολλυπρ'!P6</f>
        <v>0</v>
      </c>
      <c r="H6" s="339">
        <f>'5-αντίγρ'!M6</f>
        <v>28.746999999999996</v>
      </c>
      <c r="I6" s="339">
        <f>'6-μεταγρ'!H6</f>
        <v>12.92</v>
      </c>
      <c r="J6" s="339">
        <f>'7-προςΔΟΥ'!E6</f>
        <v>25.84</v>
      </c>
      <c r="K6" s="339"/>
      <c r="L6" s="332">
        <f t="shared" si="0"/>
        <v>143.14945</v>
      </c>
      <c r="M6" s="332">
        <v>56.87</v>
      </c>
      <c r="N6" s="333">
        <f>M6-0.5-'8-κ-15-17'!AF6-'14-βιβλΕσ'!L6</f>
        <v>53.04</v>
      </c>
      <c r="O6" s="333">
        <f t="shared" si="1"/>
        <v>90.10945000000001</v>
      </c>
      <c r="P6" s="361"/>
      <c r="Q6" s="409"/>
      <c r="R6" s="409"/>
      <c r="S6" s="334"/>
      <c r="T6" s="334"/>
      <c r="U6" s="334"/>
      <c r="V6" s="334"/>
      <c r="W6" s="334"/>
      <c r="X6" s="334"/>
      <c r="Y6" s="334"/>
      <c r="Z6" s="76"/>
      <c r="AA6" s="76"/>
    </row>
    <row r="7" spans="1:27" s="5" customFormat="1">
      <c r="A7" s="420" t="s">
        <v>575</v>
      </c>
      <c r="B7" s="336">
        <v>37893</v>
      </c>
      <c r="C7" s="329" t="s">
        <v>537</v>
      </c>
      <c r="D7" s="330">
        <v>4027.53</v>
      </c>
      <c r="E7" s="331">
        <f>'2-δικαιώμ'!M7</f>
        <v>49.363072000000003</v>
      </c>
      <c r="F7" s="332">
        <f>'3-φύλλα2α'!F7</f>
        <v>8.7900000000000009</v>
      </c>
      <c r="G7" s="332">
        <f>'4-πολλυπρ'!P7</f>
        <v>0</v>
      </c>
      <c r="H7" s="330">
        <f>'5-αντίγρ'!M7</f>
        <v>22.997599999999998</v>
      </c>
      <c r="I7" s="330">
        <f>'6-μεταγρ'!H7</f>
        <v>9.69</v>
      </c>
      <c r="J7" s="330">
        <f>'7-προςΔΟΥ'!E7</f>
        <v>19.38</v>
      </c>
      <c r="K7" s="330"/>
      <c r="L7" s="331">
        <f t="shared" ref="L7" si="4">E7+F7+G7+H7+I7+J7+K7</f>
        <v>110.22067199999999</v>
      </c>
      <c r="M7" s="331">
        <v>69.03</v>
      </c>
      <c r="N7" s="333">
        <f>M7-0.5-'8-κ-15-17'!AF7-'14-βιβλΕσ'!L7</f>
        <v>64.09</v>
      </c>
      <c r="O7" s="333">
        <f t="shared" ref="O7" si="5">L7-N7</f>
        <v>46.13067199999999</v>
      </c>
      <c r="P7" s="359"/>
      <c r="Q7" s="334"/>
      <c r="R7" s="334"/>
      <c r="S7" s="334"/>
      <c r="T7" s="334"/>
      <c r="U7" s="334"/>
      <c r="V7" s="334"/>
      <c r="W7" s="334"/>
      <c r="X7" s="334"/>
      <c r="Y7" s="334"/>
      <c r="Z7" s="76"/>
      <c r="AA7" s="76"/>
    </row>
    <row r="8" spans="1:27" s="5" customFormat="1">
      <c r="A8" s="420" t="s">
        <v>576</v>
      </c>
      <c r="B8" s="336">
        <v>37893</v>
      </c>
      <c r="C8" s="329" t="s">
        <v>538</v>
      </c>
      <c r="D8" s="330">
        <v>3068.08</v>
      </c>
      <c r="E8" s="331">
        <f>'2-δικαιώμ'!M8</f>
        <v>39.576681999999998</v>
      </c>
      <c r="F8" s="332">
        <f>'3-φύλλα2α'!F8</f>
        <v>8.7900000000000009</v>
      </c>
      <c r="G8" s="332">
        <f>'4-πολλυπρ'!P8</f>
        <v>0</v>
      </c>
      <c r="H8" s="330">
        <f>'5-αντίγρ'!M8</f>
        <v>22.997599999999998</v>
      </c>
      <c r="I8" s="330">
        <f>'6-μεταγρ'!H8</f>
        <v>9.69</v>
      </c>
      <c r="J8" s="330">
        <f>'7-προςΔΟΥ'!E8</f>
        <v>12.92</v>
      </c>
      <c r="K8" s="330"/>
      <c r="L8" s="331">
        <f t="shared" si="0"/>
        <v>93.974282000000002</v>
      </c>
      <c r="M8" s="331">
        <v>95.42</v>
      </c>
      <c r="N8" s="333">
        <f>M8-0.5-'8-κ-15-17'!AF8-'14-βιβλΕσ'!L8</f>
        <v>64.81</v>
      </c>
      <c r="O8" s="333">
        <f t="shared" si="1"/>
        <v>29.164282</v>
      </c>
      <c r="P8" s="359"/>
      <c r="Q8" s="334"/>
      <c r="R8" s="334"/>
      <c r="S8" s="334"/>
      <c r="T8" s="334"/>
      <c r="U8" s="334"/>
      <c r="V8" s="334"/>
      <c r="W8" s="334"/>
      <c r="X8" s="334"/>
      <c r="Y8" s="334"/>
      <c r="Z8" s="76"/>
      <c r="AA8" s="76"/>
    </row>
    <row r="9" spans="1:27">
      <c r="A9" s="540" t="s">
        <v>47</v>
      </c>
      <c r="B9" s="541"/>
      <c r="C9" s="541"/>
      <c r="D9" s="541"/>
      <c r="E9" s="39">
        <f t="shared" ref="E9:O9" si="6">SUM(E3:E8)</f>
        <v>433.54483600000003</v>
      </c>
      <c r="F9" s="39">
        <f t="shared" si="6"/>
        <v>45.72</v>
      </c>
      <c r="G9" s="39">
        <f t="shared" si="6"/>
        <v>68.100000000000009</v>
      </c>
      <c r="H9" s="39">
        <f t="shared" si="6"/>
        <v>100.61449999999999</v>
      </c>
      <c r="I9" s="39">
        <f t="shared" si="6"/>
        <v>45.22</v>
      </c>
      <c r="J9" s="39">
        <f t="shared" si="6"/>
        <v>90.44</v>
      </c>
      <c r="K9" s="39">
        <f t="shared" si="6"/>
        <v>0</v>
      </c>
      <c r="L9" s="39">
        <f t="shared" si="6"/>
        <v>783.63933600000007</v>
      </c>
      <c r="M9" s="39">
        <f t="shared" si="6"/>
        <v>297.06</v>
      </c>
      <c r="N9" s="39">
        <f t="shared" si="6"/>
        <v>251.82</v>
      </c>
      <c r="O9" s="39">
        <f t="shared" si="6"/>
        <v>531.81933600000002</v>
      </c>
    </row>
    <row r="11" spans="1:27">
      <c r="C11" s="524" t="s">
        <v>568</v>
      </c>
      <c r="P11" s="198" t="s">
        <v>97</v>
      </c>
      <c r="Q11" s="127"/>
      <c r="R11" s="127"/>
      <c r="S11" s="127"/>
      <c r="T11" s="135"/>
      <c r="U11" s="135"/>
      <c r="V11" s="135"/>
      <c r="W11" s="135"/>
      <c r="X11" s="135"/>
      <c r="Z11" s="127"/>
      <c r="AA11" s="127"/>
    </row>
    <row r="12" spans="1:27">
      <c r="C12" s="423" t="s">
        <v>541</v>
      </c>
      <c r="K12" s="212" t="s">
        <v>489</v>
      </c>
      <c r="L12" s="8"/>
      <c r="M12" s="8"/>
      <c r="P12" s="8"/>
      <c r="Q12" s="117" t="s">
        <v>370</v>
      </c>
      <c r="R12" s="117"/>
      <c r="S12" s="117"/>
      <c r="T12" s="129"/>
      <c r="U12" s="135"/>
      <c r="V12" s="135"/>
      <c r="W12" s="135"/>
      <c r="X12" s="135"/>
      <c r="Z12" s="128"/>
      <c r="AA12" s="117"/>
    </row>
    <row r="13" spans="1:27">
      <c r="C13" s="9" t="s">
        <v>540</v>
      </c>
      <c r="K13" s="155" t="s">
        <v>224</v>
      </c>
      <c r="L13" s="119"/>
      <c r="M13" s="119"/>
      <c r="P13" s="8"/>
      <c r="Q13" s="117"/>
      <c r="R13" s="117" t="s">
        <v>136</v>
      </c>
      <c r="S13" s="117"/>
      <c r="T13" s="135"/>
      <c r="U13" s="135"/>
      <c r="V13" s="135"/>
      <c r="W13" s="135"/>
      <c r="X13" s="135"/>
      <c r="Z13" s="117"/>
    </row>
    <row r="14" spans="1:27">
      <c r="A14" s="532" t="s">
        <v>585</v>
      </c>
      <c r="B14" s="421">
        <v>42208</v>
      </c>
      <c r="C14" s="5" t="s">
        <v>595</v>
      </c>
      <c r="K14" s="211" t="s">
        <v>225</v>
      </c>
      <c r="P14" s="8"/>
      <c r="S14" s="117" t="s">
        <v>369</v>
      </c>
      <c r="T14" s="94"/>
      <c r="U14" s="94"/>
      <c r="V14" s="94"/>
      <c r="W14" s="94"/>
      <c r="X14" s="94"/>
    </row>
    <row r="15" spans="1:27">
      <c r="A15" s="532" t="s">
        <v>586</v>
      </c>
      <c r="B15" s="421">
        <v>42738</v>
      </c>
      <c r="C15" s="5" t="s">
        <v>588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T15" s="117" t="s">
        <v>371</v>
      </c>
      <c r="U15" s="135"/>
      <c r="V15" s="135"/>
      <c r="W15" s="135"/>
      <c r="X15" s="135"/>
    </row>
    <row r="16" spans="1:27">
      <c r="A16" s="532" t="s">
        <v>587</v>
      </c>
      <c r="B16" s="421">
        <v>42738</v>
      </c>
      <c r="C16" s="5" t="s">
        <v>596</v>
      </c>
      <c r="D16" s="392"/>
      <c r="P16" s="8"/>
      <c r="T16" s="94"/>
      <c r="U16" s="135" t="s">
        <v>372</v>
      </c>
      <c r="V16" s="135"/>
      <c r="W16" s="135"/>
      <c r="X16" s="135"/>
    </row>
    <row r="17" spans="3:25">
      <c r="C17" s="422" t="s">
        <v>539</v>
      </c>
      <c r="P17" s="8"/>
      <c r="T17" s="94"/>
      <c r="U17" s="94"/>
      <c r="V17" s="135" t="s">
        <v>373</v>
      </c>
      <c r="W17" s="94"/>
      <c r="X17" s="94"/>
    </row>
    <row r="18" spans="3:25">
      <c r="C18" s="401"/>
      <c r="F18" s="391"/>
      <c r="P18" s="8"/>
      <c r="T18" s="94"/>
      <c r="U18" s="94"/>
      <c r="V18" s="94"/>
      <c r="W18" s="213" t="s">
        <v>374</v>
      </c>
      <c r="X18" s="94"/>
    </row>
    <row r="19" spans="3:25">
      <c r="C19" s="401"/>
      <c r="U19" s="135"/>
      <c r="V19" s="135"/>
      <c r="W19" s="94"/>
      <c r="X19" s="95" t="s">
        <v>375</v>
      </c>
      <c r="Y19" s="135"/>
    </row>
    <row r="20" spans="3:25">
      <c r="C20" s="401"/>
    </row>
    <row r="21" spans="3:25">
      <c r="C21" s="401"/>
      <c r="E21" s="169"/>
    </row>
    <row r="22" spans="3:25">
      <c r="C22" s="401"/>
      <c r="D22" s="8"/>
      <c r="E22" s="392"/>
      <c r="F22" s="221" t="s">
        <v>542</v>
      </c>
      <c r="G22" s="8"/>
      <c r="H22" s="8"/>
      <c r="I22" s="8" t="s">
        <v>320</v>
      </c>
      <c r="J22" s="8" t="s">
        <v>321</v>
      </c>
      <c r="K22" s="8" t="s">
        <v>527</v>
      </c>
      <c r="M22" s="533" t="s">
        <v>528</v>
      </c>
      <c r="N22" s="533"/>
      <c r="O22" s="533"/>
      <c r="P22" s="2"/>
    </row>
    <row r="23" spans="3:25">
      <c r="C23" s="510" t="s">
        <v>559</v>
      </c>
      <c r="D23" s="8"/>
      <c r="E23" s="531" t="s">
        <v>573</v>
      </c>
      <c r="F23" s="2">
        <v>75.739999999999995</v>
      </c>
      <c r="G23" s="401" t="s">
        <v>316</v>
      </c>
      <c r="H23" s="2">
        <v>0.5</v>
      </c>
      <c r="K23" s="2">
        <v>0.5</v>
      </c>
      <c r="M23" s="2">
        <v>0.5</v>
      </c>
      <c r="N23" s="2">
        <v>0.5</v>
      </c>
      <c r="O23" s="2">
        <v>0.5</v>
      </c>
      <c r="P23" s="2"/>
    </row>
    <row r="24" spans="3:25">
      <c r="C24" s="401" t="s">
        <v>577</v>
      </c>
      <c r="D24" s="8"/>
      <c r="E24" s="392"/>
      <c r="F24" s="8"/>
      <c r="G24" s="401" t="s">
        <v>529</v>
      </c>
      <c r="H24" s="2">
        <v>29.35</v>
      </c>
      <c r="I24" s="2">
        <v>3.23</v>
      </c>
      <c r="K24" s="2">
        <v>29.35</v>
      </c>
      <c r="M24" s="2">
        <v>29.35</v>
      </c>
      <c r="P24" s="2"/>
    </row>
    <row r="25" spans="3:25">
      <c r="C25" s="401" t="s">
        <v>578</v>
      </c>
      <c r="E25" s="424"/>
      <c r="F25" s="8"/>
      <c r="G25" s="401" t="s">
        <v>530</v>
      </c>
      <c r="N25" s="2">
        <v>2.93</v>
      </c>
      <c r="O25" s="2">
        <v>2.93</v>
      </c>
      <c r="P25" s="2"/>
    </row>
    <row r="26" spans="3:25">
      <c r="C26" s="401" t="s">
        <v>560</v>
      </c>
      <c r="E26" s="8"/>
      <c r="F26" s="8"/>
      <c r="G26" s="401">
        <v>3600</v>
      </c>
      <c r="N26" s="2">
        <v>10.56</v>
      </c>
      <c r="O26" s="2">
        <v>10.56</v>
      </c>
      <c r="P26" s="2"/>
    </row>
    <row r="27" spans="3:25">
      <c r="C27" s="423" t="s">
        <v>562</v>
      </c>
      <c r="E27" s="8"/>
      <c r="F27" s="8"/>
      <c r="G27" s="401" t="s">
        <v>368</v>
      </c>
      <c r="N27" s="2">
        <v>13.21</v>
      </c>
      <c r="O27" s="2">
        <v>266.54000000000002</v>
      </c>
      <c r="P27" s="2"/>
    </row>
    <row r="28" spans="3:25">
      <c r="C28" s="511" t="s">
        <v>563</v>
      </c>
      <c r="E28" s="8"/>
      <c r="F28" s="8"/>
      <c r="G28" s="401" t="s">
        <v>531</v>
      </c>
      <c r="H28" s="2">
        <v>4.7</v>
      </c>
      <c r="K28" s="2">
        <v>4.7</v>
      </c>
      <c r="M28" s="2">
        <v>4.7</v>
      </c>
      <c r="N28" s="2">
        <v>5.86</v>
      </c>
      <c r="O28" s="2">
        <v>5.86</v>
      </c>
      <c r="P28" s="2"/>
    </row>
    <row r="29" spans="3:25">
      <c r="E29" s="8"/>
      <c r="G29" s="402" t="s">
        <v>92</v>
      </c>
      <c r="H29" s="2">
        <v>19.38</v>
      </c>
      <c r="I29" s="2">
        <v>2.13</v>
      </c>
      <c r="K29" s="2">
        <v>19.38</v>
      </c>
      <c r="M29" s="2">
        <v>29.07</v>
      </c>
      <c r="P29" s="2"/>
    </row>
    <row r="30" spans="3:25">
      <c r="E30" s="8"/>
      <c r="G30" s="402" t="s">
        <v>364</v>
      </c>
      <c r="N30" s="2">
        <v>8.61</v>
      </c>
      <c r="P30" s="2"/>
    </row>
    <row r="31" spans="3:25">
      <c r="E31" s="295"/>
      <c r="G31" s="402" t="s">
        <v>523</v>
      </c>
      <c r="H31" s="2">
        <v>21.81</v>
      </c>
      <c r="P31" s="2"/>
    </row>
    <row r="32" spans="3:25">
      <c r="E32" s="295"/>
      <c r="G32" s="402"/>
      <c r="H32" s="169">
        <f>SUM(H23:H31)</f>
        <v>75.740000000000009</v>
      </c>
      <c r="I32" s="169">
        <f>SUM(I23:I31)</f>
        <v>5.3599999999999994</v>
      </c>
      <c r="J32" s="169">
        <f>SUM(J23:J31)</f>
        <v>0</v>
      </c>
      <c r="K32" s="169">
        <f>SUM(K23:K31)</f>
        <v>53.930000000000007</v>
      </c>
      <c r="L32" s="169"/>
      <c r="M32" s="171">
        <f>SUM(M23:M31)</f>
        <v>63.620000000000005</v>
      </c>
      <c r="N32" s="171">
        <f t="shared" ref="N32:O32" si="7">SUM(N23:N31)</f>
        <v>41.67</v>
      </c>
      <c r="O32" s="171">
        <f t="shared" si="7"/>
        <v>286.39000000000004</v>
      </c>
      <c r="P32" s="403">
        <f>SUM(M32:O32)</f>
        <v>391.68000000000006</v>
      </c>
    </row>
    <row r="35" spans="3:11">
      <c r="E35" s="392"/>
      <c r="F35" s="221" t="s">
        <v>542</v>
      </c>
      <c r="G35" s="8"/>
      <c r="H35" s="8"/>
      <c r="I35" s="8" t="s">
        <v>320</v>
      </c>
      <c r="J35" s="8" t="s">
        <v>321</v>
      </c>
      <c r="K35" s="8" t="s">
        <v>527</v>
      </c>
    </row>
    <row r="36" spans="3:11">
      <c r="E36" s="531" t="s">
        <v>574</v>
      </c>
      <c r="F36" s="2">
        <v>56.87</v>
      </c>
      <c r="G36" s="401" t="s">
        <v>316</v>
      </c>
      <c r="H36" s="522"/>
      <c r="K36" s="2">
        <v>3</v>
      </c>
    </row>
    <row r="37" spans="3:11">
      <c r="C37" s="3" t="s">
        <v>579</v>
      </c>
      <c r="E37" s="392"/>
      <c r="F37" s="8"/>
      <c r="G37" s="401" t="s">
        <v>529</v>
      </c>
      <c r="H37" s="522"/>
    </row>
    <row r="38" spans="3:11">
      <c r="C38" s="510" t="s">
        <v>580</v>
      </c>
      <c r="E38" s="424"/>
      <c r="F38" s="8"/>
      <c r="G38" s="401" t="s">
        <v>530</v>
      </c>
      <c r="H38" s="522"/>
      <c r="K38" s="2">
        <v>2.93</v>
      </c>
    </row>
    <row r="39" spans="3:11">
      <c r="C39" s="510" t="s">
        <v>581</v>
      </c>
      <c r="E39" s="8"/>
      <c r="F39" s="8"/>
      <c r="G39" s="401">
        <v>3600</v>
      </c>
      <c r="H39" s="522"/>
      <c r="K39" s="2">
        <v>10.56</v>
      </c>
    </row>
    <row r="40" spans="3:11">
      <c r="C40" s="510" t="s">
        <v>567</v>
      </c>
      <c r="E40" s="8"/>
      <c r="F40" s="8"/>
      <c r="G40" s="401" t="s">
        <v>368</v>
      </c>
      <c r="H40" s="522"/>
      <c r="K40" s="2">
        <v>61.58</v>
      </c>
    </row>
    <row r="41" spans="3:11">
      <c r="E41" s="8"/>
      <c r="F41" s="8"/>
      <c r="G41" s="401" t="s">
        <v>531</v>
      </c>
      <c r="H41" s="522"/>
      <c r="K41" s="2">
        <v>11.72</v>
      </c>
    </row>
    <row r="42" spans="3:11">
      <c r="E42" s="8"/>
      <c r="G42" s="402" t="s">
        <v>92</v>
      </c>
      <c r="H42" s="522"/>
      <c r="K42" s="2">
        <v>32.299999999999997</v>
      </c>
    </row>
    <row r="43" spans="3:11">
      <c r="E43" s="8"/>
      <c r="G43" s="402" t="s">
        <v>364</v>
      </c>
      <c r="H43" s="522"/>
      <c r="K43" s="2">
        <v>42.28</v>
      </c>
    </row>
    <row r="44" spans="3:11">
      <c r="E44" s="295"/>
      <c r="G44" s="402" t="s">
        <v>523</v>
      </c>
    </row>
    <row r="45" spans="3:11">
      <c r="E45" s="295"/>
      <c r="G45" s="402"/>
      <c r="H45" s="169">
        <f>SUM(H36:H44)</f>
        <v>0</v>
      </c>
      <c r="I45" s="169">
        <f>SUM(I36:I44)</f>
        <v>0</v>
      </c>
      <c r="J45" s="169">
        <f>SUM(J36:J44)</f>
        <v>0</v>
      </c>
      <c r="K45" s="169">
        <f>SUM(K36:K44)</f>
        <v>164.37</v>
      </c>
    </row>
    <row r="47" spans="3:11">
      <c r="E47" s="392"/>
      <c r="F47" s="221" t="s">
        <v>542</v>
      </c>
      <c r="G47" s="8"/>
      <c r="H47" s="8"/>
      <c r="I47" s="8" t="s">
        <v>320</v>
      </c>
      <c r="J47" s="8" t="s">
        <v>321</v>
      </c>
      <c r="K47" s="8" t="s">
        <v>527</v>
      </c>
    </row>
    <row r="48" spans="3:11">
      <c r="E48" s="531" t="s">
        <v>575</v>
      </c>
      <c r="F48" s="2">
        <v>69.03</v>
      </c>
      <c r="G48" s="401" t="s">
        <v>316</v>
      </c>
      <c r="H48" s="522"/>
      <c r="K48" s="2">
        <v>3</v>
      </c>
    </row>
    <row r="49" spans="3:11">
      <c r="C49" s="3" t="s">
        <v>579</v>
      </c>
      <c r="E49" s="392"/>
      <c r="F49" s="8"/>
      <c r="G49" s="401" t="s">
        <v>529</v>
      </c>
      <c r="H49" s="522"/>
    </row>
    <row r="50" spans="3:11">
      <c r="C50" s="523" t="s">
        <v>567</v>
      </c>
      <c r="E50" s="424"/>
      <c r="F50" s="8"/>
      <c r="G50" s="401" t="s">
        <v>530</v>
      </c>
      <c r="H50" s="522"/>
      <c r="K50" s="2">
        <v>2.93</v>
      </c>
    </row>
    <row r="51" spans="3:11">
      <c r="C51" s="3" t="s">
        <v>582</v>
      </c>
      <c r="E51" s="8"/>
      <c r="F51" s="8"/>
      <c r="G51" s="401">
        <v>3600</v>
      </c>
      <c r="H51" s="522"/>
      <c r="K51" s="2">
        <v>10.56</v>
      </c>
    </row>
    <row r="52" spans="3:11">
      <c r="C52" s="523"/>
      <c r="E52" s="8"/>
      <c r="F52" s="8"/>
      <c r="G52" s="401" t="s">
        <v>368</v>
      </c>
      <c r="H52" s="4">
        <v>44.45</v>
      </c>
      <c r="K52" s="2">
        <v>44.45</v>
      </c>
    </row>
    <row r="53" spans="3:11">
      <c r="E53" s="8"/>
      <c r="F53" s="8"/>
      <c r="G53" s="401" t="s">
        <v>531</v>
      </c>
      <c r="H53" s="522"/>
      <c r="K53" s="2">
        <v>8.7899999999999991</v>
      </c>
    </row>
    <row r="54" spans="3:11">
      <c r="E54" s="8"/>
      <c r="G54" s="402" t="s">
        <v>92</v>
      </c>
      <c r="H54" s="522"/>
      <c r="K54" s="2">
        <v>25.84</v>
      </c>
    </row>
    <row r="55" spans="3:11">
      <c r="E55" s="8"/>
      <c r="G55" s="402" t="s">
        <v>364</v>
      </c>
      <c r="H55" s="522"/>
      <c r="K55" s="2">
        <v>31.21</v>
      </c>
    </row>
    <row r="56" spans="3:11">
      <c r="E56" s="295"/>
      <c r="G56" s="402" t="s">
        <v>523</v>
      </c>
      <c r="H56" s="2">
        <v>24.56</v>
      </c>
    </row>
    <row r="57" spans="3:11">
      <c r="E57" s="295"/>
      <c r="G57" s="402"/>
      <c r="H57" s="169">
        <f>SUM(H48:H56)</f>
        <v>69.010000000000005</v>
      </c>
      <c r="I57" s="169">
        <f>SUM(I48:I56)</f>
        <v>0</v>
      </c>
      <c r="J57" s="169">
        <f>SUM(J48:J56)</f>
        <v>0</v>
      </c>
      <c r="K57" s="169">
        <f>SUM(K48:K56)</f>
        <v>126.78</v>
      </c>
    </row>
    <row r="58" spans="3:11">
      <c r="H58" s="2">
        <f>F48-H57</f>
        <v>1.9999999999996021E-2</v>
      </c>
    </row>
    <row r="60" spans="3:11">
      <c r="E60" s="392"/>
      <c r="F60" s="221" t="s">
        <v>542</v>
      </c>
      <c r="G60" s="8"/>
      <c r="H60" s="8"/>
      <c r="I60" s="8" t="s">
        <v>320</v>
      </c>
      <c r="J60" s="8" t="s">
        <v>321</v>
      </c>
      <c r="K60" s="8" t="s">
        <v>527</v>
      </c>
    </row>
    <row r="61" spans="3:11">
      <c r="E61" s="531" t="s">
        <v>576</v>
      </c>
      <c r="F61" s="2">
        <v>95.42</v>
      </c>
      <c r="G61" s="401" t="s">
        <v>316</v>
      </c>
      <c r="H61" s="522"/>
      <c r="K61" s="2">
        <v>3</v>
      </c>
    </row>
    <row r="62" spans="3:11">
      <c r="C62" s="510" t="s">
        <v>583</v>
      </c>
      <c r="E62" s="392"/>
      <c r="F62" s="8"/>
      <c r="G62" s="401" t="s">
        <v>529</v>
      </c>
      <c r="H62" s="522"/>
    </row>
    <row r="63" spans="3:11">
      <c r="C63" s="510" t="s">
        <v>584</v>
      </c>
      <c r="E63" s="424"/>
      <c r="F63" s="8"/>
      <c r="G63" s="401" t="s">
        <v>530</v>
      </c>
      <c r="H63" s="522"/>
      <c r="K63" s="2">
        <v>2.93</v>
      </c>
    </row>
    <row r="64" spans="3:11">
      <c r="E64" s="8"/>
      <c r="F64" s="8"/>
      <c r="G64" s="401">
        <v>3600</v>
      </c>
      <c r="H64" s="4">
        <v>10.56</v>
      </c>
      <c r="K64" s="2">
        <v>10.56</v>
      </c>
    </row>
    <row r="65" spans="2:11">
      <c r="E65" s="8"/>
      <c r="F65" s="8"/>
      <c r="G65" s="401" t="s">
        <v>368</v>
      </c>
      <c r="H65" s="4">
        <v>32.93</v>
      </c>
      <c r="K65" s="2">
        <v>32.93</v>
      </c>
    </row>
    <row r="66" spans="2:11">
      <c r="E66" s="8"/>
      <c r="F66" s="8"/>
      <c r="G66" s="401" t="s">
        <v>531</v>
      </c>
      <c r="H66" s="522"/>
      <c r="K66" s="2">
        <v>8.7899999999999991</v>
      </c>
    </row>
    <row r="67" spans="2:11">
      <c r="E67" s="8"/>
      <c r="G67" s="402" t="s">
        <v>92</v>
      </c>
      <c r="H67" s="4">
        <v>25.84</v>
      </c>
      <c r="K67" s="2">
        <v>25.84</v>
      </c>
    </row>
    <row r="68" spans="2:11">
      <c r="E68" s="8"/>
      <c r="G68" s="402" t="s">
        <v>364</v>
      </c>
      <c r="H68" s="4">
        <v>23.78</v>
      </c>
      <c r="K68" s="2">
        <v>23.78</v>
      </c>
    </row>
    <row r="69" spans="2:11">
      <c r="E69" s="295"/>
      <c r="G69" s="402" t="s">
        <v>523</v>
      </c>
      <c r="H69" s="2">
        <v>2.31</v>
      </c>
    </row>
    <row r="70" spans="2:11">
      <c r="E70" s="295"/>
      <c r="G70" s="402"/>
      <c r="H70" s="169">
        <f>SUM(H61:H69)</f>
        <v>95.42</v>
      </c>
      <c r="I70" s="169">
        <f>SUM(I61:I69)</f>
        <v>0</v>
      </c>
      <c r="J70" s="169">
        <f>SUM(J61:J69)</f>
        <v>0</v>
      </c>
      <c r="K70" s="169">
        <f>SUM(K61:K69)</f>
        <v>107.83</v>
      </c>
    </row>
    <row r="71" spans="2:11">
      <c r="H71" s="2">
        <f>F61-H70</f>
        <v>0</v>
      </c>
    </row>
    <row r="72" spans="2:11">
      <c r="B72" s="80"/>
      <c r="C72" s="510"/>
    </row>
    <row r="73" spans="2:11">
      <c r="B73" s="80"/>
      <c r="C73" s="401"/>
    </row>
    <row r="74" spans="2:11">
      <c r="B74" s="80"/>
      <c r="C74" s="401"/>
    </row>
    <row r="75" spans="2:11">
      <c r="B75" s="80"/>
      <c r="C75" s="401"/>
    </row>
    <row r="76" spans="2:11">
      <c r="B76" s="80"/>
      <c r="C76" s="92"/>
    </row>
    <row r="77" spans="2:11">
      <c r="B77" s="80"/>
      <c r="C77" s="92"/>
    </row>
    <row r="78" spans="2:11">
      <c r="B78" s="80"/>
      <c r="C78" s="92"/>
    </row>
    <row r="79" spans="2:11">
      <c r="B79" s="80"/>
    </row>
    <row r="80" spans="2:11">
      <c r="B80" s="80"/>
      <c r="C80" s="510"/>
    </row>
    <row r="81" spans="2:3">
      <c r="B81" s="80"/>
      <c r="C81" s="510"/>
    </row>
    <row r="82" spans="2:3">
      <c r="B82" s="80"/>
      <c r="C82" s="510"/>
    </row>
    <row r="83" spans="2:3">
      <c r="B83" s="80"/>
    </row>
    <row r="84" spans="2:3">
      <c r="B84" s="80"/>
    </row>
    <row r="85" spans="2:3">
      <c r="B85" s="80"/>
    </row>
    <row r="86" spans="2:3">
      <c r="B86" s="80"/>
      <c r="C86" s="523"/>
    </row>
    <row r="87" spans="2:3">
      <c r="B87" s="80"/>
    </row>
    <row r="88" spans="2:3">
      <c r="B88" s="80"/>
    </row>
    <row r="89" spans="2:3">
      <c r="B89" s="80"/>
    </row>
    <row r="90" spans="2:3">
      <c r="B90" s="80"/>
      <c r="C90" s="510"/>
    </row>
    <row r="91" spans="2:3">
      <c r="B91" s="8"/>
      <c r="C91" s="510"/>
    </row>
  </sheetData>
  <mergeCells count="10">
    <mergeCell ref="M22:O22"/>
    <mergeCell ref="N1:O1"/>
    <mergeCell ref="L1:M1"/>
    <mergeCell ref="P1:AA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A4" sqref="A4:A5"/>
    </sheetView>
  </sheetViews>
  <sheetFormatPr defaultRowHeight="11.25"/>
  <cols>
    <col min="1" max="1" width="8.140625" style="3" bestFit="1" customWidth="1"/>
    <col min="2" max="2" width="59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5" t="s">
        <v>19</v>
      </c>
      <c r="B1" s="687" t="s">
        <v>349</v>
      </c>
      <c r="C1" s="687" t="s">
        <v>84</v>
      </c>
      <c r="D1" s="689" t="s">
        <v>350</v>
      </c>
      <c r="E1" s="690"/>
      <c r="F1" s="690"/>
      <c r="G1" s="691" t="s">
        <v>320</v>
      </c>
      <c r="H1" s="692"/>
      <c r="I1" s="681" t="s">
        <v>321</v>
      </c>
      <c r="J1" s="681"/>
      <c r="K1" s="258"/>
      <c r="L1" s="259"/>
      <c r="M1" s="682" t="s">
        <v>351</v>
      </c>
      <c r="N1" s="682"/>
      <c r="O1" s="682"/>
      <c r="P1" s="259"/>
      <c r="Q1" s="682" t="s">
        <v>352</v>
      </c>
      <c r="R1" s="682"/>
      <c r="S1" s="682"/>
      <c r="T1" s="682"/>
      <c r="U1" s="260"/>
      <c r="V1" s="683" t="s">
        <v>320</v>
      </c>
      <c r="W1" s="683" t="s">
        <v>353</v>
      </c>
      <c r="X1" s="683" t="s">
        <v>354</v>
      </c>
      <c r="Y1" s="260"/>
      <c r="Z1" s="675" t="s">
        <v>355</v>
      </c>
      <c r="AA1" s="676"/>
      <c r="AB1" s="676"/>
      <c r="AC1" s="676"/>
      <c r="AD1" s="677"/>
    </row>
    <row r="2" spans="1:30" ht="12" thickBot="1">
      <c r="A2" s="686"/>
      <c r="B2" s="688"/>
      <c r="C2" s="688"/>
      <c r="D2" s="206" t="s">
        <v>327</v>
      </c>
      <c r="E2" s="206" t="s">
        <v>333</v>
      </c>
      <c r="F2" s="146" t="s">
        <v>334</v>
      </c>
      <c r="G2" s="207" t="s">
        <v>356</v>
      </c>
      <c r="H2" s="208" t="s">
        <v>357</v>
      </c>
      <c r="I2" s="207" t="s">
        <v>358</v>
      </c>
      <c r="J2" s="209" t="s">
        <v>359</v>
      </c>
      <c r="K2" s="261" t="s">
        <v>360</v>
      </c>
      <c r="L2" s="262"/>
      <c r="M2" s="263" t="s">
        <v>363</v>
      </c>
      <c r="N2" s="263" t="s">
        <v>361</v>
      </c>
      <c r="O2" s="263" t="s">
        <v>362</v>
      </c>
      <c r="P2" s="262"/>
      <c r="Q2" s="264" t="s">
        <v>363</v>
      </c>
      <c r="R2" s="265">
        <v>1.2999999999999999E-2</v>
      </c>
      <c r="S2" s="265">
        <v>6.4999999999999997E-3</v>
      </c>
      <c r="T2" s="266">
        <v>1.25E-3</v>
      </c>
      <c r="U2" s="267"/>
      <c r="V2" s="684"/>
      <c r="W2" s="684"/>
      <c r="X2" s="684"/>
      <c r="Y2" s="267"/>
      <c r="Z2" s="268" t="s">
        <v>363</v>
      </c>
      <c r="AA2" s="268" t="s">
        <v>361</v>
      </c>
      <c r="AB2" s="269" t="s">
        <v>362</v>
      </c>
      <c r="AC2" s="268" t="s">
        <v>353</v>
      </c>
      <c r="AD2" s="268" t="s">
        <v>354</v>
      </c>
    </row>
    <row r="3" spans="1:30" s="18" customFormat="1">
      <c r="A3" s="124" t="str">
        <f>'1-συμβολαια'!A3</f>
        <v>1ο</v>
      </c>
      <c r="B3" s="124" t="str">
        <f>'1-συμβολαια'!C3</f>
        <v>κληρονομιάς ΑΠΟΔΟΧΗ</v>
      </c>
      <c r="C3" s="210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0</v>
      </c>
      <c r="H3" s="28">
        <f>'2-δικαιώμ'!J3</f>
        <v>1.4675000000000002</v>
      </c>
      <c r="I3" s="28">
        <f>'2-δικαιώμ'!K3</f>
        <v>1.4675000000000002</v>
      </c>
      <c r="J3" s="28">
        <f>'2-δικαιώμ'!L3</f>
        <v>0.29350000000000004</v>
      </c>
      <c r="K3" s="150"/>
      <c r="L3" s="150"/>
      <c r="M3" s="35"/>
      <c r="N3" s="35"/>
      <c r="O3" s="35"/>
      <c r="P3" s="150"/>
      <c r="Q3" s="35"/>
      <c r="R3" s="35"/>
      <c r="S3" s="35"/>
      <c r="T3" s="35"/>
      <c r="U3" s="150"/>
      <c r="V3" s="35">
        <f>'2-δικαιώμ'!I3+'2-δικαιώμ'!J3</f>
        <v>1.4675000000000002</v>
      </c>
      <c r="W3" s="35">
        <f>'2-δικαιώμ'!K3</f>
        <v>1.4675000000000002</v>
      </c>
      <c r="X3" s="35">
        <f>'2-δικαιώμ'!L3</f>
        <v>0.29350000000000004</v>
      </c>
      <c r="Y3" s="150"/>
      <c r="Z3" s="35"/>
      <c r="AA3" s="35"/>
      <c r="AB3" s="35"/>
      <c r="AC3" s="35"/>
      <c r="AD3" s="35"/>
    </row>
    <row r="4" spans="1:30" s="18" customFormat="1">
      <c r="A4" s="124"/>
      <c r="B4" s="124" t="str">
        <f>'1-συμβολαια'!C4</f>
        <v>χρησικτησία αγροτεμαχίων {0,7 &amp; 1,8στρ} = 19?? πατρός ΔΩΡΕΑ άτυπη</v>
      </c>
      <c r="C4" s="210">
        <f>'1-συμβολαια'!D4</f>
        <v>1111</v>
      </c>
      <c r="D4" s="28">
        <f>'8-κ-15-17'!D4</f>
        <v>0</v>
      </c>
      <c r="E4" s="28">
        <f>'8-κ-15-17'!M4</f>
        <v>7.2215000000000007</v>
      </c>
      <c r="F4" s="28">
        <f>'8-κ-15-17'!V4</f>
        <v>1.3887499999999999</v>
      </c>
      <c r="G4" s="28">
        <f>'2-δικαιώμ'!I4</f>
        <v>1.8007164</v>
      </c>
      <c r="H4" s="28">
        <f>'2-δικαιώμ'!J4</f>
        <v>0.14650000000000002</v>
      </c>
      <c r="I4" s="28">
        <f>'2-δικαιώμ'!K4</f>
        <v>1.146898</v>
      </c>
      <c r="J4" s="28">
        <f>'2-δικαιώμ'!L4</f>
        <v>0.22937960000000002</v>
      </c>
      <c r="K4" s="150"/>
      <c r="L4" s="150"/>
      <c r="M4" s="35"/>
      <c r="N4" s="35"/>
      <c r="O4" s="35"/>
      <c r="P4" s="150"/>
      <c r="Q4" s="35"/>
      <c r="R4" s="35"/>
      <c r="S4" s="35"/>
      <c r="T4" s="35"/>
      <c r="U4" s="150"/>
      <c r="V4" s="35">
        <f>'2-δικαιώμ'!I4+'2-δικαιώμ'!J4</f>
        <v>1.9472164000000001</v>
      </c>
      <c r="W4" s="35">
        <f>'2-δικαιώμ'!K4</f>
        <v>1.146898</v>
      </c>
      <c r="X4" s="35">
        <f>'2-δικαιώμ'!L4</f>
        <v>0.22937960000000002</v>
      </c>
      <c r="Y4" s="150"/>
      <c r="Z4" s="35"/>
      <c r="AA4" s="35"/>
      <c r="AB4" s="35"/>
      <c r="AC4" s="35"/>
      <c r="AD4" s="35"/>
    </row>
    <row r="5" spans="1:30" s="18" customFormat="1">
      <c r="A5" s="124"/>
      <c r="B5" s="124" t="str">
        <f>'1-συμβολαια'!C5</f>
        <v>χρησικτησία οικοπέδου = νικολουδηΣαββατουλα ΑΝΤΑΛΑΓΗ άτυπη</v>
      </c>
      <c r="C5" s="210">
        <f>'1-συμβολαια'!D5</f>
        <v>22222</v>
      </c>
      <c r="D5" s="28">
        <f>'8-κ-15-17'!D5</f>
        <v>0</v>
      </c>
      <c r="E5" s="28">
        <f>'8-κ-15-17'!M5</f>
        <v>0</v>
      </c>
      <c r="F5" s="28">
        <f>'8-κ-15-17'!V5</f>
        <v>0</v>
      </c>
      <c r="G5" s="28">
        <f>'2-δικαιώμ'!I5</f>
        <v>24.600596400000001</v>
      </c>
      <c r="H5" s="28">
        <f>'2-δικαιώμ'!J5</f>
        <v>0.14650000000000002</v>
      </c>
      <c r="I5" s="28">
        <f>'2-δικαιώμ'!K5</f>
        <v>13.813498000000003</v>
      </c>
      <c r="J5" s="28">
        <f>'2-δικαιώμ'!L5</f>
        <v>2.7626996000000004</v>
      </c>
      <c r="K5" s="150"/>
      <c r="L5" s="150"/>
      <c r="M5" s="35"/>
      <c r="N5" s="35"/>
      <c r="O5" s="35"/>
      <c r="P5" s="150"/>
      <c r="Q5" s="35"/>
      <c r="R5" s="35"/>
      <c r="S5" s="35"/>
      <c r="T5" s="35"/>
      <c r="U5" s="150"/>
      <c r="V5" s="35">
        <f>'2-δικαιώμ'!I5+'2-δικαιώμ'!J5</f>
        <v>24.7470964</v>
      </c>
      <c r="W5" s="35">
        <f>'2-δικαιώμ'!K5</f>
        <v>13.813498000000003</v>
      </c>
      <c r="X5" s="35">
        <f>'2-δικαιώμ'!L5</f>
        <v>2.7626996000000004</v>
      </c>
      <c r="Y5" s="150"/>
      <c r="Z5" s="35"/>
      <c r="AA5" s="35"/>
      <c r="AB5" s="35"/>
      <c r="AC5" s="35"/>
      <c r="AD5" s="35"/>
    </row>
    <row r="6" spans="1:30" s="18" customFormat="1">
      <c r="A6" s="124" t="str">
        <f>'1-συμβολαια'!A6</f>
        <v>2ο</v>
      </c>
      <c r="B6" s="124" t="str">
        <f>'1-συμβολαια'!C6</f>
        <v>γονική</v>
      </c>
      <c r="C6" s="210">
        <f>'1-συμβολαια'!D6</f>
        <v>5454.92</v>
      </c>
      <c r="D6" s="28">
        <f>'8-κ-15-17'!D6</f>
        <v>0</v>
      </c>
      <c r="E6" s="28">
        <f>'8-κ-15-17'!M6</f>
        <v>35.456980000000001</v>
      </c>
      <c r="F6" s="28">
        <f>'8-κ-15-17'!V6</f>
        <v>6.8186499999999999</v>
      </c>
      <c r="G6" s="28">
        <f>'2-δικαιώμ'!I6</f>
        <v>6.4921500000000005</v>
      </c>
      <c r="H6" s="28">
        <f>'2-δικαιώμ'!J6</f>
        <v>0.14650000000000002</v>
      </c>
      <c r="I6" s="28">
        <f>'2-δικαιώμ'!K6</f>
        <v>3.75325</v>
      </c>
      <c r="J6" s="28">
        <f>'2-δικαιώμ'!L6</f>
        <v>0.75065000000000004</v>
      </c>
      <c r="K6" s="150"/>
      <c r="L6" s="150"/>
      <c r="M6" s="35"/>
      <c r="N6" s="35"/>
      <c r="O6" s="35"/>
      <c r="P6" s="150"/>
      <c r="Q6" s="35"/>
      <c r="R6" s="35"/>
      <c r="S6" s="35"/>
      <c r="T6" s="35"/>
      <c r="U6" s="150"/>
      <c r="V6" s="35">
        <f>'2-δικαιώμ'!I6+'2-δικαιώμ'!J6</f>
        <v>6.6386500000000002</v>
      </c>
      <c r="W6" s="35">
        <f>'2-δικαιώμ'!K6</f>
        <v>3.75325</v>
      </c>
      <c r="X6" s="35">
        <f>'2-δικαιώμ'!L6</f>
        <v>0.75065000000000004</v>
      </c>
      <c r="Y6" s="150"/>
      <c r="Z6" s="35"/>
      <c r="AA6" s="35"/>
      <c r="AB6" s="35"/>
      <c r="AC6" s="35"/>
      <c r="AD6" s="35"/>
    </row>
    <row r="7" spans="1:30" s="18" customFormat="1">
      <c r="A7" s="124" t="str">
        <f>'1-συμβολαια'!A7</f>
        <v>3ο</v>
      </c>
      <c r="B7" s="124" t="str">
        <f>'1-συμβολαια'!C7</f>
        <v>γονική</v>
      </c>
      <c r="C7" s="210">
        <f>'1-συμβολαια'!D7</f>
        <v>4027.53</v>
      </c>
      <c r="D7" s="28">
        <f>'8-κ-15-17'!D7</f>
        <v>0</v>
      </c>
      <c r="E7" s="28">
        <f>'8-κ-15-17'!M7</f>
        <v>26.178945000000002</v>
      </c>
      <c r="F7" s="28">
        <f>'8-κ-15-17'!V7</f>
        <v>5.0344125000000002</v>
      </c>
      <c r="G7" s="28">
        <f>'2-δικαιώμ'!I7</f>
        <v>4.9505688000000001</v>
      </c>
      <c r="H7" s="28">
        <f>'2-δικαιώμ'!J7</f>
        <v>0.14650000000000002</v>
      </c>
      <c r="I7" s="28">
        <f>'2-δικαιώμ'!K7</f>
        <v>2.8968160000000003</v>
      </c>
      <c r="J7" s="28">
        <f>'2-δικαιώμ'!L7</f>
        <v>0.57936320000000008</v>
      </c>
      <c r="K7" s="150"/>
      <c r="L7" s="150"/>
      <c r="M7" s="35"/>
      <c r="N7" s="35"/>
      <c r="O7" s="35"/>
      <c r="P7" s="150"/>
      <c r="Q7" s="35"/>
      <c r="R7" s="35"/>
      <c r="S7" s="35"/>
      <c r="T7" s="35"/>
      <c r="U7" s="150"/>
      <c r="V7" s="35">
        <f>'2-δικαιώμ'!I7+'2-δικαιώμ'!J7</f>
        <v>5.0970687999999997</v>
      </c>
      <c r="W7" s="35">
        <f>'2-δικαιώμ'!K7</f>
        <v>2.8968160000000003</v>
      </c>
      <c r="X7" s="35">
        <f>'2-δικαιώμ'!L7</f>
        <v>0.57936320000000008</v>
      </c>
      <c r="Y7" s="150"/>
      <c r="Z7" s="35"/>
      <c r="AA7" s="35"/>
      <c r="AB7" s="35"/>
      <c r="AC7" s="35"/>
      <c r="AD7" s="35"/>
    </row>
    <row r="8" spans="1:30" s="18" customFormat="1">
      <c r="A8" s="124" t="str">
        <f>'1-συμβολαια'!A8</f>
        <v>4ο</v>
      </c>
      <c r="B8" s="124" t="str">
        <f>'1-συμβολαια'!C8</f>
        <v>δωρεά</v>
      </c>
      <c r="C8" s="210">
        <f>'1-συμβολαια'!D8</f>
        <v>3068.08</v>
      </c>
      <c r="D8" s="28">
        <f>'8-κ-15-17'!D8</f>
        <v>0</v>
      </c>
      <c r="E8" s="28">
        <f>'8-κ-15-17'!M8</f>
        <v>19.942520000000002</v>
      </c>
      <c r="F8" s="28">
        <f>'8-κ-15-17'!V8</f>
        <v>3.8351000000000002</v>
      </c>
      <c r="G8" s="28">
        <f>'2-δικαιώμ'!I8</f>
        <v>3.9143627999999997</v>
      </c>
      <c r="H8" s="28">
        <f>'2-δικαιώμ'!J8</f>
        <v>0.14650000000000002</v>
      </c>
      <c r="I8" s="28">
        <f>'2-δικαιώμ'!K8</f>
        <v>2.3211460000000002</v>
      </c>
      <c r="J8" s="28">
        <f>'2-δικαιώμ'!L8</f>
        <v>0.46422920000000001</v>
      </c>
      <c r="K8" s="150"/>
      <c r="L8" s="150"/>
      <c r="M8" s="35"/>
      <c r="N8" s="35"/>
      <c r="O8" s="35"/>
      <c r="P8" s="150"/>
      <c r="Q8" s="35"/>
      <c r="R8" s="35"/>
      <c r="S8" s="35"/>
      <c r="T8" s="35"/>
      <c r="U8" s="150"/>
      <c r="V8" s="35">
        <f>'2-δικαιώμ'!I8+'2-δικαιώμ'!J8</f>
        <v>4.0608627999999998</v>
      </c>
      <c r="W8" s="35">
        <f>'2-δικαιώμ'!K8</f>
        <v>2.3211460000000002</v>
      </c>
      <c r="X8" s="35">
        <f>'2-δικαιώμ'!L8</f>
        <v>0.46422920000000001</v>
      </c>
      <c r="Y8" s="150"/>
      <c r="Z8" s="35"/>
      <c r="AA8" s="35"/>
      <c r="AB8" s="35"/>
      <c r="AC8" s="35"/>
      <c r="AD8" s="35"/>
    </row>
    <row r="9" spans="1:30">
      <c r="A9" s="678" t="str">
        <f>'1-συμβολαια'!A9</f>
        <v>σύνολο</v>
      </c>
      <c r="B9" s="679"/>
      <c r="C9" s="680"/>
      <c r="D9" s="314">
        <f t="shared" ref="D9:J9" si="0">SUM(D3:D8)</f>
        <v>0</v>
      </c>
      <c r="E9" s="314">
        <f t="shared" si="0"/>
        <v>88.799945000000008</v>
      </c>
      <c r="F9" s="314">
        <f t="shared" si="0"/>
        <v>17.076912499999999</v>
      </c>
      <c r="G9" s="314">
        <f t="shared" si="0"/>
        <v>41.7583944</v>
      </c>
      <c r="H9" s="314">
        <f t="shared" si="0"/>
        <v>2.2000000000000006</v>
      </c>
      <c r="I9" s="314">
        <f t="shared" si="0"/>
        <v>25.399108000000005</v>
      </c>
      <c r="J9" s="314">
        <f t="shared" si="0"/>
        <v>5.0798216000000007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4"/>
      <c r="D12" s="2"/>
      <c r="E12" s="2"/>
      <c r="F12" s="2"/>
      <c r="G12" s="2"/>
      <c r="H12" s="2"/>
      <c r="I12" s="2"/>
      <c r="J12" s="2"/>
    </row>
    <row r="13" spans="1:30" ht="15.75">
      <c r="B13" s="218" t="s">
        <v>391</v>
      </c>
      <c r="D13" s="2"/>
      <c r="E13" s="2"/>
      <c r="F13" s="2"/>
      <c r="G13" s="137"/>
      <c r="H13" s="297">
        <v>0.15</v>
      </c>
      <c r="I13" s="298">
        <v>2.93</v>
      </c>
      <c r="J13" s="5" t="s">
        <v>396</v>
      </c>
      <c r="L13" s="299">
        <f>I13-H13</f>
        <v>2.7800000000000002</v>
      </c>
    </row>
    <row r="14" spans="1:30" ht="12.75">
      <c r="B14" s="219" t="s">
        <v>392</v>
      </c>
      <c r="D14" s="2"/>
      <c r="E14" s="2"/>
      <c r="F14" s="2"/>
      <c r="G14" s="2"/>
      <c r="H14" s="169">
        <v>0.44</v>
      </c>
      <c r="I14" s="295">
        <v>0.56000000000000005</v>
      </c>
      <c r="J14" s="3" t="s">
        <v>397</v>
      </c>
      <c r="L14" s="299">
        <f>I14-H14</f>
        <v>0.12000000000000005</v>
      </c>
    </row>
    <row r="15" spans="1:30" ht="15.75">
      <c r="B15" s="233" t="s">
        <v>393</v>
      </c>
      <c r="D15" s="2"/>
      <c r="E15" s="2"/>
      <c r="F15" s="2"/>
      <c r="G15" s="306">
        <v>0.05</v>
      </c>
      <c r="H15" s="8"/>
      <c r="I15" s="4">
        <v>0.73</v>
      </c>
      <c r="J15" s="5" t="s">
        <v>132</v>
      </c>
      <c r="L15" s="5"/>
    </row>
    <row r="16" spans="1:30">
      <c r="B16" s="94"/>
      <c r="D16" s="2"/>
      <c r="E16" s="2"/>
      <c r="F16" s="2"/>
      <c r="G16" s="306">
        <v>0.05</v>
      </c>
      <c r="H16" s="8"/>
      <c r="I16" s="4">
        <v>1.47</v>
      </c>
      <c r="J16" s="3" t="s">
        <v>398</v>
      </c>
    </row>
    <row r="17" spans="2:12">
      <c r="B17" s="94"/>
      <c r="D17" s="2"/>
      <c r="E17" s="2"/>
      <c r="F17" s="2"/>
      <c r="G17" s="306">
        <v>0.05</v>
      </c>
      <c r="H17" s="8"/>
      <c r="I17" s="4">
        <v>3.99</v>
      </c>
      <c r="J17" s="5" t="s">
        <v>399</v>
      </c>
      <c r="K17" s="5"/>
      <c r="L17" s="5"/>
    </row>
    <row r="18" spans="2:12">
      <c r="B18" s="94"/>
      <c r="D18" s="2"/>
      <c r="E18" s="2"/>
      <c r="F18" s="2"/>
      <c r="G18" s="306">
        <v>0.05</v>
      </c>
      <c r="H18" s="8"/>
      <c r="I18" s="4"/>
      <c r="J18" s="5" t="s">
        <v>483</v>
      </c>
      <c r="K18" s="5"/>
      <c r="L18" s="5"/>
    </row>
    <row r="19" spans="2:12">
      <c r="B19" s="94"/>
      <c r="D19" s="2"/>
      <c r="E19" s="2"/>
      <c r="F19" s="2"/>
      <c r="G19" s="306">
        <v>0.05</v>
      </c>
      <c r="H19" s="8"/>
      <c r="I19" s="4"/>
      <c r="J19" s="5" t="s">
        <v>485</v>
      </c>
      <c r="K19" s="5"/>
      <c r="L19" s="5"/>
    </row>
    <row r="20" spans="2:12">
      <c r="B20" s="94"/>
      <c r="D20" s="2"/>
      <c r="E20" s="2"/>
      <c r="F20" s="2"/>
      <c r="G20" s="306"/>
      <c r="H20" s="8"/>
      <c r="I20" s="4"/>
      <c r="J20" s="5"/>
      <c r="K20" s="5"/>
      <c r="L20" s="5"/>
    </row>
    <row r="21" spans="2:12">
      <c r="B21" s="94"/>
      <c r="D21" s="2"/>
      <c r="E21" s="2"/>
      <c r="F21" s="2"/>
      <c r="G21" s="2"/>
      <c r="H21" s="5" t="s">
        <v>486</v>
      </c>
      <c r="I21" s="5"/>
      <c r="J21" s="5" t="s">
        <v>132</v>
      </c>
      <c r="K21" s="5"/>
      <c r="L21" s="5"/>
    </row>
    <row r="22" spans="2:12">
      <c r="G22" s="2"/>
      <c r="H22" s="5" t="s">
        <v>487</v>
      </c>
      <c r="I22" s="5"/>
      <c r="J22" s="5" t="s">
        <v>133</v>
      </c>
      <c r="K22" s="5"/>
      <c r="L22" s="5"/>
    </row>
    <row r="23" spans="2:12">
      <c r="G23" s="2"/>
      <c r="H23" s="5" t="s">
        <v>488</v>
      </c>
      <c r="I23" s="5"/>
      <c r="J23" s="5" t="s">
        <v>134</v>
      </c>
      <c r="K23" s="5"/>
      <c r="L23" s="5"/>
    </row>
    <row r="24" spans="2:12" ht="15">
      <c r="G24" s="2"/>
      <c r="H24" s="4">
        <v>2.2000000000000002</v>
      </c>
      <c r="I24" s="311"/>
      <c r="J24" s="5" t="s">
        <v>400</v>
      </c>
      <c r="K24" s="5"/>
      <c r="L24" s="5"/>
    </row>
    <row r="25" spans="2:12" ht="15">
      <c r="G25" s="2"/>
      <c r="H25" s="2">
        <v>2.93</v>
      </c>
      <c r="I25" s="312"/>
      <c r="J25" s="3" t="s">
        <v>401</v>
      </c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I20" sqref="I20"/>
    </sheetView>
  </sheetViews>
  <sheetFormatPr defaultRowHeight="11.25"/>
  <cols>
    <col min="1" max="1" width="10.42578125" style="8" bestFit="1" customWidth="1"/>
    <col min="2" max="2" width="107.42578125" style="94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9" t="s">
        <v>1</v>
      </c>
      <c r="B1" s="571" t="s">
        <v>0</v>
      </c>
      <c r="C1" s="606" t="s">
        <v>7</v>
      </c>
      <c r="D1" s="698" t="s">
        <v>45</v>
      </c>
      <c r="E1" s="699"/>
      <c r="F1" s="699"/>
      <c r="G1" s="700" t="s">
        <v>410</v>
      </c>
      <c r="H1" s="701"/>
      <c r="I1" s="701"/>
      <c r="J1" s="701"/>
      <c r="K1" s="702"/>
      <c r="L1" s="696" t="s">
        <v>57</v>
      </c>
      <c r="M1" s="693" t="s">
        <v>29</v>
      </c>
      <c r="N1" s="694"/>
      <c r="O1" s="694"/>
      <c r="P1" s="694"/>
      <c r="Q1" s="694"/>
      <c r="R1" s="694"/>
      <c r="S1" s="695"/>
    </row>
    <row r="2" spans="1:25" ht="34.5" customHeight="1" thickBot="1">
      <c r="A2" s="570"/>
      <c r="B2" s="572"/>
      <c r="C2" s="607"/>
      <c r="D2" s="230" t="s">
        <v>316</v>
      </c>
      <c r="E2" s="230" t="s">
        <v>409</v>
      </c>
      <c r="F2" s="236" t="s">
        <v>89</v>
      </c>
      <c r="G2" s="234" t="s">
        <v>316</v>
      </c>
      <c r="H2" s="235" t="s">
        <v>320</v>
      </c>
      <c r="I2" s="235" t="s">
        <v>411</v>
      </c>
      <c r="J2" s="235" t="s">
        <v>321</v>
      </c>
      <c r="K2" s="232" t="s">
        <v>33</v>
      </c>
      <c r="L2" s="697"/>
      <c r="M2" s="562"/>
      <c r="N2" s="563"/>
      <c r="O2" s="563"/>
      <c r="P2" s="563"/>
      <c r="Q2" s="563"/>
      <c r="R2" s="563"/>
      <c r="S2" s="564"/>
    </row>
    <row r="3" spans="1:25" s="365" customFormat="1" ht="14.25">
      <c r="A3" s="383" t="str">
        <f>'1-συμβολαια'!A3</f>
        <v>1ο</v>
      </c>
      <c r="B3" s="363" t="str">
        <f>'1-συμβολαια'!C3</f>
        <v>κληρονομιάς ΑΠΟΔΟΧΗ</v>
      </c>
      <c r="C3" s="364">
        <f>'1-συμβολαια'!D3</f>
        <v>0</v>
      </c>
      <c r="D3" s="479"/>
      <c r="E3" s="479"/>
      <c r="F3" s="479"/>
      <c r="G3" s="479"/>
      <c r="H3" s="366"/>
      <c r="I3" s="479"/>
      <c r="J3" s="479"/>
      <c r="K3" s="366">
        <f t="shared" ref="K3:K5" si="0">D3+E3-G3-H3-I3-J3</f>
        <v>0</v>
      </c>
      <c r="L3" s="366">
        <v>0.5</v>
      </c>
      <c r="M3" s="334" t="s">
        <v>135</v>
      </c>
      <c r="N3" s="334" t="s">
        <v>416</v>
      </c>
      <c r="O3" s="334" t="s">
        <v>131</v>
      </c>
      <c r="P3" s="334" t="s">
        <v>417</v>
      </c>
      <c r="Q3" s="334" t="s">
        <v>418</v>
      </c>
      <c r="R3" s="334" t="s">
        <v>419</v>
      </c>
      <c r="S3" s="76"/>
    </row>
    <row r="4" spans="1:25" s="365" customFormat="1" ht="14.25">
      <c r="A4" s="383">
        <f>'1-συμβολαια'!A4</f>
        <v>0</v>
      </c>
      <c r="B4" s="363" t="str">
        <f>'1-συμβολαια'!C4</f>
        <v>χρησικτησία αγροτεμαχίων {0,7 &amp; 1,8στρ} = 19?? πατρός ΔΩΡΕΑ άτυπη</v>
      </c>
      <c r="C4" s="364">
        <f>'1-συμβολαια'!D4</f>
        <v>1111</v>
      </c>
      <c r="D4" s="479"/>
      <c r="E4" s="479"/>
      <c r="F4" s="479"/>
      <c r="G4" s="479"/>
      <c r="H4" s="366"/>
      <c r="I4" s="366"/>
      <c r="J4" s="366"/>
      <c r="K4" s="366">
        <f t="shared" si="0"/>
        <v>0</v>
      </c>
      <c r="L4" s="366">
        <v>3</v>
      </c>
      <c r="M4" s="334" t="s">
        <v>135</v>
      </c>
      <c r="N4" s="334" t="s">
        <v>416</v>
      </c>
      <c r="O4" s="334" t="s">
        <v>131</v>
      </c>
      <c r="P4" s="334" t="s">
        <v>417</v>
      </c>
      <c r="Q4" s="334" t="s">
        <v>418</v>
      </c>
      <c r="R4" s="334" t="s">
        <v>419</v>
      </c>
      <c r="S4" s="76"/>
    </row>
    <row r="5" spans="1:25" s="365" customFormat="1" ht="15" thickBot="1">
      <c r="A5" s="482">
        <f>'1-συμβολαια'!A5</f>
        <v>0</v>
      </c>
      <c r="B5" s="483" t="str">
        <f>'1-συμβολαια'!C5</f>
        <v>χρησικτησία οικοπέδου = νικολουδηΣαββατουλα ΑΝΤΑΛΑΓΗ άτυπη</v>
      </c>
      <c r="C5" s="484">
        <f>'1-συμβολαια'!D5</f>
        <v>22222</v>
      </c>
      <c r="D5" s="485"/>
      <c r="E5" s="485"/>
      <c r="F5" s="485"/>
      <c r="G5" s="485"/>
      <c r="H5" s="486"/>
      <c r="I5" s="486"/>
      <c r="J5" s="486"/>
      <c r="K5" s="486">
        <f t="shared" si="0"/>
        <v>0</v>
      </c>
      <c r="L5" s="486">
        <v>3</v>
      </c>
      <c r="M5" s="418" t="s">
        <v>135</v>
      </c>
      <c r="N5" s="418" t="s">
        <v>416</v>
      </c>
      <c r="O5" s="418" t="s">
        <v>131</v>
      </c>
      <c r="P5" s="418" t="s">
        <v>417</v>
      </c>
      <c r="Q5" s="418" t="s">
        <v>418</v>
      </c>
      <c r="R5" s="418" t="s">
        <v>419</v>
      </c>
      <c r="S5" s="473"/>
    </row>
    <row r="6" spans="1:25" s="365" customFormat="1" ht="14.25">
      <c r="A6" s="480" t="str">
        <f>'1-συμβολαια'!A6</f>
        <v>2ο</v>
      </c>
      <c r="B6" s="481" t="str">
        <f>'1-συμβολαια'!C6</f>
        <v>γονική</v>
      </c>
      <c r="C6" s="364">
        <f>'1-συμβολαια'!D6</f>
        <v>5454.92</v>
      </c>
      <c r="D6" s="479"/>
      <c r="E6" s="479"/>
      <c r="F6" s="479"/>
      <c r="G6" s="479"/>
      <c r="H6" s="366"/>
      <c r="I6" s="366"/>
      <c r="J6" s="366"/>
      <c r="K6" s="366">
        <f t="shared" ref="K6:K8" si="1">D6+E6-G6-H6-I6-J6</f>
        <v>0</v>
      </c>
      <c r="L6" s="366">
        <v>3</v>
      </c>
      <c r="M6" s="409" t="s">
        <v>135</v>
      </c>
      <c r="N6" s="409" t="s">
        <v>416</v>
      </c>
      <c r="O6" s="409" t="s">
        <v>131</v>
      </c>
      <c r="P6" s="409" t="s">
        <v>417</v>
      </c>
      <c r="Q6" s="409" t="s">
        <v>418</v>
      </c>
      <c r="R6" s="409" t="s">
        <v>419</v>
      </c>
      <c r="S6" s="471"/>
    </row>
    <row r="7" spans="1:25" s="365" customFormat="1" ht="14.25">
      <c r="A7" s="478" t="str">
        <f>'1-συμβολαια'!A7</f>
        <v>3ο</v>
      </c>
      <c r="B7" s="363" t="str">
        <f>'1-συμβολαια'!C7</f>
        <v>γονική</v>
      </c>
      <c r="C7" s="364">
        <f>'1-συμβολαια'!D7</f>
        <v>4027.53</v>
      </c>
      <c r="D7" s="479"/>
      <c r="E7" s="479"/>
      <c r="F7" s="479"/>
      <c r="G7" s="479"/>
      <c r="H7" s="366"/>
      <c r="I7" s="366"/>
      <c r="J7" s="366"/>
      <c r="K7" s="366">
        <f t="shared" si="1"/>
        <v>0</v>
      </c>
      <c r="L7" s="366">
        <v>3</v>
      </c>
      <c r="M7" s="334" t="s">
        <v>135</v>
      </c>
      <c r="N7" s="334" t="s">
        <v>416</v>
      </c>
      <c r="O7" s="334" t="s">
        <v>131</v>
      </c>
      <c r="P7" s="334" t="s">
        <v>417</v>
      </c>
      <c r="Q7" s="334" t="s">
        <v>418</v>
      </c>
      <c r="R7" s="334" t="s">
        <v>419</v>
      </c>
      <c r="S7" s="76"/>
    </row>
    <row r="8" spans="1:25" s="365" customFormat="1" ht="14.25">
      <c r="A8" s="478" t="str">
        <f>'1-συμβολαια'!A8</f>
        <v>4ο</v>
      </c>
      <c r="B8" s="363" t="str">
        <f>'1-συμβολαια'!C8</f>
        <v>δωρεά</v>
      </c>
      <c r="C8" s="364">
        <f>'1-συμβολαια'!D8</f>
        <v>3068.08</v>
      </c>
      <c r="D8" s="479"/>
      <c r="E8" s="479"/>
      <c r="F8" s="479"/>
      <c r="G8" s="479"/>
      <c r="H8" s="366"/>
      <c r="I8" s="366"/>
      <c r="J8" s="366"/>
      <c r="K8" s="366">
        <f t="shared" si="1"/>
        <v>0</v>
      </c>
      <c r="L8" s="366">
        <v>3</v>
      </c>
      <c r="M8" s="334" t="s">
        <v>135</v>
      </c>
      <c r="N8" s="334" t="s">
        <v>416</v>
      </c>
      <c r="O8" s="334" t="s">
        <v>131</v>
      </c>
      <c r="P8" s="334" t="s">
        <v>417</v>
      </c>
      <c r="Q8" s="334" t="s">
        <v>418</v>
      </c>
      <c r="R8" s="334" t="s">
        <v>419</v>
      </c>
      <c r="S8" s="76"/>
    </row>
    <row r="9" spans="1:25" ht="15.75">
      <c r="A9" s="585" t="s">
        <v>56</v>
      </c>
      <c r="B9" s="586"/>
      <c r="C9" s="586"/>
      <c r="D9" s="237">
        <f t="shared" ref="D9:L9" si="2">SUM(D3:D8)</f>
        <v>0</v>
      </c>
      <c r="E9" s="237">
        <f t="shared" si="2"/>
        <v>0</v>
      </c>
      <c r="F9" s="237">
        <f t="shared" si="2"/>
        <v>0</v>
      </c>
      <c r="G9" s="367">
        <f t="shared" si="2"/>
        <v>0</v>
      </c>
      <c r="H9" s="367">
        <f t="shared" si="2"/>
        <v>0</v>
      </c>
      <c r="I9" s="367">
        <f t="shared" si="2"/>
        <v>0</v>
      </c>
      <c r="J9" s="367">
        <f t="shared" si="2"/>
        <v>0</v>
      </c>
      <c r="K9" s="367">
        <f t="shared" si="2"/>
        <v>0</v>
      </c>
      <c r="L9" s="367">
        <f t="shared" si="2"/>
        <v>15.5</v>
      </c>
    </row>
    <row r="10" spans="1:25" ht="15.75">
      <c r="M10" s="125" t="s">
        <v>101</v>
      </c>
      <c r="N10" s="137"/>
      <c r="O10" s="137"/>
      <c r="P10" s="137"/>
      <c r="Q10" s="137"/>
      <c r="R10" s="137"/>
      <c r="S10" s="137"/>
      <c r="T10" s="122"/>
      <c r="U10" s="122"/>
      <c r="V10" s="122"/>
      <c r="W10" s="122"/>
      <c r="X10" s="5"/>
    </row>
    <row r="11" spans="1:25" ht="15.75">
      <c r="M11" s="231"/>
      <c r="N11" s="125" t="s">
        <v>412</v>
      </c>
      <c r="O11" s="231"/>
      <c r="P11" s="231"/>
      <c r="Q11" s="231"/>
      <c r="R11" s="231"/>
      <c r="S11" s="231"/>
      <c r="T11" s="231"/>
      <c r="U11" s="231"/>
      <c r="V11" s="231"/>
      <c r="W11" s="239"/>
      <c r="X11" s="239"/>
      <c r="Y11" s="239"/>
    </row>
    <row r="12" spans="1:25" ht="15.75">
      <c r="M12" s="239"/>
      <c r="N12" s="239"/>
      <c r="O12" s="137" t="s">
        <v>102</v>
      </c>
      <c r="P12" s="137"/>
      <c r="Q12" s="137"/>
      <c r="R12" s="137"/>
      <c r="S12" s="137"/>
      <c r="T12" s="137"/>
      <c r="U12" s="137"/>
      <c r="V12" s="137"/>
      <c r="W12" s="137"/>
      <c r="X12" s="239"/>
      <c r="Y12" s="238"/>
    </row>
    <row r="13" spans="1:25" ht="15.75">
      <c r="M13" s="239"/>
      <c r="N13" s="239"/>
      <c r="O13" s="239"/>
      <c r="P13" s="240" t="s">
        <v>413</v>
      </c>
      <c r="Q13" s="239"/>
      <c r="R13" s="239"/>
      <c r="S13" s="240"/>
      <c r="T13" s="240"/>
      <c r="U13" s="240"/>
      <c r="V13" s="240"/>
      <c r="W13" s="240"/>
      <c r="X13" s="240"/>
      <c r="Y13" s="238"/>
    </row>
    <row r="14" spans="1:25" ht="15.75">
      <c r="M14" s="239"/>
      <c r="N14" s="239"/>
      <c r="O14" s="239"/>
      <c r="P14" s="239"/>
      <c r="Q14" s="137" t="s">
        <v>414</v>
      </c>
      <c r="R14" s="137"/>
      <c r="S14" s="137"/>
      <c r="T14" s="240"/>
      <c r="U14" s="240"/>
      <c r="V14" s="137"/>
      <c r="W14" s="137"/>
      <c r="X14" s="137"/>
      <c r="Y14" s="238"/>
    </row>
    <row r="15" spans="1:25" ht="15.75">
      <c r="M15" s="239"/>
      <c r="N15" s="239"/>
      <c r="O15" s="239"/>
      <c r="P15" s="239"/>
      <c r="Q15" s="239"/>
      <c r="R15" s="240" t="s">
        <v>415</v>
      </c>
      <c r="S15" s="240"/>
      <c r="T15" s="240"/>
      <c r="U15" s="240"/>
      <c r="V15" s="240"/>
      <c r="W15" s="240"/>
      <c r="X15" s="240"/>
      <c r="Y15" s="238"/>
    </row>
    <row r="16" spans="1:25" ht="15.75">
      <c r="T16" s="126"/>
      <c r="Y16" s="238"/>
    </row>
    <row r="17" spans="20:20" ht="15.75">
      <c r="T17" s="126"/>
    </row>
    <row r="18" spans="20:20" ht="15.75">
      <c r="T18" s="126"/>
    </row>
    <row r="19" spans="20:20" ht="15.75">
      <c r="T19" s="126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M8" sqref="M8"/>
    </sheetView>
  </sheetViews>
  <sheetFormatPr defaultRowHeight="15"/>
  <cols>
    <col min="1" max="1" width="11.5703125" style="106" bestFit="1" customWidth="1"/>
    <col min="2" max="2" width="80.7109375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569" t="s">
        <v>1</v>
      </c>
      <c r="B1" s="703" t="s">
        <v>0</v>
      </c>
      <c r="C1" s="705" t="s">
        <v>142</v>
      </c>
      <c r="D1" s="705"/>
      <c r="E1" s="705"/>
      <c r="F1" s="706" t="s">
        <v>29</v>
      </c>
      <c r="G1" s="707"/>
      <c r="H1" s="707"/>
      <c r="I1" s="707"/>
      <c r="J1" s="707"/>
      <c r="K1" s="707"/>
      <c r="L1" s="707"/>
      <c r="M1" s="707"/>
      <c r="N1" s="707"/>
      <c r="O1" s="707"/>
      <c r="P1" s="707"/>
      <c r="Q1" s="707"/>
      <c r="R1" s="707"/>
      <c r="S1" s="707"/>
      <c r="T1" s="707"/>
      <c r="U1" s="707"/>
      <c r="V1" s="708"/>
    </row>
    <row r="2" spans="1:22" ht="16.5" thickBot="1">
      <c r="A2" s="570"/>
      <c r="B2" s="704"/>
      <c r="C2" s="104" t="s">
        <v>23</v>
      </c>
      <c r="D2" s="109" t="s">
        <v>9</v>
      </c>
      <c r="E2" s="112" t="s">
        <v>33</v>
      </c>
      <c r="F2" s="286">
        <v>61</v>
      </c>
      <c r="G2" s="286">
        <v>62</v>
      </c>
      <c r="H2" s="286">
        <v>63</v>
      </c>
      <c r="I2" s="287">
        <v>64</v>
      </c>
      <c r="J2" s="288" t="s">
        <v>445</v>
      </c>
      <c r="K2" s="288" t="s">
        <v>446</v>
      </c>
      <c r="L2" s="288" t="s">
        <v>447</v>
      </c>
      <c r="M2" s="289">
        <v>65</v>
      </c>
      <c r="N2" s="290" t="s">
        <v>448</v>
      </c>
      <c r="O2" s="290" t="s">
        <v>449</v>
      </c>
      <c r="P2" s="290" t="s">
        <v>450</v>
      </c>
      <c r="Q2" s="290" t="s">
        <v>451</v>
      </c>
      <c r="R2" s="290" t="s">
        <v>452</v>
      </c>
      <c r="S2" s="286">
        <v>67</v>
      </c>
      <c r="T2" s="172"/>
      <c r="U2" s="172"/>
      <c r="V2" s="285"/>
    </row>
    <row r="3" spans="1:22" s="134" customFormat="1">
      <c r="A3" s="388" t="str">
        <f>'1-συμβολαια'!A3</f>
        <v>1ο</v>
      </c>
      <c r="B3" s="405" t="str">
        <f>'1-συμβολαια'!C3</f>
        <v>κληρονομιάς ΑΠΟΔΟΧΗ</v>
      </c>
      <c r="C3" s="353"/>
      <c r="D3" s="385"/>
      <c r="E3" s="385"/>
      <c r="F3" s="350"/>
      <c r="G3" s="350"/>
      <c r="H3" s="386"/>
      <c r="I3" s="387"/>
      <c r="J3" s="387"/>
      <c r="K3" s="387"/>
      <c r="L3" s="387"/>
      <c r="M3" s="387"/>
      <c r="N3" s="350"/>
      <c r="O3" s="350"/>
      <c r="P3" s="350"/>
      <c r="Q3" s="350"/>
      <c r="R3" s="350"/>
      <c r="S3" s="350"/>
      <c r="T3" s="350"/>
      <c r="U3" s="350"/>
      <c r="V3" s="350"/>
    </row>
    <row r="4" spans="1:22" s="134" customFormat="1">
      <c r="A4" s="388">
        <f>'1-συμβολαια'!A4</f>
        <v>0</v>
      </c>
      <c r="B4" s="384" t="str">
        <f>'1-συμβολαια'!C4</f>
        <v>χρησικτησία αγροτεμαχίων {0,7 &amp; 1,8στρ} = 19?? πατρός ΔΩΡΕΑ άτυπη</v>
      </c>
      <c r="C4" s="353">
        <f>'1-συμβολαια'!L4</f>
        <v>31.934466</v>
      </c>
      <c r="D4" s="385"/>
      <c r="E4" s="385">
        <f t="shared" ref="E4:E5" si="0">C4-D4</f>
        <v>31.934466</v>
      </c>
      <c r="F4" s="435">
        <v>61</v>
      </c>
      <c r="G4" s="435">
        <v>62</v>
      </c>
      <c r="H4" s="487"/>
      <c r="I4" s="435"/>
      <c r="J4" s="435"/>
      <c r="K4" s="435"/>
      <c r="L4" s="435"/>
      <c r="M4" s="435"/>
      <c r="N4" s="435"/>
      <c r="O4" s="435"/>
      <c r="P4" s="435"/>
      <c r="Q4" s="435">
        <v>1</v>
      </c>
      <c r="R4" s="350"/>
      <c r="S4" s="350"/>
      <c r="T4" s="350"/>
      <c r="U4" s="350"/>
      <c r="V4" s="350"/>
    </row>
    <row r="5" spans="1:22" s="134" customFormat="1" ht="15.75" thickBot="1">
      <c r="A5" s="491">
        <f>'1-συμβολαια'!A5</f>
        <v>0</v>
      </c>
      <c r="B5" s="492" t="str">
        <f>'1-συμβολαια'!C5</f>
        <v>χρησικτησία οικοπέδου = νικολουδηΣαββατουλα ΑΝΤΑΛΑΓΗ άτυπη</v>
      </c>
      <c r="C5" s="457">
        <f>'1-συμβολαια'!L5</f>
        <v>247.26666600000004</v>
      </c>
      <c r="D5" s="457"/>
      <c r="E5" s="457">
        <f t="shared" si="0"/>
        <v>247.26666600000004</v>
      </c>
      <c r="F5" s="449">
        <v>61</v>
      </c>
      <c r="G5" s="449">
        <v>62</v>
      </c>
      <c r="H5" s="493"/>
      <c r="I5" s="449"/>
      <c r="J5" s="449"/>
      <c r="K5" s="449"/>
      <c r="L5" s="449"/>
      <c r="M5" s="449">
        <v>1</v>
      </c>
      <c r="N5" s="449"/>
      <c r="O5" s="449"/>
      <c r="P5" s="449"/>
      <c r="Q5" s="449"/>
      <c r="R5" s="450"/>
      <c r="S5" s="450"/>
      <c r="T5" s="450"/>
      <c r="U5" s="450"/>
      <c r="V5" s="450"/>
    </row>
    <row r="6" spans="1:22" s="134" customFormat="1">
      <c r="A6" s="439" t="str">
        <f>'1-συμβολαια'!A6</f>
        <v>2ο</v>
      </c>
      <c r="B6" s="488" t="str">
        <f>'1-συμβολαια'!C6</f>
        <v>γονική</v>
      </c>
      <c r="C6" s="385"/>
      <c r="D6" s="385"/>
      <c r="E6" s="385"/>
      <c r="F6" s="443"/>
      <c r="G6" s="443"/>
      <c r="H6" s="489"/>
      <c r="I6" s="490"/>
      <c r="J6" s="490"/>
      <c r="K6" s="490"/>
      <c r="L6" s="490"/>
      <c r="M6" s="490"/>
      <c r="N6" s="443"/>
      <c r="O6" s="443"/>
      <c r="P6" s="443"/>
      <c r="Q6" s="443"/>
      <c r="R6" s="443"/>
      <c r="S6" s="443"/>
      <c r="T6" s="443"/>
      <c r="U6" s="443"/>
      <c r="V6" s="443"/>
    </row>
    <row r="7" spans="1:22" s="134" customFormat="1">
      <c r="A7" s="395" t="str">
        <f>'1-συμβολαια'!A7</f>
        <v>3ο</v>
      </c>
      <c r="B7" s="368" t="str">
        <f>'1-συμβολαια'!C7</f>
        <v>γονική</v>
      </c>
      <c r="C7" s="353"/>
      <c r="D7" s="385"/>
      <c r="E7" s="385"/>
      <c r="F7" s="350"/>
      <c r="G7" s="350"/>
      <c r="H7" s="386"/>
      <c r="I7" s="387"/>
      <c r="J7" s="387"/>
      <c r="K7" s="387"/>
      <c r="L7" s="387"/>
      <c r="M7" s="387"/>
      <c r="N7" s="350"/>
      <c r="O7" s="350"/>
      <c r="P7" s="350"/>
      <c r="Q7" s="350"/>
      <c r="R7" s="350"/>
      <c r="S7" s="350"/>
      <c r="T7" s="350"/>
      <c r="U7" s="350"/>
      <c r="V7" s="350"/>
    </row>
    <row r="8" spans="1:22" s="134" customFormat="1">
      <c r="A8" s="395" t="str">
        <f>'1-συμβολαια'!A8</f>
        <v>4ο</v>
      </c>
      <c r="B8" s="384" t="str">
        <f>'1-συμβολαια'!C8</f>
        <v>δωρεά</v>
      </c>
      <c r="C8" s="353"/>
      <c r="D8" s="385"/>
      <c r="E8" s="385"/>
      <c r="F8" s="350"/>
      <c r="G8" s="350"/>
      <c r="H8" s="386"/>
      <c r="I8" s="387"/>
      <c r="J8" s="387"/>
      <c r="K8" s="387"/>
      <c r="L8" s="387"/>
      <c r="M8" s="387"/>
      <c r="N8" s="350"/>
      <c r="O8" s="350"/>
      <c r="P8" s="350"/>
      <c r="Q8" s="350"/>
      <c r="R8" s="350"/>
      <c r="S8" s="350"/>
      <c r="T8" s="350"/>
      <c r="U8" s="350"/>
      <c r="V8" s="350"/>
    </row>
    <row r="9" spans="1:22" ht="15.75">
      <c r="A9" s="585" t="s">
        <v>47</v>
      </c>
      <c r="B9" s="586"/>
      <c r="C9" s="110">
        <f>SUM(C3:C8)</f>
        <v>279.20113200000003</v>
      </c>
      <c r="D9" s="110">
        <f>SUM(D3:D8)</f>
        <v>0</v>
      </c>
      <c r="E9" s="110">
        <f>SUM(E3:E8)</f>
        <v>279.20113200000003</v>
      </c>
      <c r="I9" s="71">
        <f t="shared" ref="I9:T9" si="1">SUM(I3:I8)</f>
        <v>0</v>
      </c>
      <c r="J9" s="71">
        <f t="shared" si="1"/>
        <v>0</v>
      </c>
      <c r="K9" s="71">
        <f t="shared" si="1"/>
        <v>0</v>
      </c>
      <c r="L9" s="71">
        <f t="shared" si="1"/>
        <v>0</v>
      </c>
      <c r="M9" s="71">
        <f t="shared" si="1"/>
        <v>1</v>
      </c>
      <c r="N9" s="71">
        <f t="shared" si="1"/>
        <v>0</v>
      </c>
      <c r="O9" s="71">
        <f t="shared" si="1"/>
        <v>0</v>
      </c>
      <c r="P9" s="71">
        <f t="shared" si="1"/>
        <v>0</v>
      </c>
      <c r="Q9" s="71">
        <f t="shared" si="1"/>
        <v>1</v>
      </c>
      <c r="R9" s="71">
        <f t="shared" si="1"/>
        <v>0</v>
      </c>
      <c r="S9" s="71">
        <f t="shared" si="1"/>
        <v>0</v>
      </c>
      <c r="T9" s="71">
        <f t="shared" si="1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54" t="s">
        <v>237</v>
      </c>
      <c r="G11" s="125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</row>
    <row r="12" spans="1:22" ht="15.75">
      <c r="F12" s="293"/>
      <c r="G12" s="137" t="s">
        <v>238</v>
      </c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2"/>
    </row>
    <row r="13" spans="1:22" ht="15.75">
      <c r="F13" s="292"/>
      <c r="G13" s="292"/>
      <c r="H13" s="154" t="s">
        <v>239</v>
      </c>
      <c r="I13" s="125"/>
      <c r="J13" s="125"/>
      <c r="K13" s="125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2"/>
    </row>
    <row r="14" spans="1:22" ht="15.75">
      <c r="F14" s="292"/>
      <c r="G14" s="293"/>
      <c r="H14" s="292"/>
      <c r="I14" s="137" t="s">
        <v>262</v>
      </c>
      <c r="J14" s="137"/>
      <c r="K14" s="137"/>
      <c r="L14" s="294"/>
      <c r="M14" s="294"/>
      <c r="N14" s="294"/>
      <c r="O14" s="294"/>
      <c r="P14" s="294"/>
      <c r="Q14" s="294"/>
      <c r="R14" s="294"/>
      <c r="S14" s="294"/>
      <c r="T14" s="294"/>
      <c r="U14" s="291"/>
      <c r="V14" s="292"/>
    </row>
    <row r="15" spans="1:22" ht="15.75">
      <c r="F15" s="292"/>
      <c r="G15" s="293"/>
      <c r="H15" s="292"/>
      <c r="I15" s="137"/>
      <c r="J15" s="154" t="s">
        <v>453</v>
      </c>
      <c r="K15" s="137"/>
      <c r="L15" s="294"/>
      <c r="M15" s="294"/>
      <c r="N15" s="294"/>
      <c r="O15" s="294"/>
      <c r="P15" s="294"/>
      <c r="Q15" s="294"/>
      <c r="R15" s="294"/>
      <c r="S15" s="294"/>
      <c r="T15" s="294"/>
      <c r="U15" s="291"/>
      <c r="V15" s="292"/>
    </row>
    <row r="16" spans="1:22" ht="15.75">
      <c r="F16" s="292"/>
      <c r="G16" s="293"/>
      <c r="H16" s="292"/>
      <c r="I16" s="137"/>
      <c r="J16" s="137"/>
      <c r="K16" s="137" t="s">
        <v>454</v>
      </c>
      <c r="L16" s="294"/>
      <c r="M16" s="294"/>
      <c r="N16" s="294"/>
      <c r="O16" s="294"/>
      <c r="P16" s="294"/>
      <c r="Q16" s="294"/>
      <c r="R16" s="294"/>
      <c r="S16" s="294"/>
      <c r="T16" s="294"/>
      <c r="U16" s="291"/>
      <c r="V16" s="292"/>
    </row>
    <row r="17" spans="2:22" ht="15.75">
      <c r="F17" s="292"/>
      <c r="G17" s="292"/>
      <c r="H17" s="291"/>
      <c r="I17" s="294"/>
      <c r="J17" s="294"/>
      <c r="K17" s="294"/>
      <c r="L17" s="154" t="s">
        <v>455</v>
      </c>
      <c r="M17" s="294"/>
      <c r="N17" s="294"/>
      <c r="O17" s="294"/>
      <c r="P17" s="294"/>
      <c r="Q17" s="294"/>
      <c r="R17" s="294"/>
      <c r="S17" s="294"/>
      <c r="T17" s="294"/>
      <c r="U17" s="291"/>
      <c r="V17" s="292"/>
    </row>
    <row r="18" spans="2:22" ht="15.75">
      <c r="C18" s="108">
        <f>SUM(C10:C11)</f>
        <v>0</v>
      </c>
      <c r="F18" s="291"/>
      <c r="G18" s="291"/>
      <c r="H18" s="291"/>
      <c r="I18" s="294"/>
      <c r="J18" s="294"/>
      <c r="K18" s="294"/>
      <c r="L18" s="294"/>
      <c r="M18" s="137" t="s">
        <v>263</v>
      </c>
      <c r="N18" s="294"/>
      <c r="O18" s="294"/>
      <c r="P18" s="294"/>
      <c r="Q18" s="294"/>
      <c r="R18" s="294"/>
      <c r="S18" s="294"/>
      <c r="T18" s="294"/>
      <c r="U18" s="291"/>
      <c r="V18" s="292"/>
    </row>
    <row r="19" spans="2:22" ht="15.75">
      <c r="F19" s="292"/>
      <c r="G19" s="292"/>
      <c r="H19" s="291"/>
      <c r="I19" s="294"/>
      <c r="J19" s="294"/>
      <c r="K19" s="294"/>
      <c r="L19" s="294"/>
      <c r="M19" s="294"/>
      <c r="N19" s="154" t="s">
        <v>456</v>
      </c>
      <c r="O19" s="294"/>
      <c r="P19" s="294"/>
      <c r="Q19" s="294"/>
      <c r="R19" s="294"/>
      <c r="S19" s="294"/>
      <c r="T19" s="294"/>
      <c r="U19" s="291"/>
      <c r="V19" s="292"/>
    </row>
    <row r="20" spans="2:22" ht="15.75">
      <c r="F20" s="292"/>
      <c r="G20" s="292"/>
      <c r="H20" s="291"/>
      <c r="I20" s="294"/>
      <c r="J20" s="294"/>
      <c r="K20" s="294"/>
      <c r="L20" s="294"/>
      <c r="M20" s="294"/>
      <c r="N20" s="294"/>
      <c r="O20" s="137" t="s">
        <v>457</v>
      </c>
      <c r="P20" s="294"/>
      <c r="Q20" s="294"/>
      <c r="R20" s="294"/>
      <c r="S20" s="294"/>
      <c r="T20" s="294"/>
      <c r="U20" s="291"/>
      <c r="V20" s="292"/>
    </row>
    <row r="21" spans="2:22" ht="15.75">
      <c r="F21" s="292"/>
      <c r="G21" s="292"/>
      <c r="H21" s="291"/>
      <c r="I21" s="294"/>
      <c r="J21" s="294"/>
      <c r="K21" s="294"/>
      <c r="L21" s="294"/>
      <c r="M21" s="294"/>
      <c r="N21" s="294"/>
      <c r="O21" s="294"/>
      <c r="P21" s="154" t="s">
        <v>264</v>
      </c>
      <c r="Q21" s="294"/>
      <c r="R21" s="294"/>
      <c r="S21" s="294"/>
      <c r="T21" s="294"/>
      <c r="U21" s="291"/>
      <c r="V21" s="292"/>
    </row>
    <row r="22" spans="2:22" ht="15.75">
      <c r="F22" s="292"/>
      <c r="G22" s="292"/>
      <c r="H22" s="291"/>
      <c r="I22" s="294"/>
      <c r="J22" s="294"/>
      <c r="K22" s="294"/>
      <c r="L22" s="294"/>
      <c r="M22" s="294"/>
      <c r="N22" s="294"/>
      <c r="O22" s="294"/>
      <c r="P22" s="294"/>
      <c r="Q22" s="137" t="s">
        <v>265</v>
      </c>
      <c r="R22" s="137"/>
      <c r="S22" s="137"/>
      <c r="T22" s="294"/>
      <c r="U22" s="291"/>
      <c r="V22" s="292"/>
    </row>
    <row r="23" spans="2:22" ht="15.75">
      <c r="F23" s="292"/>
      <c r="G23" s="292"/>
      <c r="H23" s="291"/>
      <c r="I23" s="294"/>
      <c r="J23" s="294"/>
      <c r="K23" s="294"/>
      <c r="L23" s="294"/>
      <c r="M23" s="294"/>
      <c r="N23" s="294"/>
      <c r="O23" s="294"/>
      <c r="P23" s="294"/>
      <c r="Q23" s="294"/>
      <c r="R23" s="154" t="s">
        <v>266</v>
      </c>
      <c r="S23" s="294"/>
      <c r="T23" s="294"/>
      <c r="U23" s="291"/>
      <c r="V23" s="292"/>
    </row>
    <row r="24" spans="2:22" ht="15.75">
      <c r="F24" s="292"/>
      <c r="G24" s="292"/>
      <c r="H24" s="291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137" t="s">
        <v>267</v>
      </c>
      <c r="T24" s="294"/>
      <c r="U24" s="291"/>
      <c r="V24" s="292"/>
    </row>
    <row r="25" spans="2:22" ht="15.75">
      <c r="F25" s="292"/>
      <c r="G25" s="292"/>
      <c r="H25" s="291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154" t="s">
        <v>458</v>
      </c>
      <c r="U25" s="291"/>
      <c r="V25" s="292"/>
    </row>
    <row r="26" spans="2:22">
      <c r="F26" s="292"/>
      <c r="G26" s="292"/>
      <c r="H26" s="291"/>
      <c r="I26" s="291"/>
      <c r="J26" s="291"/>
      <c r="K26" s="291"/>
      <c r="L26" s="291"/>
      <c r="M26" s="291"/>
      <c r="N26" s="291"/>
      <c r="O26" s="291"/>
      <c r="P26" s="291"/>
      <c r="Q26" s="291"/>
      <c r="R26" s="291"/>
      <c r="S26" s="291"/>
      <c r="T26" s="291"/>
      <c r="U26" s="291"/>
      <c r="V26" s="292"/>
    </row>
    <row r="27" spans="2:22" ht="15.75" customHeight="1">
      <c r="B27" s="225"/>
      <c r="C27" s="323"/>
      <c r="D27" s="325"/>
      <c r="E27" s="324"/>
      <c r="F27" s="324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 ht="15.75" customHeight="1">
      <c r="B28" s="224"/>
      <c r="C28" s="113"/>
      <c r="D28" s="325"/>
      <c r="E28" s="324"/>
      <c r="F28" s="324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D32" s="325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5"/>
  <sheetViews>
    <sheetView workbookViewId="0">
      <pane ySplit="2" topLeftCell="A3" activePane="bottomLeft" state="frozen"/>
      <selection pane="bottomLeft" activeCell="A14" sqref="A14:B33"/>
    </sheetView>
  </sheetViews>
  <sheetFormatPr defaultRowHeight="11.25"/>
  <cols>
    <col min="1" max="1" width="9" style="8" customWidth="1"/>
    <col min="2" max="2" width="51.7109375" style="140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9" width="7.85546875" style="84" customWidth="1"/>
    <col min="10" max="10" width="7.42578125" style="84" customWidth="1"/>
    <col min="11" max="11" width="8.7109375" style="84" customWidth="1"/>
    <col min="12" max="24" width="7.140625" style="84" customWidth="1"/>
    <col min="25" max="25" width="6.140625" style="84" customWidth="1"/>
    <col min="26" max="26" width="7.140625" style="84" customWidth="1"/>
    <col min="27" max="30" width="6.140625" style="84" customWidth="1"/>
    <col min="31" max="31" width="7.85546875" style="84" customWidth="1"/>
    <col min="32" max="32" width="16.28515625" style="84" customWidth="1"/>
    <col min="33" max="34" width="7.140625" style="84" customWidth="1"/>
    <col min="35" max="35" width="8.140625" style="84" customWidth="1"/>
    <col min="36" max="36" width="7.7109375" style="84" customWidth="1"/>
    <col min="37" max="37" width="7" style="84" customWidth="1"/>
    <col min="38" max="38" width="6.140625" style="84" customWidth="1"/>
    <col min="39" max="43" width="7.85546875" style="84" customWidth="1"/>
    <col min="44" max="44" width="6.140625" style="84" customWidth="1"/>
    <col min="45" max="45" width="6.140625" style="371" customWidth="1"/>
    <col min="46" max="46" width="6.140625" style="84" customWidth="1"/>
    <col min="47" max="47" width="8.28515625" style="84" customWidth="1"/>
    <col min="48" max="48" width="7.85546875" style="84" customWidth="1"/>
    <col min="49" max="49" width="6.140625" style="84" customWidth="1"/>
    <col min="50" max="50" width="8.140625" style="84" customWidth="1"/>
    <col min="51" max="52" width="6.140625" style="84" customWidth="1"/>
    <col min="53" max="53" width="8" style="84" customWidth="1"/>
    <col min="54" max="55" width="6.140625" style="84" customWidth="1"/>
    <col min="56" max="56" width="7.42578125" style="84" customWidth="1"/>
    <col min="57" max="57" width="8.5703125" style="84" customWidth="1"/>
    <col min="58" max="64" width="6.140625" style="84" customWidth="1"/>
    <col min="65" max="65" width="8.85546875" style="371" customWidth="1"/>
    <col min="66" max="67" width="6.140625" style="84" customWidth="1"/>
    <col min="68" max="68" width="5.5703125" style="84" customWidth="1"/>
    <col min="69" max="75" width="10.5703125" style="84" customWidth="1"/>
    <col min="76" max="77" width="12.42578125" style="84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542" t="s">
        <v>1</v>
      </c>
      <c r="B1" s="719" t="s">
        <v>0</v>
      </c>
      <c r="C1" s="722" t="s">
        <v>92</v>
      </c>
      <c r="D1" s="723"/>
      <c r="E1" s="710" t="s">
        <v>93</v>
      </c>
      <c r="F1" s="710"/>
      <c r="G1" s="710"/>
      <c r="H1" s="711" t="s">
        <v>168</v>
      </c>
      <c r="I1" s="711"/>
      <c r="J1" s="710" t="s">
        <v>172</v>
      </c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  <c r="Y1" s="710"/>
      <c r="Z1" s="710"/>
      <c r="AA1" s="710"/>
      <c r="AB1" s="710"/>
      <c r="AC1" s="710"/>
      <c r="AD1" s="710"/>
      <c r="AE1" s="710"/>
      <c r="AF1" s="710"/>
      <c r="AG1" s="721" t="s">
        <v>173</v>
      </c>
      <c r="AH1" s="721"/>
      <c r="AI1" s="721"/>
      <c r="AJ1" s="721"/>
      <c r="AK1" s="721"/>
      <c r="AL1" s="721"/>
      <c r="AM1" s="721"/>
      <c r="AN1" s="721"/>
      <c r="AO1" s="721"/>
      <c r="AP1" s="721"/>
      <c r="AQ1" s="721"/>
      <c r="AR1" s="721"/>
      <c r="AS1" s="721"/>
      <c r="AT1" s="721"/>
      <c r="AU1" s="721"/>
      <c r="AV1" s="712" t="s">
        <v>189</v>
      </c>
      <c r="AW1" s="713"/>
      <c r="AX1" s="713"/>
      <c r="AY1" s="713"/>
      <c r="AZ1" s="713"/>
      <c r="BA1" s="714"/>
      <c r="BB1" s="715" t="s">
        <v>193</v>
      </c>
      <c r="BC1" s="716"/>
      <c r="BD1" s="716"/>
      <c r="BE1" s="717"/>
      <c r="BF1" s="718" t="s">
        <v>181</v>
      </c>
      <c r="BG1" s="718"/>
      <c r="BH1" s="718"/>
      <c r="BI1" s="718"/>
      <c r="BJ1" s="718"/>
      <c r="BK1" s="718"/>
      <c r="BL1" s="718"/>
      <c r="BM1" s="718"/>
      <c r="BN1" s="718"/>
      <c r="BO1" s="718"/>
      <c r="BP1" s="718"/>
      <c r="BQ1" s="718"/>
      <c r="BR1" s="724" t="s">
        <v>510</v>
      </c>
      <c r="BS1" s="725"/>
      <c r="BT1" s="725"/>
      <c r="BU1" s="725"/>
      <c r="BV1" s="725"/>
      <c r="BW1" s="726"/>
      <c r="BX1" s="709" t="s">
        <v>288</v>
      </c>
      <c r="BY1" s="709"/>
      <c r="BZ1" s="709"/>
    </row>
    <row r="2" spans="1:78" ht="23.25" thickBot="1">
      <c r="A2" s="543"/>
      <c r="B2" s="720"/>
      <c r="C2" s="161"/>
      <c r="D2" s="181" t="s">
        <v>90</v>
      </c>
      <c r="E2" s="143"/>
      <c r="F2" s="182" t="s">
        <v>90</v>
      </c>
      <c r="G2" s="142" t="s">
        <v>167</v>
      </c>
      <c r="H2" s="143"/>
      <c r="I2" s="209" t="s">
        <v>90</v>
      </c>
      <c r="J2" s="143" t="s">
        <v>240</v>
      </c>
      <c r="K2" s="143" t="s">
        <v>241</v>
      </c>
      <c r="L2" s="143" t="s">
        <v>242</v>
      </c>
      <c r="M2" s="143" t="s">
        <v>243</v>
      </c>
      <c r="N2" s="143" t="s">
        <v>244</v>
      </c>
      <c r="O2" s="143" t="s">
        <v>476</v>
      </c>
      <c r="P2" s="143" t="s">
        <v>498</v>
      </c>
      <c r="Q2" s="143" t="s">
        <v>502</v>
      </c>
      <c r="R2" s="143" t="s">
        <v>245</v>
      </c>
      <c r="S2" s="143" t="s">
        <v>441</v>
      </c>
      <c r="T2" s="143" t="s">
        <v>442</v>
      </c>
      <c r="U2" s="143" t="s">
        <v>470</v>
      </c>
      <c r="V2" s="143" t="s">
        <v>479</v>
      </c>
      <c r="W2" s="143" t="s">
        <v>246</v>
      </c>
      <c r="X2" s="143" t="s">
        <v>247</v>
      </c>
      <c r="Y2" s="143" t="s">
        <v>248</v>
      </c>
      <c r="Z2" s="143" t="s">
        <v>282</v>
      </c>
      <c r="AA2" s="143" t="s">
        <v>280</v>
      </c>
      <c r="AB2" s="143" t="s">
        <v>281</v>
      </c>
      <c r="AC2" s="143"/>
      <c r="AD2" s="143"/>
      <c r="AE2" s="143" t="s">
        <v>47</v>
      </c>
      <c r="AF2" s="141" t="s">
        <v>29</v>
      </c>
      <c r="AG2" s="143" t="s">
        <v>174</v>
      </c>
      <c r="AH2" s="143" t="s">
        <v>175</v>
      </c>
      <c r="AI2" s="143" t="s">
        <v>176</v>
      </c>
      <c r="AJ2" s="143" t="s">
        <v>178</v>
      </c>
      <c r="AK2" s="143" t="s">
        <v>179</v>
      </c>
      <c r="AL2" s="143" t="s">
        <v>180</v>
      </c>
      <c r="AM2" s="143" t="s">
        <v>268</v>
      </c>
      <c r="AN2" s="143" t="s">
        <v>269</v>
      </c>
      <c r="AO2" s="143" t="s">
        <v>270</v>
      </c>
      <c r="AP2" s="143" t="s">
        <v>505</v>
      </c>
      <c r="AQ2" s="143" t="s">
        <v>472</v>
      </c>
      <c r="AR2" s="143" t="s">
        <v>473</v>
      </c>
      <c r="AS2" s="143"/>
      <c r="AT2" s="143"/>
      <c r="AU2" s="146" t="s">
        <v>47</v>
      </c>
      <c r="AV2" s="143" t="s">
        <v>186</v>
      </c>
      <c r="AW2" s="143" t="s">
        <v>187</v>
      </c>
      <c r="AX2" s="143" t="s">
        <v>190</v>
      </c>
      <c r="AY2" s="143" t="s">
        <v>188</v>
      </c>
      <c r="AZ2" s="143" t="s">
        <v>192</v>
      </c>
      <c r="BA2" s="141" t="s">
        <v>47</v>
      </c>
      <c r="BB2" s="143" t="s">
        <v>197</v>
      </c>
      <c r="BC2" s="143" t="s">
        <v>198</v>
      </c>
      <c r="BD2" s="143" t="s">
        <v>199</v>
      </c>
      <c r="BE2" s="144" t="s">
        <v>47</v>
      </c>
      <c r="BF2" s="143" t="s">
        <v>208</v>
      </c>
      <c r="BG2" s="143" t="s">
        <v>209</v>
      </c>
      <c r="BH2" s="143" t="s">
        <v>212</v>
      </c>
      <c r="BI2" s="143" t="s">
        <v>217</v>
      </c>
      <c r="BJ2" s="143" t="s">
        <v>218</v>
      </c>
      <c r="BK2" s="143" t="s">
        <v>219</v>
      </c>
      <c r="BL2" s="143" t="s">
        <v>283</v>
      </c>
      <c r="BM2" s="143" t="s">
        <v>284</v>
      </c>
      <c r="BN2" s="143" t="s">
        <v>459</v>
      </c>
      <c r="BO2" s="143" t="s">
        <v>460</v>
      </c>
      <c r="BP2" s="143"/>
      <c r="BQ2" s="141" t="s">
        <v>47</v>
      </c>
      <c r="BR2" s="143"/>
      <c r="BS2" s="143"/>
      <c r="BT2" s="143"/>
      <c r="BU2" s="143"/>
      <c r="BV2" s="143"/>
      <c r="BW2" s="146" t="s">
        <v>511</v>
      </c>
      <c r="BX2" s="161" t="s">
        <v>137</v>
      </c>
      <c r="BY2" s="320" t="s">
        <v>497</v>
      </c>
      <c r="BZ2" s="180" t="s">
        <v>287</v>
      </c>
    </row>
    <row r="3" spans="1:78" s="5" customFormat="1">
      <c r="A3" s="389" t="str">
        <f>'1-συμβολαια'!A3</f>
        <v>1ο</v>
      </c>
      <c r="B3" s="368" t="str">
        <f>'1-συμβολαια'!C3</f>
        <v>κληρονομιάς ΑΠΟΔΟΧΗ</v>
      </c>
      <c r="C3" s="518">
        <f>'5-αντίγρ'!AN3</f>
        <v>27.099999999999998</v>
      </c>
      <c r="D3" s="518">
        <f>'5-αντίγρ'!AM3</f>
        <v>2.48</v>
      </c>
      <c r="E3" s="319">
        <f>'6-μεταγρ'!O3</f>
        <v>11.74</v>
      </c>
      <c r="F3" s="319">
        <f>'6-μεταγρ'!N3</f>
        <v>1.98</v>
      </c>
      <c r="G3" s="319">
        <f>'6-μεταγρ'!P3</f>
        <v>0</v>
      </c>
      <c r="H3" s="319">
        <f>'7-προςΔΟΥ'!U3</f>
        <v>240.73999999999998</v>
      </c>
      <c r="I3" s="319">
        <f>'7-προςΔΟΥ'!K3</f>
        <v>1.98</v>
      </c>
      <c r="J3" s="281">
        <f>2*14.97</f>
        <v>29.94</v>
      </c>
      <c r="K3" s="281">
        <f>3*14.97</f>
        <v>44.910000000000004</v>
      </c>
      <c r="L3" s="281">
        <v>14.97</v>
      </c>
      <c r="M3" s="281">
        <v>14.97</v>
      </c>
      <c r="N3" s="281">
        <v>14.97</v>
      </c>
      <c r="O3" s="281">
        <v>14.97</v>
      </c>
      <c r="P3" s="281">
        <v>14.97</v>
      </c>
      <c r="Q3" s="281">
        <v>14.97</v>
      </c>
      <c r="R3" s="281">
        <v>14.97</v>
      </c>
      <c r="S3" s="281"/>
      <c r="T3" s="281"/>
      <c r="U3" s="281">
        <v>14.97</v>
      </c>
      <c r="V3" s="281"/>
      <c r="W3" s="281">
        <v>32.58</v>
      </c>
      <c r="X3" s="281">
        <v>14.97</v>
      </c>
      <c r="Y3" s="281">
        <v>1.98</v>
      </c>
      <c r="Z3" s="281"/>
      <c r="AA3" s="281"/>
      <c r="AB3" s="280"/>
      <c r="AC3" s="280"/>
      <c r="AD3" s="280"/>
      <c r="AE3" s="281">
        <f t="shared" ref="AE3:AE5" si="0">SUM(J3:AD3)</f>
        <v>244.14</v>
      </c>
      <c r="AF3" s="280"/>
      <c r="AG3" s="281">
        <f>3*3.23</f>
        <v>9.69</v>
      </c>
      <c r="AH3" s="281">
        <f t="shared" ref="AH3:AI3" si="1">3*3.23</f>
        <v>9.69</v>
      </c>
      <c r="AI3" s="281">
        <f t="shared" si="1"/>
        <v>9.69</v>
      </c>
      <c r="AJ3" s="281">
        <f>3*3.23</f>
        <v>9.69</v>
      </c>
      <c r="AK3" s="281"/>
      <c r="AL3" s="281"/>
      <c r="AM3" s="281"/>
      <c r="AN3" s="281"/>
      <c r="AO3" s="281">
        <f>3*3.23</f>
        <v>9.69</v>
      </c>
      <c r="AP3" s="281"/>
      <c r="AQ3" s="281"/>
      <c r="AR3" s="281"/>
      <c r="AS3" s="280"/>
      <c r="AT3" s="280"/>
      <c r="AU3" s="281">
        <f t="shared" ref="AU3:AU5" si="2">SUM(AG3:AT3)</f>
        <v>48.449999999999996</v>
      </c>
      <c r="AV3" s="281">
        <f>3*3.23+5.87</f>
        <v>15.559999999999999</v>
      </c>
      <c r="AW3" s="280"/>
      <c r="AX3" s="281">
        <f>3*3.23+5.87</f>
        <v>15.559999999999999</v>
      </c>
      <c r="AY3" s="280"/>
      <c r="AZ3" s="280"/>
      <c r="BA3" s="281">
        <f t="shared" ref="BA3:BA5" si="3">SUM(AV3:AZ3)</f>
        <v>31.119999999999997</v>
      </c>
      <c r="BB3" s="280"/>
      <c r="BC3" s="280"/>
      <c r="BD3" s="280"/>
      <c r="BE3" s="280">
        <f t="shared" ref="BE3:BE5" si="4">SUM(BB3:BD3)</f>
        <v>0</v>
      </c>
      <c r="BF3" s="280"/>
      <c r="BG3" s="280"/>
      <c r="BH3" s="280"/>
      <c r="BI3" s="280"/>
      <c r="BJ3" s="280"/>
      <c r="BK3" s="280"/>
      <c r="BL3" s="280"/>
      <c r="BM3" s="281">
        <f>3*6.46</f>
        <v>19.38</v>
      </c>
      <c r="BN3" s="281">
        <v>0.3</v>
      </c>
      <c r="BO3" s="281">
        <v>0.9</v>
      </c>
      <c r="BP3" s="276"/>
      <c r="BQ3" s="281">
        <f t="shared" ref="BQ3:BQ8" si="5">SUM(BF3:BP3)</f>
        <v>20.58</v>
      </c>
      <c r="BR3" s="319"/>
      <c r="BS3" s="319"/>
      <c r="BT3" s="319"/>
      <c r="BU3" s="319"/>
      <c r="BV3" s="319"/>
      <c r="BW3" s="319">
        <f t="shared" ref="BW3:BW8" si="6">BR3+BS3+BT3+BU3</f>
        <v>0</v>
      </c>
      <c r="BX3" s="390">
        <f t="shared" ref="BX3:BX8" si="7">C3+G3+H3+AE3-Y3+AU3+BA3+BE3+BQ3-BM3+BW3-BU3</f>
        <v>590.77</v>
      </c>
      <c r="BY3" s="390">
        <f t="shared" ref="BY3:BY8" si="8">D3+F3+I3+AA3+BV3</f>
        <v>6.4399999999999995</v>
      </c>
      <c r="BZ3" s="343"/>
    </row>
    <row r="4" spans="1:78" s="5" customFormat="1">
      <c r="A4" s="389">
        <f>'1-συμβολαια'!A4</f>
        <v>0</v>
      </c>
      <c r="B4" s="368" t="str">
        <f>'1-συμβολαια'!C4</f>
        <v>χρησικτησία αγροτεμαχίων {0,7 &amp; 1,8στρ} = 19?? πατρός ΔΩΡΕΑ άτυπη</v>
      </c>
      <c r="C4" s="518">
        <f>'5-αντίγρ'!AN4</f>
        <v>0</v>
      </c>
      <c r="D4" s="518">
        <f>'5-αντίγρ'!AM4</f>
        <v>0</v>
      </c>
      <c r="E4" s="319">
        <f>'6-μεταγρ'!O4</f>
        <v>0</v>
      </c>
      <c r="F4" s="319">
        <f>'6-μεταγρ'!N4</f>
        <v>0</v>
      </c>
      <c r="G4" s="319">
        <f>'6-μεταγρ'!P4</f>
        <v>0</v>
      </c>
      <c r="H4" s="319">
        <f>'7-προςΔΟΥ'!U4</f>
        <v>24.779999999999998</v>
      </c>
      <c r="I4" s="319">
        <f>'7-προςΔΟΥ'!K4</f>
        <v>1.98</v>
      </c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0"/>
      <c r="AC4" s="280"/>
      <c r="AD4" s="280"/>
      <c r="AE4" s="281">
        <f t="shared" si="0"/>
        <v>0</v>
      </c>
      <c r="AF4" s="280"/>
      <c r="AG4" s="281"/>
      <c r="AH4" s="281"/>
      <c r="AI4" s="281"/>
      <c r="AJ4" s="281"/>
      <c r="AK4" s="281"/>
      <c r="AL4" s="281"/>
      <c r="AM4" s="281"/>
      <c r="AN4" s="281"/>
      <c r="AO4" s="281"/>
      <c r="AP4" s="281"/>
      <c r="AQ4" s="281"/>
      <c r="AR4" s="281"/>
      <c r="AS4" s="280"/>
      <c r="AT4" s="280"/>
      <c r="AU4" s="281">
        <f t="shared" si="2"/>
        <v>0</v>
      </c>
      <c r="AV4" s="281"/>
      <c r="AW4" s="280"/>
      <c r="AX4" s="281"/>
      <c r="AY4" s="280"/>
      <c r="AZ4" s="280"/>
      <c r="BA4" s="281">
        <f t="shared" si="3"/>
        <v>0</v>
      </c>
      <c r="BB4" s="280"/>
      <c r="BC4" s="280"/>
      <c r="BD4" s="280"/>
      <c r="BE4" s="280">
        <f t="shared" si="4"/>
        <v>0</v>
      </c>
      <c r="BF4" s="280"/>
      <c r="BG4" s="280"/>
      <c r="BH4" s="280"/>
      <c r="BI4" s="280"/>
      <c r="BJ4" s="280"/>
      <c r="BK4" s="280"/>
      <c r="BL4" s="280"/>
      <c r="BM4" s="281"/>
      <c r="BN4" s="281"/>
      <c r="BO4" s="281"/>
      <c r="BP4" s="276"/>
      <c r="BQ4" s="281">
        <f t="shared" si="5"/>
        <v>0</v>
      </c>
      <c r="BR4" s="319"/>
      <c r="BS4" s="319"/>
      <c r="BT4" s="319"/>
      <c r="BU4" s="319"/>
      <c r="BV4" s="319"/>
      <c r="BW4" s="319">
        <f t="shared" si="6"/>
        <v>0</v>
      </c>
      <c r="BX4" s="390">
        <f t="shared" si="7"/>
        <v>24.779999999999998</v>
      </c>
      <c r="BY4" s="390">
        <f t="shared" si="8"/>
        <v>1.98</v>
      </c>
      <c r="BZ4" s="343"/>
    </row>
    <row r="5" spans="1:78" s="5" customFormat="1" ht="12" thickBot="1">
      <c r="A5" s="496">
        <f>'1-συμβολαια'!A5</f>
        <v>0</v>
      </c>
      <c r="B5" s="497" t="str">
        <f>'1-συμβολαια'!C5</f>
        <v>χρησικτησία οικοπέδου = νικολουδηΣαββατουλα ΑΝΤΑΛΑΓΗ άτυπη</v>
      </c>
      <c r="C5" s="516">
        <f>'5-αντίγρ'!AN5</f>
        <v>0</v>
      </c>
      <c r="D5" s="516">
        <f>'5-αντίγρ'!AM5</f>
        <v>0</v>
      </c>
      <c r="E5" s="498">
        <f>'6-μεταγρ'!O5</f>
        <v>0</v>
      </c>
      <c r="F5" s="498">
        <f>'6-μεταγρ'!N5</f>
        <v>0</v>
      </c>
      <c r="G5" s="498">
        <f>'6-μεταγρ'!P5</f>
        <v>0</v>
      </c>
      <c r="H5" s="498">
        <f>'7-προςΔΟΥ'!U5</f>
        <v>72.759999999999991</v>
      </c>
      <c r="I5" s="498">
        <f>'7-προςΔΟΥ'!K5</f>
        <v>1.98</v>
      </c>
      <c r="J5" s="498"/>
      <c r="K5" s="498"/>
      <c r="L5" s="498"/>
      <c r="M5" s="498"/>
      <c r="N5" s="498"/>
      <c r="O5" s="498"/>
      <c r="P5" s="498"/>
      <c r="Q5" s="498"/>
      <c r="R5" s="498"/>
      <c r="S5" s="498"/>
      <c r="T5" s="498"/>
      <c r="U5" s="498"/>
      <c r="V5" s="498"/>
      <c r="W5" s="498"/>
      <c r="X5" s="498"/>
      <c r="Y5" s="498"/>
      <c r="Z5" s="498"/>
      <c r="AA5" s="498"/>
      <c r="AB5" s="499"/>
      <c r="AC5" s="499"/>
      <c r="AD5" s="499"/>
      <c r="AE5" s="498">
        <f t="shared" si="0"/>
        <v>0</v>
      </c>
      <c r="AF5" s="499"/>
      <c r="AG5" s="498"/>
      <c r="AH5" s="498"/>
      <c r="AI5" s="498"/>
      <c r="AJ5" s="498"/>
      <c r="AK5" s="498"/>
      <c r="AL5" s="498"/>
      <c r="AM5" s="498"/>
      <c r="AN5" s="498"/>
      <c r="AO5" s="498"/>
      <c r="AP5" s="498"/>
      <c r="AQ5" s="498"/>
      <c r="AR5" s="498"/>
      <c r="AS5" s="499"/>
      <c r="AT5" s="499"/>
      <c r="AU5" s="498">
        <f t="shared" si="2"/>
        <v>0</v>
      </c>
      <c r="AV5" s="498"/>
      <c r="AW5" s="499"/>
      <c r="AX5" s="498"/>
      <c r="AY5" s="499"/>
      <c r="AZ5" s="499"/>
      <c r="BA5" s="498">
        <f t="shared" si="3"/>
        <v>0</v>
      </c>
      <c r="BB5" s="499"/>
      <c r="BC5" s="499"/>
      <c r="BD5" s="499"/>
      <c r="BE5" s="499">
        <f t="shared" si="4"/>
        <v>0</v>
      </c>
      <c r="BF5" s="499"/>
      <c r="BG5" s="499"/>
      <c r="BH5" s="499"/>
      <c r="BI5" s="499"/>
      <c r="BJ5" s="499"/>
      <c r="BK5" s="499"/>
      <c r="BL5" s="499"/>
      <c r="BM5" s="498"/>
      <c r="BN5" s="498"/>
      <c r="BO5" s="498"/>
      <c r="BP5" s="465"/>
      <c r="BQ5" s="498">
        <f t="shared" si="5"/>
        <v>0</v>
      </c>
      <c r="BR5" s="498"/>
      <c r="BS5" s="498"/>
      <c r="BT5" s="498"/>
      <c r="BU5" s="498"/>
      <c r="BV5" s="498"/>
      <c r="BW5" s="498">
        <f t="shared" si="6"/>
        <v>0</v>
      </c>
      <c r="BX5" s="500">
        <f t="shared" si="7"/>
        <v>72.759999999999991</v>
      </c>
      <c r="BY5" s="500">
        <f t="shared" si="8"/>
        <v>1.98</v>
      </c>
      <c r="BZ5" s="416"/>
    </row>
    <row r="6" spans="1:78" s="5" customFormat="1">
      <c r="A6" s="460" t="str">
        <f>'1-συμβολαια'!A6</f>
        <v>2ο</v>
      </c>
      <c r="B6" s="494" t="str">
        <f>'1-συμβολαια'!C6</f>
        <v>γονική</v>
      </c>
      <c r="C6" s="518">
        <f>'5-αντίγρ'!AN6</f>
        <v>86.129999999999981</v>
      </c>
      <c r="D6" s="518">
        <f>'5-αντίγρ'!AM6</f>
        <v>2.48</v>
      </c>
      <c r="E6" s="319">
        <f>'6-μεταγρ'!O6</f>
        <v>0</v>
      </c>
      <c r="F6" s="319">
        <f>'6-μεταγρ'!N6</f>
        <v>1.98</v>
      </c>
      <c r="G6" s="319">
        <f>'6-μεταγρ'!P6</f>
        <v>0</v>
      </c>
      <c r="H6" s="319">
        <f>'7-προςΔΟΥ'!U6</f>
        <v>136.69000000000003</v>
      </c>
      <c r="I6" s="319">
        <f>'7-προςΔΟΥ'!K6</f>
        <v>1.98</v>
      </c>
      <c r="J6" s="281">
        <f>11.74+3*2.93+2.93</f>
        <v>23.46</v>
      </c>
      <c r="K6" s="281">
        <f>3*2.93+2.93</f>
        <v>11.72</v>
      </c>
      <c r="L6" s="319">
        <v>2.93</v>
      </c>
      <c r="M6" s="319"/>
      <c r="N6" s="319"/>
      <c r="O6" s="319"/>
      <c r="P6" s="319">
        <v>2.93</v>
      </c>
      <c r="Q6" s="319">
        <v>2.93</v>
      </c>
      <c r="R6" s="319"/>
      <c r="S6" s="319"/>
      <c r="T6" s="319"/>
      <c r="U6" s="319">
        <v>2.93</v>
      </c>
      <c r="V6" s="319"/>
      <c r="W6" s="319"/>
      <c r="X6" s="495"/>
      <c r="Y6" s="495"/>
      <c r="Z6" s="319"/>
      <c r="AA6" s="319"/>
      <c r="AB6" s="495"/>
      <c r="AC6" s="495"/>
      <c r="AD6" s="495"/>
      <c r="AE6" s="319">
        <f t="shared" ref="AE6:AE8" si="9">SUM(J6:AD6)</f>
        <v>46.9</v>
      </c>
      <c r="AF6" s="495"/>
      <c r="AG6" s="319">
        <f>2*2.93</f>
        <v>5.86</v>
      </c>
      <c r="AH6" s="319">
        <f>3*2.93</f>
        <v>8.7900000000000009</v>
      </c>
      <c r="AI6" s="319">
        <f>2*2.93</f>
        <v>5.86</v>
      </c>
      <c r="AJ6" s="319">
        <f t="shared" ref="AJ6:AJ7" si="10">2*2.93</f>
        <v>5.86</v>
      </c>
      <c r="AK6" s="319"/>
      <c r="AL6" s="319"/>
      <c r="AM6" s="319"/>
      <c r="AN6" s="319"/>
      <c r="AO6" s="319"/>
      <c r="AP6" s="319"/>
      <c r="AQ6" s="319"/>
      <c r="AR6" s="319"/>
      <c r="AS6" s="319"/>
      <c r="AT6" s="495"/>
      <c r="AU6" s="319">
        <f t="shared" ref="AU6:AU8" si="11">SUM(AG6:AT6)</f>
        <v>26.37</v>
      </c>
      <c r="AV6" s="319">
        <f>5.87+2*2.93</f>
        <v>11.73</v>
      </c>
      <c r="AW6" s="495"/>
      <c r="AX6" s="319">
        <f t="shared" ref="AX6:AX8" si="12">5.87+2*2.93</f>
        <v>11.73</v>
      </c>
      <c r="AY6" s="495"/>
      <c r="AZ6" s="495"/>
      <c r="BA6" s="319">
        <f t="shared" ref="BA6:BA8" si="13">SUM(AV6:AZ6)</f>
        <v>23.46</v>
      </c>
      <c r="BB6" s="495"/>
      <c r="BC6" s="495"/>
      <c r="BD6" s="495"/>
      <c r="BE6" s="495">
        <f t="shared" ref="BE6:BE8" si="14">SUM(BB6:BD6)</f>
        <v>0</v>
      </c>
      <c r="BF6" s="495"/>
      <c r="BG6" s="495"/>
      <c r="BH6" s="495"/>
      <c r="BI6" s="495"/>
      <c r="BJ6" s="495"/>
      <c r="BK6" s="495"/>
      <c r="BL6" s="495"/>
      <c r="BM6" s="281">
        <f>4*6.46</f>
        <v>25.84</v>
      </c>
      <c r="BN6" s="319">
        <v>0.3</v>
      </c>
      <c r="BO6" s="319">
        <v>0.3</v>
      </c>
      <c r="BP6" s="462"/>
      <c r="BQ6" s="319">
        <f t="shared" si="5"/>
        <v>26.44</v>
      </c>
      <c r="BR6" s="319"/>
      <c r="BS6" s="319"/>
      <c r="BT6" s="319"/>
      <c r="BU6" s="319"/>
      <c r="BV6" s="319"/>
      <c r="BW6" s="319">
        <f t="shared" si="6"/>
        <v>0</v>
      </c>
      <c r="BX6" s="390">
        <f t="shared" si="7"/>
        <v>320.14999999999998</v>
      </c>
      <c r="BY6" s="390">
        <f t="shared" si="8"/>
        <v>6.4399999999999995</v>
      </c>
      <c r="BZ6" s="333"/>
    </row>
    <row r="7" spans="1:78" s="5" customFormat="1">
      <c r="A7" s="356" t="str">
        <f>'1-συμβολαια'!A7</f>
        <v>3ο</v>
      </c>
      <c r="B7" s="368" t="str">
        <f>'1-συμβολαια'!C7</f>
        <v>γονική</v>
      </c>
      <c r="C7" s="518">
        <f>'5-αντίγρ'!AN7</f>
        <v>71.739999999999995</v>
      </c>
      <c r="D7" s="518">
        <f>'5-αντίγρ'!AM7</f>
        <v>2.48</v>
      </c>
      <c r="E7" s="319">
        <f>'6-μεταγρ'!O7</f>
        <v>0</v>
      </c>
      <c r="F7" s="319">
        <f>'6-μεταγρ'!N7</f>
        <v>1.98</v>
      </c>
      <c r="G7" s="319">
        <f>'6-μεταγρ'!P7</f>
        <v>0</v>
      </c>
      <c r="H7" s="319">
        <f>'7-προςΔΟΥ'!U7</f>
        <v>115.88999999999997</v>
      </c>
      <c r="I7" s="319">
        <f>'7-προςΔΟΥ'!K7</f>
        <v>1.98</v>
      </c>
      <c r="J7" s="281">
        <f>11.74+2*2.93+2.93</f>
        <v>20.53</v>
      </c>
      <c r="K7" s="281">
        <f>2*2.93+2.93</f>
        <v>8.7900000000000009</v>
      </c>
      <c r="L7" s="281">
        <v>2.93</v>
      </c>
      <c r="M7" s="281"/>
      <c r="N7" s="281"/>
      <c r="O7" s="281"/>
      <c r="P7" s="281">
        <v>2.93</v>
      </c>
      <c r="Q7" s="281">
        <v>2.93</v>
      </c>
      <c r="R7" s="281"/>
      <c r="S7" s="281"/>
      <c r="T7" s="281"/>
      <c r="U7" s="281">
        <v>2.93</v>
      </c>
      <c r="V7" s="281"/>
      <c r="W7" s="281"/>
      <c r="X7" s="280"/>
      <c r="Y7" s="280"/>
      <c r="Z7" s="281"/>
      <c r="AA7" s="281"/>
      <c r="AB7" s="280"/>
      <c r="AC7" s="280"/>
      <c r="AD7" s="280"/>
      <c r="AE7" s="281">
        <f t="shared" si="9"/>
        <v>41.04</v>
      </c>
      <c r="AF7" s="280"/>
      <c r="AG7" s="319">
        <f t="shared" ref="AG7:AI8" si="15">2*2.93</f>
        <v>5.86</v>
      </c>
      <c r="AH7" s="281">
        <f>2*2.93</f>
        <v>5.86</v>
      </c>
      <c r="AI7" s="319">
        <f t="shared" si="15"/>
        <v>5.86</v>
      </c>
      <c r="AJ7" s="319">
        <f t="shared" si="10"/>
        <v>5.86</v>
      </c>
      <c r="AK7" s="281"/>
      <c r="AL7" s="281"/>
      <c r="AM7" s="281"/>
      <c r="AN7" s="281"/>
      <c r="AO7" s="281"/>
      <c r="AP7" s="281"/>
      <c r="AQ7" s="281"/>
      <c r="AR7" s="281"/>
      <c r="AS7" s="281"/>
      <c r="AT7" s="280"/>
      <c r="AU7" s="281">
        <f t="shared" si="11"/>
        <v>23.44</v>
      </c>
      <c r="AV7" s="319">
        <f t="shared" ref="AV7:AV8" si="16">5.87+2*2.93</f>
        <v>11.73</v>
      </c>
      <c r="AW7" s="280"/>
      <c r="AX7" s="319">
        <f t="shared" si="12"/>
        <v>11.73</v>
      </c>
      <c r="AY7" s="280"/>
      <c r="AZ7" s="280"/>
      <c r="BA7" s="281">
        <f t="shared" si="13"/>
        <v>23.46</v>
      </c>
      <c r="BB7" s="280"/>
      <c r="BC7" s="280"/>
      <c r="BD7" s="280"/>
      <c r="BE7" s="280">
        <f t="shared" si="14"/>
        <v>0</v>
      </c>
      <c r="BF7" s="280"/>
      <c r="BG7" s="280"/>
      <c r="BH7" s="280"/>
      <c r="BI7" s="280"/>
      <c r="BJ7" s="280"/>
      <c r="BK7" s="280"/>
      <c r="BL7" s="280"/>
      <c r="BM7" s="281">
        <f t="shared" ref="BM7" si="17">3*6.46</f>
        <v>19.38</v>
      </c>
      <c r="BN7" s="319">
        <v>0.3</v>
      </c>
      <c r="BO7" s="281">
        <v>0.3</v>
      </c>
      <c r="BP7" s="276"/>
      <c r="BQ7" s="281">
        <f t="shared" si="5"/>
        <v>19.98</v>
      </c>
      <c r="BR7" s="319"/>
      <c r="BS7" s="319"/>
      <c r="BT7" s="319"/>
      <c r="BU7" s="319"/>
      <c r="BV7" s="319"/>
      <c r="BW7" s="319">
        <f t="shared" si="6"/>
        <v>0</v>
      </c>
      <c r="BX7" s="390">
        <f t="shared" si="7"/>
        <v>276.16999999999996</v>
      </c>
      <c r="BY7" s="390">
        <f t="shared" si="8"/>
        <v>6.4399999999999995</v>
      </c>
      <c r="BZ7" s="343"/>
    </row>
    <row r="8" spans="1:78" s="5" customFormat="1">
      <c r="A8" s="356" t="str">
        <f>'1-συμβολαια'!A8</f>
        <v>4ο</v>
      </c>
      <c r="B8" s="368" t="str">
        <f>'1-συμβολαια'!C8</f>
        <v>δωρεά</v>
      </c>
      <c r="C8" s="518">
        <f>'5-αντίγρ'!AN8</f>
        <v>63.809999999999995</v>
      </c>
      <c r="D8" s="518">
        <f>'5-αντίγρ'!AM8</f>
        <v>2.48</v>
      </c>
      <c r="E8" s="319">
        <f>'6-μεταγρ'!O8</f>
        <v>0</v>
      </c>
      <c r="F8" s="319">
        <f>'6-μεταγρ'!N8</f>
        <v>1.98</v>
      </c>
      <c r="G8" s="319">
        <f>'6-μεταγρ'!P8</f>
        <v>0</v>
      </c>
      <c r="H8" s="319">
        <f>'7-προςΔΟΥ'!U8</f>
        <v>57.1</v>
      </c>
      <c r="I8" s="319">
        <f>'7-προςΔΟΥ'!K8</f>
        <v>1.98</v>
      </c>
      <c r="J8" s="281">
        <f>11.74+2*2.93</f>
        <v>17.600000000000001</v>
      </c>
      <c r="K8" s="281">
        <f>2*2.93</f>
        <v>5.86</v>
      </c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0"/>
      <c r="Y8" s="280"/>
      <c r="Z8" s="281"/>
      <c r="AA8" s="281"/>
      <c r="AB8" s="280"/>
      <c r="AC8" s="280"/>
      <c r="AD8" s="280"/>
      <c r="AE8" s="281">
        <f t="shared" si="9"/>
        <v>23.46</v>
      </c>
      <c r="AF8" s="280"/>
      <c r="AG8" s="319">
        <f t="shared" si="15"/>
        <v>5.86</v>
      </c>
      <c r="AH8" s="281">
        <f>2*2.93</f>
        <v>5.86</v>
      </c>
      <c r="AI8" s="319">
        <f t="shared" si="15"/>
        <v>5.86</v>
      </c>
      <c r="AJ8" s="281"/>
      <c r="AK8" s="281"/>
      <c r="AL8" s="281"/>
      <c r="AM8" s="281"/>
      <c r="AN8" s="281"/>
      <c r="AO8" s="281"/>
      <c r="AP8" s="281"/>
      <c r="AQ8" s="281"/>
      <c r="AR8" s="281"/>
      <c r="AS8" s="281"/>
      <c r="AT8" s="280"/>
      <c r="AU8" s="281">
        <f t="shared" si="11"/>
        <v>17.580000000000002</v>
      </c>
      <c r="AV8" s="319">
        <f t="shared" si="16"/>
        <v>11.73</v>
      </c>
      <c r="AW8" s="280"/>
      <c r="AX8" s="319">
        <f t="shared" si="12"/>
        <v>11.73</v>
      </c>
      <c r="AY8" s="280"/>
      <c r="AZ8" s="280"/>
      <c r="BA8" s="281">
        <f t="shared" si="13"/>
        <v>23.46</v>
      </c>
      <c r="BB8" s="280"/>
      <c r="BC8" s="280"/>
      <c r="BD8" s="280"/>
      <c r="BE8" s="280">
        <f t="shared" si="14"/>
        <v>0</v>
      </c>
      <c r="BF8" s="280"/>
      <c r="BG8" s="280"/>
      <c r="BH8" s="280"/>
      <c r="BI8" s="280"/>
      <c r="BJ8" s="280"/>
      <c r="BK8" s="280"/>
      <c r="BL8" s="280"/>
      <c r="BM8" s="281">
        <f>2*6.46</f>
        <v>12.92</v>
      </c>
      <c r="BN8" s="319">
        <v>0.3</v>
      </c>
      <c r="BO8" s="281">
        <v>0.3</v>
      </c>
      <c r="BP8" s="276"/>
      <c r="BQ8" s="281">
        <f t="shared" si="5"/>
        <v>13.520000000000001</v>
      </c>
      <c r="BR8" s="319">
        <v>2.93</v>
      </c>
      <c r="BS8" s="319">
        <v>2.93</v>
      </c>
      <c r="BT8" s="319">
        <v>12.92</v>
      </c>
      <c r="BU8" s="319"/>
      <c r="BV8" s="319">
        <v>1.66</v>
      </c>
      <c r="BW8" s="319">
        <f t="shared" si="6"/>
        <v>18.78</v>
      </c>
      <c r="BX8" s="390">
        <f t="shared" si="7"/>
        <v>204.79000000000005</v>
      </c>
      <c r="BY8" s="390">
        <f t="shared" si="8"/>
        <v>8.1</v>
      </c>
      <c r="BZ8" s="343"/>
    </row>
    <row r="9" spans="1:78">
      <c r="A9" s="567" t="s">
        <v>47</v>
      </c>
      <c r="B9" s="568"/>
      <c r="C9" s="39">
        <f t="shared" ref="C9:AE9" si="18">SUM(C3:C8)</f>
        <v>248.77999999999997</v>
      </c>
      <c r="D9" s="39">
        <f t="shared" si="18"/>
        <v>9.92</v>
      </c>
      <c r="E9" s="39">
        <f t="shared" si="18"/>
        <v>11.74</v>
      </c>
      <c r="F9" s="39">
        <f t="shared" si="18"/>
        <v>7.92</v>
      </c>
      <c r="G9" s="39">
        <f t="shared" si="18"/>
        <v>0</v>
      </c>
      <c r="H9" s="39">
        <f t="shared" si="18"/>
        <v>647.96</v>
      </c>
      <c r="I9" s="39">
        <f t="shared" si="18"/>
        <v>11.88</v>
      </c>
      <c r="J9" s="39">
        <f t="shared" si="18"/>
        <v>91.53</v>
      </c>
      <c r="K9" s="39">
        <f t="shared" si="18"/>
        <v>71.28</v>
      </c>
      <c r="L9" s="39">
        <f t="shared" si="18"/>
        <v>20.830000000000002</v>
      </c>
      <c r="M9" s="39">
        <f t="shared" si="18"/>
        <v>14.97</v>
      </c>
      <c r="N9" s="39">
        <f t="shared" si="18"/>
        <v>14.97</v>
      </c>
      <c r="O9" s="39">
        <f t="shared" si="18"/>
        <v>14.97</v>
      </c>
      <c r="P9" s="39">
        <f t="shared" si="18"/>
        <v>20.830000000000002</v>
      </c>
      <c r="Q9" s="39">
        <f t="shared" si="18"/>
        <v>20.830000000000002</v>
      </c>
      <c r="R9" s="39">
        <f t="shared" si="18"/>
        <v>14.97</v>
      </c>
      <c r="S9" s="39">
        <f t="shared" si="18"/>
        <v>0</v>
      </c>
      <c r="T9" s="39">
        <f t="shared" si="18"/>
        <v>0</v>
      </c>
      <c r="U9" s="39">
        <f t="shared" si="18"/>
        <v>20.830000000000002</v>
      </c>
      <c r="V9" s="39">
        <f t="shared" si="18"/>
        <v>0</v>
      </c>
      <c r="W9" s="39">
        <f t="shared" si="18"/>
        <v>32.58</v>
      </c>
      <c r="X9" s="39">
        <f t="shared" si="18"/>
        <v>14.97</v>
      </c>
      <c r="Y9" s="39">
        <f t="shared" si="18"/>
        <v>1.98</v>
      </c>
      <c r="Z9" s="39">
        <f t="shared" si="18"/>
        <v>0</v>
      </c>
      <c r="AA9" s="39">
        <f t="shared" si="18"/>
        <v>0</v>
      </c>
      <c r="AB9" s="39">
        <f t="shared" si="18"/>
        <v>0</v>
      </c>
      <c r="AC9" s="39">
        <f t="shared" si="18"/>
        <v>0</v>
      </c>
      <c r="AD9" s="39">
        <f t="shared" si="18"/>
        <v>0</v>
      </c>
      <c r="AE9" s="39">
        <f t="shared" si="18"/>
        <v>355.53999999999996</v>
      </c>
      <c r="AF9" s="39"/>
      <c r="AG9" s="39">
        <f t="shared" ref="AG9:AR9" si="19">SUM(AG3:AG8)</f>
        <v>27.27</v>
      </c>
      <c r="AH9" s="39">
        <f t="shared" si="19"/>
        <v>30.2</v>
      </c>
      <c r="AI9" s="39">
        <f t="shared" si="19"/>
        <v>27.27</v>
      </c>
      <c r="AJ9" s="39">
        <f t="shared" si="19"/>
        <v>21.41</v>
      </c>
      <c r="AK9" s="39">
        <f t="shared" si="19"/>
        <v>0</v>
      </c>
      <c r="AL9" s="242">
        <f t="shared" si="19"/>
        <v>0</v>
      </c>
      <c r="AM9" s="39">
        <f t="shared" si="19"/>
        <v>0</v>
      </c>
      <c r="AN9" s="39">
        <f t="shared" si="19"/>
        <v>0</v>
      </c>
      <c r="AO9" s="39">
        <f t="shared" si="19"/>
        <v>9.69</v>
      </c>
      <c r="AP9" s="39">
        <f t="shared" si="19"/>
        <v>0</v>
      </c>
      <c r="AQ9" s="39">
        <f t="shared" si="19"/>
        <v>0</v>
      </c>
      <c r="AR9" s="39">
        <f t="shared" si="19"/>
        <v>0</v>
      </c>
      <c r="AS9" s="39"/>
      <c r="AT9" s="39">
        <f t="shared" ref="AT9:BO9" si="20">SUM(AT3:AT8)</f>
        <v>0</v>
      </c>
      <c r="AU9" s="39">
        <f t="shared" si="20"/>
        <v>115.83999999999999</v>
      </c>
      <c r="AV9" s="39">
        <f t="shared" si="20"/>
        <v>50.75</v>
      </c>
      <c r="AW9" s="246">
        <f t="shared" si="20"/>
        <v>0</v>
      </c>
      <c r="AX9" s="39">
        <f t="shared" si="20"/>
        <v>50.75</v>
      </c>
      <c r="AY9" s="246">
        <f t="shared" si="20"/>
        <v>0</v>
      </c>
      <c r="AZ9" s="246">
        <f t="shared" si="20"/>
        <v>0</v>
      </c>
      <c r="BA9" s="39">
        <f t="shared" si="20"/>
        <v>101.5</v>
      </c>
      <c r="BB9" s="39">
        <f t="shared" si="20"/>
        <v>0</v>
      </c>
      <c r="BC9" s="246">
        <f t="shared" si="20"/>
        <v>0</v>
      </c>
      <c r="BD9" s="39">
        <f t="shared" si="20"/>
        <v>0</v>
      </c>
      <c r="BE9" s="39">
        <f t="shared" si="20"/>
        <v>0</v>
      </c>
      <c r="BF9" s="39">
        <f t="shared" si="20"/>
        <v>0</v>
      </c>
      <c r="BG9" s="39">
        <f t="shared" si="20"/>
        <v>0</v>
      </c>
      <c r="BH9" s="39">
        <f t="shared" si="20"/>
        <v>0</v>
      </c>
      <c r="BI9" s="39">
        <f t="shared" si="20"/>
        <v>0</v>
      </c>
      <c r="BJ9" s="39">
        <f t="shared" si="20"/>
        <v>0</v>
      </c>
      <c r="BK9" s="39">
        <f t="shared" si="20"/>
        <v>0</v>
      </c>
      <c r="BL9" s="39">
        <f t="shared" si="20"/>
        <v>0</v>
      </c>
      <c r="BM9" s="39">
        <f t="shared" si="20"/>
        <v>77.52</v>
      </c>
      <c r="BN9" s="39">
        <f t="shared" si="20"/>
        <v>1.2</v>
      </c>
      <c r="BO9" s="39">
        <f t="shared" si="20"/>
        <v>1.8</v>
      </c>
      <c r="BP9" s="39">
        <f>SUM(BP3:BP8)</f>
        <v>0</v>
      </c>
      <c r="BQ9" s="39">
        <f>SUM(BQ3:BQ8)</f>
        <v>80.52</v>
      </c>
      <c r="BR9" s="39">
        <f t="shared" ref="BR9:BW9" si="21">SUM(BR3:BR8)</f>
        <v>2.93</v>
      </c>
      <c r="BS9" s="39">
        <f t="shared" si="21"/>
        <v>2.93</v>
      </c>
      <c r="BT9" s="39">
        <f t="shared" si="21"/>
        <v>12.92</v>
      </c>
      <c r="BU9" s="39">
        <f t="shared" si="21"/>
        <v>0</v>
      </c>
      <c r="BV9" s="39">
        <f t="shared" si="21"/>
        <v>1.66</v>
      </c>
      <c r="BW9" s="39">
        <f t="shared" si="21"/>
        <v>18.78</v>
      </c>
      <c r="BX9" s="39">
        <f>SUM(BX3:BX8)</f>
        <v>1489.4199999999998</v>
      </c>
      <c r="BY9" s="39">
        <f>SUM(BY3:BY8)</f>
        <v>31.380000000000003</v>
      </c>
      <c r="BZ9" s="246"/>
    </row>
    <row r="10" spans="1:78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</row>
    <row r="11" spans="1:78" ht="11.25" customHeight="1">
      <c r="C11" s="127"/>
      <c r="D11" s="127"/>
      <c r="E11" s="2"/>
      <c r="F11" s="2"/>
      <c r="G11" s="2"/>
      <c r="H11" s="2"/>
      <c r="I11" s="2"/>
      <c r="J11" s="158" t="s">
        <v>420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18" t="s">
        <v>430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150" t="s">
        <v>182</v>
      </c>
      <c r="AW11" s="2"/>
      <c r="AX11" s="2"/>
      <c r="AY11" s="2"/>
      <c r="AZ11" s="2"/>
      <c r="BA11" s="2"/>
      <c r="BB11" s="150" t="s">
        <v>194</v>
      </c>
      <c r="BC11" s="2"/>
      <c r="BD11" s="2"/>
      <c r="BE11" s="2"/>
      <c r="BF11" s="150" t="s">
        <v>207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512</v>
      </c>
      <c r="BS11" s="2"/>
      <c r="BT11" s="2"/>
      <c r="BU11" s="2"/>
      <c r="BV11" s="2"/>
      <c r="BW11" s="2"/>
      <c r="BX11" s="2"/>
      <c r="BY11" s="2"/>
      <c r="BZ11" s="2"/>
    </row>
    <row r="12" spans="1:78" ht="11.25" customHeight="1">
      <c r="C12" s="127"/>
      <c r="D12" s="127"/>
      <c r="E12" s="2"/>
      <c r="F12" s="2"/>
      <c r="G12" s="2"/>
      <c r="H12" s="2"/>
      <c r="I12" s="2"/>
      <c r="J12" s="4"/>
      <c r="K12" s="321" t="s">
        <v>421</v>
      </c>
      <c r="L12" s="322"/>
      <c r="M12" s="322"/>
      <c r="N12" s="322"/>
      <c r="O12" s="322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158" t="s">
        <v>177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45" t="s">
        <v>185</v>
      </c>
      <c r="AX12" s="2"/>
      <c r="AY12" s="2"/>
      <c r="AZ12" s="2"/>
      <c r="BA12" s="2"/>
      <c r="BB12" s="2"/>
      <c r="BC12" s="244" t="s">
        <v>195</v>
      </c>
      <c r="BD12" s="2"/>
      <c r="BE12" s="2"/>
      <c r="BF12" s="2"/>
      <c r="BG12" s="169" t="s">
        <v>210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513</v>
      </c>
      <c r="BT12" s="2"/>
      <c r="BU12" s="2"/>
      <c r="BV12" s="2"/>
      <c r="BW12" s="2"/>
      <c r="BX12" s="2"/>
      <c r="BY12" s="2"/>
      <c r="BZ12" s="2"/>
    </row>
    <row r="13" spans="1:78" ht="11.25" customHeight="1">
      <c r="C13" s="127"/>
      <c r="D13" s="127"/>
      <c r="E13" s="2"/>
      <c r="F13" s="2"/>
      <c r="G13" s="2"/>
      <c r="H13" s="2"/>
      <c r="I13" s="2"/>
      <c r="J13" s="4"/>
      <c r="K13" s="322"/>
      <c r="L13" s="321" t="s">
        <v>422</v>
      </c>
      <c r="M13" s="322"/>
      <c r="N13" s="322"/>
      <c r="O13" s="322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18" t="s">
        <v>431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44" t="s">
        <v>183</v>
      </c>
      <c r="AY13" s="2"/>
      <c r="AZ13" s="2"/>
      <c r="BA13" s="2"/>
      <c r="BB13" s="2"/>
      <c r="BC13" s="2"/>
      <c r="BD13" s="150" t="s">
        <v>196</v>
      </c>
      <c r="BE13" s="2"/>
      <c r="BF13" s="2"/>
      <c r="BG13" s="2"/>
      <c r="BH13" s="150" t="s">
        <v>211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 t="s">
        <v>31</v>
      </c>
      <c r="BU13" s="2"/>
      <c r="BV13" s="2"/>
      <c r="BW13" s="2"/>
      <c r="BX13" s="2"/>
      <c r="BY13" s="2"/>
      <c r="BZ13" s="2"/>
    </row>
    <row r="14" spans="1:78" ht="11.25" customHeight="1">
      <c r="A14" s="80" t="s">
        <v>573</v>
      </c>
      <c r="B14" s="510" t="s">
        <v>559</v>
      </c>
      <c r="C14" s="127"/>
      <c r="D14" s="127"/>
      <c r="E14" s="2"/>
      <c r="F14" s="2"/>
      <c r="G14" s="2"/>
      <c r="H14" s="2"/>
      <c r="I14" s="2"/>
      <c r="J14" s="4"/>
      <c r="K14" s="322"/>
      <c r="L14" s="322"/>
      <c r="M14" s="322" t="s">
        <v>423</v>
      </c>
      <c r="N14" s="322"/>
      <c r="O14" s="322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117" t="s">
        <v>432</v>
      </c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45" t="s">
        <v>184</v>
      </c>
      <c r="AZ14" s="2"/>
      <c r="BA14" s="2"/>
      <c r="BB14" s="2"/>
      <c r="BC14" s="2"/>
      <c r="BD14" s="2"/>
      <c r="BE14" s="2"/>
      <c r="BF14" s="2"/>
      <c r="BG14" s="2"/>
      <c r="BH14" s="2"/>
      <c r="BI14" s="169" t="s">
        <v>213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 t="s">
        <v>514</v>
      </c>
      <c r="BV14" s="2"/>
      <c r="BW14" s="2"/>
      <c r="BX14" s="2"/>
      <c r="BY14" s="2"/>
      <c r="BZ14" s="2"/>
    </row>
    <row r="15" spans="1:78" ht="11.25" customHeight="1">
      <c r="A15" s="80"/>
      <c r="B15" s="401" t="s">
        <v>577</v>
      </c>
      <c r="C15" s="127"/>
      <c r="D15" s="127"/>
      <c r="E15" s="2"/>
      <c r="F15" s="2"/>
      <c r="G15" s="2"/>
      <c r="H15" s="8"/>
      <c r="I15" s="8">
        <v>2515</v>
      </c>
      <c r="J15" s="4"/>
      <c r="K15" s="4"/>
      <c r="L15" s="4"/>
      <c r="M15" s="4"/>
      <c r="N15" s="4" t="s">
        <v>424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18" t="s">
        <v>433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44" t="s">
        <v>191</v>
      </c>
      <c r="BA15" s="2"/>
      <c r="BB15" s="2"/>
      <c r="BC15" s="2"/>
      <c r="BD15" s="2"/>
      <c r="BE15" s="2"/>
      <c r="BF15" s="2"/>
      <c r="BG15" s="2"/>
      <c r="BH15" s="2"/>
      <c r="BI15" s="2"/>
      <c r="BJ15" s="150" t="s">
        <v>214</v>
      </c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 t="s">
        <v>59</v>
      </c>
      <c r="BW15" s="2"/>
      <c r="BX15" s="3"/>
      <c r="BY15" s="3"/>
    </row>
    <row r="16" spans="1:78" ht="11.25" customHeight="1">
      <c r="A16" s="80"/>
      <c r="B16" s="401" t="s">
        <v>578</v>
      </c>
      <c r="C16" s="127"/>
      <c r="D16" s="127"/>
      <c r="E16" s="2"/>
      <c r="F16" s="2"/>
      <c r="G16" s="2"/>
      <c r="H16" s="8"/>
      <c r="I16" s="8" t="s">
        <v>571</v>
      </c>
      <c r="J16" s="4"/>
      <c r="K16" s="4"/>
      <c r="L16" s="4"/>
      <c r="M16" s="4"/>
      <c r="N16" s="4"/>
      <c r="O16" s="4" t="s">
        <v>477</v>
      </c>
      <c r="P16" s="4"/>
      <c r="Q16" s="4"/>
      <c r="R16" s="4"/>
      <c r="S16" s="171"/>
      <c r="T16" s="171"/>
      <c r="U16" s="171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43" t="s">
        <v>434</v>
      </c>
      <c r="AM16" s="117"/>
      <c r="AN16" s="117"/>
      <c r="AO16" s="117"/>
      <c r="AP16" s="117"/>
      <c r="AQ16" s="117"/>
      <c r="AR16" s="117"/>
      <c r="AS16" s="169"/>
      <c r="AT16" s="117"/>
      <c r="AU16" s="2"/>
      <c r="AV16" s="2"/>
      <c r="AW16" s="2"/>
      <c r="AX16" s="2"/>
      <c r="AY16" s="2"/>
      <c r="AZ16" s="2"/>
      <c r="BA16" s="2"/>
      <c r="BB16" s="2"/>
      <c r="BC16" s="2"/>
      <c r="BD16" s="150" t="s">
        <v>202</v>
      </c>
      <c r="BE16" s="2"/>
      <c r="BF16" s="2"/>
      <c r="BG16" s="2"/>
      <c r="BH16" s="2"/>
      <c r="BI16" s="2"/>
      <c r="BJ16" s="2"/>
      <c r="BK16" s="169" t="s">
        <v>215</v>
      </c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1:77" ht="11.25" customHeight="1">
      <c r="A17" s="80"/>
      <c r="B17" s="401" t="s">
        <v>560</v>
      </c>
      <c r="C17" s="127"/>
      <c r="D17" s="127"/>
      <c r="E17" s="2"/>
      <c r="F17" s="2"/>
      <c r="G17" s="2"/>
      <c r="H17" s="8"/>
      <c r="I17" s="8"/>
      <c r="J17" s="4"/>
      <c r="K17" s="4"/>
      <c r="L17" s="4"/>
      <c r="M17" s="4"/>
      <c r="N17" s="4"/>
      <c r="O17" s="4"/>
      <c r="P17" s="4" t="s">
        <v>499</v>
      </c>
      <c r="Q17" s="4"/>
      <c r="R17" s="4"/>
      <c r="S17" s="171"/>
      <c r="T17" s="171"/>
      <c r="U17" s="171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157" t="s">
        <v>435</v>
      </c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45" t="s">
        <v>200</v>
      </c>
      <c r="BE17" s="2"/>
      <c r="BF17" s="2"/>
      <c r="BG17" s="2"/>
      <c r="BH17" s="2"/>
      <c r="BI17" s="2"/>
      <c r="BJ17" s="2"/>
      <c r="BK17" s="169"/>
      <c r="BL17" s="150" t="s">
        <v>216</v>
      </c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1:77" ht="11.25" customHeight="1">
      <c r="A18" s="80"/>
      <c r="B18" s="92"/>
      <c r="C18" s="127"/>
      <c r="D18" s="127"/>
      <c r="E18" s="2"/>
      <c r="F18" s="2"/>
      <c r="G18" s="2"/>
      <c r="H18" s="8"/>
      <c r="I18" s="8">
        <v>3290</v>
      </c>
      <c r="J18" s="4"/>
      <c r="K18" s="4"/>
      <c r="L18" s="4"/>
      <c r="M18" s="4"/>
      <c r="N18" s="4"/>
      <c r="O18" s="4"/>
      <c r="P18" s="4"/>
      <c r="Q18" s="150" t="s">
        <v>503</v>
      </c>
      <c r="R18" s="4"/>
      <c r="S18" s="171"/>
      <c r="T18" s="171"/>
      <c r="U18" s="171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2"/>
      <c r="AN18" s="117" t="s">
        <v>474</v>
      </c>
      <c r="AO18" s="117"/>
      <c r="AP18" s="117"/>
      <c r="AQ18" s="117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150" t="s">
        <v>201</v>
      </c>
      <c r="BE18" s="2"/>
      <c r="BF18" s="2"/>
      <c r="BG18" s="2"/>
      <c r="BH18" s="2"/>
      <c r="BI18" s="2"/>
      <c r="BJ18" s="2"/>
      <c r="BK18" s="169"/>
      <c r="BL18" s="4"/>
      <c r="BM18" s="169" t="s">
        <v>285</v>
      </c>
      <c r="BN18" s="169"/>
      <c r="BO18" s="169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1:77">
      <c r="A19" s="80"/>
      <c r="B19" s="92"/>
      <c r="C19" s="84"/>
      <c r="D19" s="84"/>
      <c r="E19" s="2"/>
      <c r="F19" s="2"/>
      <c r="G19" s="2"/>
      <c r="H19" s="8"/>
      <c r="I19" s="8" t="s">
        <v>569</v>
      </c>
      <c r="J19" s="4"/>
      <c r="K19" s="4"/>
      <c r="L19" s="4"/>
      <c r="M19" s="4"/>
      <c r="N19" s="4"/>
      <c r="O19" s="4"/>
      <c r="P19" s="4"/>
      <c r="Q19" s="4"/>
      <c r="R19" s="171" t="s">
        <v>425</v>
      </c>
      <c r="S19" s="171"/>
      <c r="T19" s="171"/>
      <c r="U19" s="171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157" t="s">
        <v>475</v>
      </c>
      <c r="AP19" s="2"/>
      <c r="AQ19" s="157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169" t="s">
        <v>203</v>
      </c>
      <c r="BE19" s="2"/>
      <c r="BF19" s="2"/>
      <c r="BG19" s="2"/>
      <c r="BH19" s="2"/>
      <c r="BI19" s="2"/>
      <c r="BJ19" s="2"/>
      <c r="BK19" s="2"/>
      <c r="BL19" s="2"/>
      <c r="BM19" s="2"/>
      <c r="BN19" s="150" t="s">
        <v>462</v>
      </c>
      <c r="BO19" s="150"/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1:77">
      <c r="A20" s="80"/>
      <c r="B20" s="92"/>
      <c r="C20" s="84"/>
      <c r="D20" s="84"/>
      <c r="E20" s="2"/>
      <c r="F20" s="2"/>
      <c r="G20" s="2"/>
      <c r="H20" s="8"/>
      <c r="I20" s="8"/>
      <c r="J20" s="4"/>
      <c r="K20" s="4"/>
      <c r="L20" s="4"/>
      <c r="M20" s="4"/>
      <c r="N20" s="4"/>
      <c r="O20" s="4"/>
      <c r="P20" s="4"/>
      <c r="Q20" s="4"/>
      <c r="R20" s="4"/>
      <c r="S20" s="4" t="s">
        <v>443</v>
      </c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2"/>
      <c r="AN20" s="89"/>
      <c r="AO20" s="89"/>
      <c r="AP20" s="117" t="s">
        <v>504</v>
      </c>
      <c r="AQ20" s="117"/>
      <c r="AR20" s="89"/>
      <c r="AS20" s="370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174" t="s">
        <v>249</v>
      </c>
      <c r="BE20" s="2"/>
      <c r="BF20" s="2"/>
      <c r="BG20" s="2"/>
      <c r="BH20" s="2"/>
      <c r="BI20" s="2"/>
      <c r="BJ20" s="2"/>
      <c r="BK20" s="2"/>
      <c r="BL20" s="2"/>
      <c r="BM20" s="370"/>
      <c r="BN20" s="89"/>
      <c r="BO20" s="171" t="s">
        <v>461</v>
      </c>
      <c r="BP20" s="2"/>
      <c r="BQ20" s="2"/>
      <c r="BR20" s="2"/>
      <c r="BS20" s="2"/>
      <c r="BT20" s="2"/>
      <c r="BU20" s="2"/>
      <c r="BV20" s="2"/>
      <c r="BW20" s="2"/>
      <c r="BX20" s="3"/>
      <c r="BY20" s="3"/>
    </row>
    <row r="21" spans="1:77">
      <c r="A21" s="80" t="s">
        <v>574</v>
      </c>
      <c r="B21" s="3" t="s">
        <v>579</v>
      </c>
      <c r="C21" s="84"/>
      <c r="D21" s="84"/>
      <c r="E21" s="2"/>
      <c r="F21" s="2"/>
      <c r="G21" s="2"/>
      <c r="H21" s="8"/>
      <c r="I21" s="8">
        <v>3291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322" t="s">
        <v>444</v>
      </c>
      <c r="U21" s="171"/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2"/>
      <c r="AJ21" s="2"/>
      <c r="AK21" s="2"/>
      <c r="AL21" s="2"/>
      <c r="AM21" s="89"/>
      <c r="AN21" s="89"/>
      <c r="AO21" s="89"/>
      <c r="AP21" s="2"/>
      <c r="AQ21" s="117" t="s">
        <v>500</v>
      </c>
      <c r="AR21" s="117"/>
      <c r="AS21" s="370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175" t="s">
        <v>250</v>
      </c>
      <c r="BE21" s="2"/>
      <c r="BF21" s="2"/>
      <c r="BG21" s="2"/>
      <c r="BH21" s="2"/>
      <c r="BI21" s="2"/>
      <c r="BJ21" s="2"/>
      <c r="BK21" s="2"/>
      <c r="BL21" s="89"/>
      <c r="BM21" s="370"/>
      <c r="BN21" s="89"/>
      <c r="BO21" s="89"/>
      <c r="BP21" s="150" t="s">
        <v>509</v>
      </c>
      <c r="BQ21" s="89"/>
      <c r="BR21" s="89"/>
      <c r="BS21" s="89"/>
      <c r="BT21" s="89"/>
      <c r="BU21" s="89"/>
      <c r="BV21" s="89"/>
      <c r="BW21" s="89"/>
      <c r="BX21" s="89"/>
      <c r="BY21" s="3"/>
    </row>
    <row r="22" spans="1:77">
      <c r="A22" s="80"/>
      <c r="B22" s="510" t="s">
        <v>580</v>
      </c>
      <c r="C22" s="84"/>
      <c r="D22" s="84"/>
      <c r="E22" s="89"/>
      <c r="F22" s="89"/>
      <c r="G22" s="89"/>
      <c r="H22" s="8"/>
      <c r="I22" s="8" t="s">
        <v>569</v>
      </c>
      <c r="J22" s="89"/>
      <c r="K22" s="89"/>
      <c r="L22" s="89"/>
      <c r="M22" s="89"/>
      <c r="N22" s="4"/>
      <c r="O22" s="4"/>
      <c r="P22" s="4"/>
      <c r="Q22" s="4"/>
      <c r="R22" s="4"/>
      <c r="S22" s="4"/>
      <c r="T22" s="4"/>
      <c r="U22" s="150" t="s">
        <v>471</v>
      </c>
      <c r="V22" s="4"/>
      <c r="W22" s="4"/>
      <c r="X22" s="4"/>
      <c r="Y22" s="4"/>
      <c r="Z22" s="4"/>
      <c r="AA22" s="4"/>
      <c r="AB22" s="4"/>
      <c r="AC22" s="4"/>
      <c r="AD22" s="4"/>
      <c r="AE22" s="2"/>
      <c r="AF22" s="2"/>
      <c r="AG22" s="2"/>
      <c r="AH22" s="2"/>
      <c r="AI22" s="89"/>
      <c r="AJ22" s="89"/>
      <c r="AK22" s="89"/>
      <c r="AL22" s="89"/>
      <c r="AM22" s="89"/>
      <c r="AN22" s="89"/>
      <c r="AO22" s="89"/>
      <c r="AP22" s="2"/>
      <c r="AQ22" s="2"/>
      <c r="AR22" s="157" t="s">
        <v>501</v>
      </c>
      <c r="AS22" s="2"/>
      <c r="AT22" s="2"/>
      <c r="AU22" s="2"/>
      <c r="AV22" s="89"/>
      <c r="AW22" s="89"/>
      <c r="AX22" s="89"/>
      <c r="AY22" s="89"/>
      <c r="AZ22" s="89"/>
      <c r="BA22" s="89"/>
      <c r="BB22" s="89"/>
      <c r="BC22" s="89"/>
      <c r="BD22" s="174" t="s">
        <v>251</v>
      </c>
      <c r="BE22" s="89"/>
      <c r="BF22" s="89"/>
      <c r="BG22" s="89"/>
      <c r="BH22" s="89"/>
      <c r="BI22" s="89"/>
      <c r="BJ22" s="89"/>
      <c r="BK22" s="89"/>
      <c r="BL22" s="89"/>
      <c r="BM22" s="370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3"/>
      <c r="BY22" s="3"/>
    </row>
    <row r="23" spans="1:77">
      <c r="A23" s="80"/>
      <c r="B23" s="510" t="s">
        <v>581</v>
      </c>
      <c r="C23" s="84"/>
      <c r="D23" s="84"/>
      <c r="H23" s="8"/>
      <c r="I23" s="8"/>
      <c r="J23" s="89"/>
      <c r="K23" s="89"/>
      <c r="L23" s="89"/>
      <c r="M23" s="89"/>
      <c r="N23" s="89"/>
      <c r="O23" s="89"/>
      <c r="P23" s="89"/>
      <c r="Q23" s="89"/>
      <c r="R23" s="4"/>
      <c r="S23" s="4"/>
      <c r="T23" s="4"/>
      <c r="U23" s="4"/>
      <c r="V23" s="171" t="s">
        <v>478</v>
      </c>
      <c r="W23" s="4"/>
      <c r="X23" s="4"/>
      <c r="Y23" s="4"/>
      <c r="Z23" s="4"/>
      <c r="AA23" s="4"/>
      <c r="AB23" s="4"/>
      <c r="AC23" s="4"/>
      <c r="AD23" s="4"/>
      <c r="AE23" s="2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370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370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3"/>
      <c r="BY23" s="3"/>
    </row>
    <row r="24" spans="1:77">
      <c r="A24" s="80"/>
      <c r="B24" s="510" t="s">
        <v>567</v>
      </c>
      <c r="C24" s="84"/>
      <c r="D24" s="84"/>
      <c r="H24" s="8"/>
      <c r="I24" s="8">
        <v>3292</v>
      </c>
      <c r="L24" s="89"/>
      <c r="M24" s="89"/>
      <c r="N24" s="89"/>
      <c r="O24" s="89"/>
      <c r="P24" s="89"/>
      <c r="Q24" s="89"/>
      <c r="R24" s="4"/>
      <c r="S24" s="4"/>
      <c r="T24" s="4"/>
      <c r="U24" s="4"/>
      <c r="V24" s="4"/>
      <c r="W24" s="171" t="s">
        <v>426</v>
      </c>
      <c r="X24" s="4"/>
      <c r="Y24" s="4"/>
      <c r="Z24" s="4"/>
      <c r="AA24" s="4"/>
      <c r="AB24" s="4"/>
      <c r="AC24" s="4"/>
      <c r="AD24" s="4"/>
      <c r="AE24" s="2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370"/>
      <c r="AT24" s="89"/>
      <c r="AU24" s="89"/>
      <c r="AV24" s="36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370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3"/>
      <c r="BY24" s="3"/>
    </row>
    <row r="25" spans="1:77">
      <c r="A25" s="80"/>
      <c r="B25" s="3"/>
      <c r="C25" s="84"/>
      <c r="D25" s="84"/>
      <c r="H25" s="8"/>
      <c r="I25" s="8" t="s">
        <v>569</v>
      </c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4"/>
      <c r="W25" s="4"/>
      <c r="X25" s="4" t="s">
        <v>427</v>
      </c>
      <c r="Y25" s="4"/>
      <c r="Z25" s="4"/>
      <c r="AA25" s="4"/>
      <c r="AB25" s="4"/>
      <c r="AC25" s="4"/>
      <c r="AD25" s="4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370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70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3"/>
      <c r="BY25" s="3"/>
    </row>
    <row r="26" spans="1:77">
      <c r="A26" s="80"/>
      <c r="B26" s="3"/>
      <c r="C26" s="84"/>
      <c r="D26" s="84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4"/>
      <c r="W26" s="4"/>
      <c r="X26" s="4"/>
      <c r="Y26" s="170" t="s">
        <v>428</v>
      </c>
      <c r="Z26" s="4"/>
      <c r="AA26" s="4"/>
      <c r="AB26" s="4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370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370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3"/>
      <c r="BY26" s="3"/>
    </row>
    <row r="27" spans="1:77">
      <c r="A27" s="80" t="s">
        <v>575</v>
      </c>
      <c r="B27" s="3" t="s">
        <v>579</v>
      </c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4"/>
      <c r="W27" s="4"/>
      <c r="X27" s="4"/>
      <c r="Y27" s="4"/>
      <c r="Z27" s="171" t="s">
        <v>507</v>
      </c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370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370"/>
      <c r="BN27" s="89"/>
      <c r="BO27" s="89"/>
      <c r="BP27" s="89"/>
      <c r="BQ27" s="89"/>
      <c r="BR27" s="89"/>
      <c r="BS27" s="89"/>
      <c r="BT27" s="89"/>
      <c r="BU27" s="89"/>
      <c r="BV27" s="89"/>
      <c r="BW27" s="89"/>
    </row>
    <row r="28" spans="1:77">
      <c r="A28" s="80"/>
      <c r="B28" s="523" t="s">
        <v>567</v>
      </c>
      <c r="J28" s="135" t="s">
        <v>494</v>
      </c>
      <c r="K28" s="2"/>
      <c r="L28" s="2"/>
      <c r="M28" s="132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150" t="s">
        <v>508</v>
      </c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370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370"/>
      <c r="BN28" s="89"/>
      <c r="BO28" s="89"/>
      <c r="BP28" s="89"/>
      <c r="BQ28" s="89"/>
      <c r="BR28" s="89"/>
      <c r="BS28" s="89"/>
      <c r="BT28" s="89"/>
      <c r="BU28" s="89"/>
      <c r="BV28" s="89"/>
      <c r="BW28" s="89"/>
    </row>
    <row r="29" spans="1:77">
      <c r="A29" s="80"/>
      <c r="B29" s="3" t="s">
        <v>582</v>
      </c>
      <c r="K29" s="3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171" t="s">
        <v>429</v>
      </c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370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70"/>
      <c r="BN29" s="89"/>
      <c r="BO29" s="89"/>
      <c r="BP29" s="89"/>
      <c r="BQ29" s="89"/>
      <c r="BR29" s="89"/>
      <c r="BS29" s="89"/>
      <c r="BT29" s="89"/>
      <c r="BU29" s="89"/>
      <c r="BV29" s="89"/>
      <c r="BW29" s="89"/>
    </row>
    <row r="30" spans="1:77">
      <c r="A30" s="80"/>
      <c r="B30" s="3"/>
      <c r="J30" s="132" t="s">
        <v>496</v>
      </c>
      <c r="K30" s="3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370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370"/>
      <c r="BN30" s="89"/>
      <c r="BO30" s="89"/>
      <c r="BP30" s="89"/>
      <c r="BQ30" s="89"/>
      <c r="BR30" s="89"/>
      <c r="BS30" s="89"/>
      <c r="BT30" s="89"/>
      <c r="BU30" s="89"/>
      <c r="BV30" s="89"/>
      <c r="BW30" s="89"/>
    </row>
    <row r="31" spans="1:77">
      <c r="A31" s="80"/>
      <c r="B31" s="3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370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370"/>
      <c r="BN31" s="89"/>
      <c r="BO31" s="89"/>
      <c r="BP31" s="89"/>
      <c r="BQ31" s="89"/>
      <c r="BR31" s="89"/>
      <c r="BS31" s="89"/>
      <c r="BT31" s="89"/>
      <c r="BU31" s="89"/>
      <c r="BV31" s="89"/>
      <c r="BW31" s="89"/>
    </row>
    <row r="32" spans="1:77">
      <c r="A32" s="80" t="s">
        <v>576</v>
      </c>
      <c r="B32" s="510" t="s">
        <v>583</v>
      </c>
      <c r="J32" s="84">
        <v>5.87</v>
      </c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370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70"/>
      <c r="BN32" s="89"/>
      <c r="BO32" s="89"/>
      <c r="BP32" s="89"/>
      <c r="BQ32" s="89"/>
      <c r="BR32" s="89"/>
      <c r="BS32" s="89"/>
      <c r="BT32" s="89"/>
      <c r="BU32" s="89"/>
      <c r="BV32" s="89"/>
      <c r="BW32" s="89"/>
    </row>
    <row r="33" spans="2:75">
      <c r="B33" s="510" t="s">
        <v>584</v>
      </c>
      <c r="J33" s="84">
        <v>5.87</v>
      </c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370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70"/>
      <c r="BN33" s="89"/>
      <c r="BO33" s="89"/>
      <c r="BP33" s="89"/>
      <c r="BQ33" s="89"/>
      <c r="BR33" s="89"/>
      <c r="BS33" s="89"/>
      <c r="BT33" s="89"/>
      <c r="BU33" s="89"/>
      <c r="BV33" s="89"/>
      <c r="BW33" s="89"/>
    </row>
    <row r="34" spans="2:75">
      <c r="J34" s="525">
        <f>SUM(J32:J33)</f>
        <v>11.74</v>
      </c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370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370"/>
      <c r="BN34" s="89"/>
      <c r="BO34" s="89"/>
      <c r="BP34" s="89"/>
      <c r="BQ34" s="89"/>
      <c r="BR34" s="89"/>
      <c r="BS34" s="89"/>
      <c r="BT34" s="89"/>
      <c r="BU34" s="89"/>
      <c r="BV34" s="89"/>
      <c r="BW34" s="89"/>
    </row>
    <row r="35" spans="2:75"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370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370"/>
      <c r="BN35" s="89"/>
      <c r="BO35" s="89"/>
      <c r="BP35" s="89"/>
      <c r="BQ35" s="89"/>
      <c r="BR35" s="89"/>
      <c r="BS35" s="89"/>
      <c r="BT35" s="89"/>
      <c r="BU35" s="89"/>
      <c r="BV35" s="89"/>
      <c r="BW35" s="89"/>
    </row>
  </sheetData>
  <mergeCells count="13">
    <mergeCell ref="BX1:BZ1"/>
    <mergeCell ref="A9:B9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O24" sqref="O24"/>
    </sheetView>
  </sheetViews>
  <sheetFormatPr defaultRowHeight="11.25"/>
  <cols>
    <col min="1" max="1" width="7.28515625" style="8" bestFit="1" customWidth="1"/>
    <col min="2" max="2" width="51.7109375" style="92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6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32" t="s">
        <v>1</v>
      </c>
      <c r="B1" s="734" t="s">
        <v>0</v>
      </c>
      <c r="C1" s="736" t="s">
        <v>7</v>
      </c>
      <c r="D1" s="727" t="s">
        <v>6</v>
      </c>
      <c r="E1" s="728"/>
      <c r="F1" s="729" t="s">
        <v>5</v>
      </c>
      <c r="G1" s="730"/>
      <c r="H1" s="727" t="s">
        <v>63</v>
      </c>
      <c r="I1" s="728"/>
      <c r="J1" s="741" t="s">
        <v>9</v>
      </c>
      <c r="K1" s="550" t="s">
        <v>436</v>
      </c>
      <c r="L1" s="743"/>
      <c r="M1" s="550" t="s">
        <v>81</v>
      </c>
      <c r="N1" s="551"/>
      <c r="O1" s="551"/>
      <c r="P1" s="551"/>
      <c r="Q1" s="551"/>
      <c r="R1" s="737" t="s">
        <v>83</v>
      </c>
      <c r="S1" s="737"/>
      <c r="T1" s="737"/>
      <c r="U1" s="737"/>
      <c r="V1" s="737"/>
      <c r="W1" s="737"/>
      <c r="X1" s="737"/>
    </row>
    <row r="2" spans="1:28" ht="15.75" customHeight="1" thickBot="1">
      <c r="A2" s="733"/>
      <c r="B2" s="735"/>
      <c r="C2" s="549"/>
      <c r="D2" s="63"/>
      <c r="E2" s="37" t="s">
        <v>9</v>
      </c>
      <c r="F2" s="63"/>
      <c r="G2" s="64" t="s">
        <v>9</v>
      </c>
      <c r="H2" s="63"/>
      <c r="I2" s="37" t="s">
        <v>9</v>
      </c>
      <c r="J2" s="742"/>
      <c r="K2" s="328"/>
      <c r="L2" s="173" t="s">
        <v>9</v>
      </c>
      <c r="M2" s="176" t="s">
        <v>138</v>
      </c>
      <c r="N2" s="176" t="s">
        <v>436</v>
      </c>
      <c r="O2" s="176" t="s">
        <v>364</v>
      </c>
      <c r="P2" s="176" t="s">
        <v>59</v>
      </c>
      <c r="Q2" s="177" t="s">
        <v>137</v>
      </c>
      <c r="R2" s="738" t="s">
        <v>440</v>
      </c>
      <c r="S2" s="739"/>
      <c r="T2" s="739"/>
      <c r="U2" s="739"/>
      <c r="V2" s="739"/>
      <c r="W2" s="740"/>
      <c r="X2" s="178" t="s">
        <v>47</v>
      </c>
    </row>
    <row r="3" spans="1:28" s="5" customFormat="1">
      <c r="A3" s="389" t="str">
        <f>'1-συμβολαια'!A3</f>
        <v>1ο</v>
      </c>
      <c r="B3" s="368" t="str">
        <f>'1-συμβολαια'!C3</f>
        <v>κληρονομιάς ΑΠΟΔΟΧΗ</v>
      </c>
      <c r="C3" s="372">
        <f>'1-συμβολαια'!D3</f>
        <v>0</v>
      </c>
      <c r="D3" s="330"/>
      <c r="E3" s="330"/>
      <c r="F3" s="330"/>
      <c r="G3" s="330"/>
      <c r="H3" s="330"/>
      <c r="I3" s="330"/>
      <c r="J3" s="332">
        <f>'1-συμβολαια'!N3</f>
        <v>69.88</v>
      </c>
      <c r="K3" s="332">
        <f>'2-δικαιώμ'!O3+'5-αντίγρ'!O3</f>
        <v>6.4262000000000006</v>
      </c>
      <c r="L3" s="332">
        <v>5.36</v>
      </c>
      <c r="M3" s="332">
        <f>'1-συμβολαια'!O3</f>
        <v>87.213799999999992</v>
      </c>
      <c r="N3" s="332">
        <f t="shared" ref="N3:N8" si="0">K3-L3</f>
        <v>1.0662000000000003</v>
      </c>
      <c r="O3" s="332">
        <f>'8-κ-15-17'!AG3</f>
        <v>0</v>
      </c>
      <c r="P3" s="332">
        <f>'11-χαρτόσ'!L3+'5-αντίγρ'!AM3+'6-μεταγρ'!N3+'7-προςΔΟΥ'!K3+'13-ντιΜιΧο'!BY3</f>
        <v>13.379999999999999</v>
      </c>
      <c r="Q3" s="332">
        <f>'13-ντιΜιΧο'!BX3</f>
        <v>590.77</v>
      </c>
      <c r="R3" s="282"/>
      <c r="S3" s="275"/>
      <c r="T3" s="275"/>
      <c r="U3" s="275"/>
      <c r="V3" s="275"/>
      <c r="W3" s="275"/>
      <c r="X3" s="278"/>
    </row>
    <row r="4" spans="1:28" s="5" customFormat="1">
      <c r="A4" s="389">
        <f>'1-συμβολαια'!A4</f>
        <v>0</v>
      </c>
      <c r="B4" s="368" t="str">
        <f>'1-συμβολαια'!C4</f>
        <v>χρησικτησία αγροτεμαχίων {0,7 &amp; 1,8στρ} = 19?? πατρός ΔΩΡΕΑ άτυπη</v>
      </c>
      <c r="C4" s="372">
        <f>'1-συμβολαια'!D4</f>
        <v>1111</v>
      </c>
      <c r="D4" s="330"/>
      <c r="E4" s="330"/>
      <c r="F4" s="330"/>
      <c r="G4" s="330"/>
      <c r="H4" s="330"/>
      <c r="I4" s="330"/>
      <c r="J4" s="332">
        <f>'1-συμβολαια'!N4</f>
        <v>0</v>
      </c>
      <c r="K4" s="332">
        <f>'2-δικαιώμ'!O4+'5-αντίγρ'!O4</f>
        <v>3.3234940000000002</v>
      </c>
      <c r="L4" s="332"/>
      <c r="M4" s="332">
        <f>'1-συμβολαια'!O4</f>
        <v>31.934466</v>
      </c>
      <c r="N4" s="332">
        <f t="shared" si="0"/>
        <v>3.3234940000000002</v>
      </c>
      <c r="O4" s="332">
        <f>'8-κ-15-17'!AG4</f>
        <v>8.6102500000000006</v>
      </c>
      <c r="P4" s="332">
        <f>'11-χαρτόσ'!L4+'5-αντίγρ'!AM4+'6-μεταγρ'!N4+'7-προςΔΟΥ'!K4+'13-ντιΜιΧο'!BY4</f>
        <v>6.9600000000000009</v>
      </c>
      <c r="Q4" s="332">
        <f>'13-ντιΜιΧο'!BX4</f>
        <v>24.779999999999998</v>
      </c>
      <c r="R4" s="282"/>
      <c r="S4" s="275"/>
      <c r="T4" s="275"/>
      <c r="U4" s="275"/>
      <c r="V4" s="275"/>
      <c r="W4" s="275"/>
      <c r="X4" s="278"/>
    </row>
    <row r="5" spans="1:28" s="5" customFormat="1" ht="12" thickBot="1">
      <c r="A5" s="496">
        <f>'1-συμβολαια'!A5</f>
        <v>0</v>
      </c>
      <c r="B5" s="497" t="str">
        <f>'1-συμβολαια'!C5</f>
        <v>χρησικτησία οικοπέδου = νικολουδηΣαββατουλα ΑΝΤΑΛΑΓΗ άτυπη</v>
      </c>
      <c r="C5" s="502">
        <f>'1-συμβολαια'!D5</f>
        <v>22222</v>
      </c>
      <c r="D5" s="416"/>
      <c r="E5" s="416"/>
      <c r="F5" s="416"/>
      <c r="G5" s="416"/>
      <c r="H5" s="416"/>
      <c r="I5" s="416"/>
      <c r="J5" s="414">
        <f>'1-συμβολαια'!N5</f>
        <v>0</v>
      </c>
      <c r="K5" s="414">
        <f>'2-δικαιώμ'!O5+'5-αντίγρ'!O5</f>
        <v>41.323293999999997</v>
      </c>
      <c r="L5" s="414"/>
      <c r="M5" s="414">
        <f>'1-συμβολαια'!O5</f>
        <v>247.26666600000004</v>
      </c>
      <c r="N5" s="414">
        <f t="shared" si="0"/>
        <v>41.323293999999997</v>
      </c>
      <c r="O5" s="414">
        <f>'8-κ-15-17'!AG5</f>
        <v>0</v>
      </c>
      <c r="P5" s="414">
        <f>'11-χαρτόσ'!L5+'5-αντίγρ'!AM5+'6-μεταγρ'!N5+'7-προςΔΟΥ'!K5+'13-ντιΜιΧο'!BY5</f>
        <v>6.9600000000000009</v>
      </c>
      <c r="Q5" s="414">
        <f>'13-ντιΜιΧο'!BX5</f>
        <v>72.759999999999991</v>
      </c>
      <c r="R5" s="503"/>
      <c r="S5" s="470"/>
      <c r="T5" s="470"/>
      <c r="U5" s="470"/>
      <c r="V5" s="275"/>
      <c r="W5" s="275"/>
      <c r="X5" s="278"/>
    </row>
    <row r="6" spans="1:28" s="5" customFormat="1">
      <c r="A6" s="460" t="str">
        <f>'1-συμβολαια'!A6</f>
        <v>2ο</v>
      </c>
      <c r="B6" s="494" t="str">
        <f>'1-συμβολαια'!C6</f>
        <v>γονική</v>
      </c>
      <c r="C6" s="501">
        <f>'1-συμβολαια'!D6</f>
        <v>5454.92</v>
      </c>
      <c r="D6" s="333"/>
      <c r="E6" s="333"/>
      <c r="F6" s="333"/>
      <c r="G6" s="333"/>
      <c r="H6" s="333"/>
      <c r="I6" s="333"/>
      <c r="J6" s="332">
        <f>'1-συμβολαια'!N6</f>
        <v>53.04</v>
      </c>
      <c r="K6" s="332">
        <f>'2-δικαιώμ'!O6+'5-αντίγρ'!O6</f>
        <v>14.695550000000001</v>
      </c>
      <c r="L6" s="332">
        <v>3.33</v>
      </c>
      <c r="M6" s="332">
        <f>'1-συμβολαια'!O6</f>
        <v>90.10945000000001</v>
      </c>
      <c r="N6" s="332">
        <f t="shared" si="0"/>
        <v>11.365550000000001</v>
      </c>
      <c r="O6" s="332">
        <f>'8-κ-15-17'!AG6</f>
        <v>42.27563</v>
      </c>
      <c r="P6" s="332">
        <f>'11-χαρτόσ'!L6+'5-αντίγρ'!AM6+'6-μεταγρ'!N6+'7-προςΔΟΥ'!K6+'13-ντιΜιΧο'!BY6</f>
        <v>15.88</v>
      </c>
      <c r="Q6" s="332">
        <f>'13-ντιΜιΧο'!BX6</f>
        <v>320.14999999999998</v>
      </c>
      <c r="R6" s="282"/>
      <c r="S6" s="279"/>
      <c r="T6" s="279"/>
      <c r="U6" s="279"/>
      <c r="V6" s="275"/>
      <c r="W6" s="275"/>
      <c r="X6" s="278"/>
    </row>
    <row r="7" spans="1:28" s="5" customFormat="1">
      <c r="A7" s="356" t="str">
        <f>'1-συμβολαια'!A7</f>
        <v>3ο</v>
      </c>
      <c r="B7" s="368" t="str">
        <f>'1-συμβολαια'!C7</f>
        <v>γονική</v>
      </c>
      <c r="C7" s="372">
        <f>'1-συμβολαια'!D7</f>
        <v>4027.53</v>
      </c>
      <c r="D7" s="343"/>
      <c r="E7" s="343"/>
      <c r="F7" s="343"/>
      <c r="G7" s="343"/>
      <c r="H7" s="343"/>
      <c r="I7" s="343"/>
      <c r="J7" s="332">
        <f>'1-συμβολαια'!N7</f>
        <v>64.09</v>
      </c>
      <c r="K7" s="332">
        <f>'2-δικαιώμ'!O7+'5-αντίγρ'!O7</f>
        <v>11.415647999999999</v>
      </c>
      <c r="L7" s="332">
        <v>4.4400000000000004</v>
      </c>
      <c r="M7" s="332">
        <f>'1-συμβολαια'!O7</f>
        <v>46.13067199999999</v>
      </c>
      <c r="N7" s="332">
        <f t="shared" si="0"/>
        <v>6.9756479999999987</v>
      </c>
      <c r="O7" s="332">
        <f>'8-κ-15-17'!AG7</f>
        <v>31.213357500000001</v>
      </c>
      <c r="P7" s="332">
        <f>'11-χαρτόσ'!L7+'5-αντίγρ'!AM7+'6-μεταγρ'!N7+'7-προςΔΟΥ'!K7+'13-ντιΜιΧο'!BY7</f>
        <v>15.88</v>
      </c>
      <c r="Q7" s="332">
        <f>'13-ντιΜιΧο'!BX7</f>
        <v>276.16999999999996</v>
      </c>
      <c r="R7" s="282"/>
      <c r="S7" s="275"/>
      <c r="T7" s="275"/>
      <c r="U7" s="275"/>
      <c r="V7" s="275"/>
      <c r="W7" s="275"/>
      <c r="X7" s="278"/>
    </row>
    <row r="8" spans="1:28" s="5" customFormat="1">
      <c r="A8" s="356" t="str">
        <f>'1-συμβολαια'!A8</f>
        <v>4ο</v>
      </c>
      <c r="B8" s="368" t="str">
        <f>'1-συμβολαια'!C8</f>
        <v>δωρεά</v>
      </c>
      <c r="C8" s="372">
        <f>'1-συμβολαια'!D8</f>
        <v>3068.08</v>
      </c>
      <c r="D8" s="343"/>
      <c r="E8" s="343"/>
      <c r="F8" s="343"/>
      <c r="G8" s="343"/>
      <c r="H8" s="343"/>
      <c r="I8" s="343"/>
      <c r="J8" s="332">
        <f>'1-συμβολαια'!N8</f>
        <v>64.81</v>
      </c>
      <c r="K8" s="332">
        <f>'2-δικαιώμ'!O8+'5-αντίγρ'!O8</f>
        <v>9.6886379999999992</v>
      </c>
      <c r="L8" s="332">
        <v>6.66</v>
      </c>
      <c r="M8" s="332">
        <f>'1-συμβολαια'!O8</f>
        <v>29.164282</v>
      </c>
      <c r="N8" s="332">
        <f t="shared" si="0"/>
        <v>3.0286379999999991</v>
      </c>
      <c r="O8" s="332">
        <f>'8-κ-15-17'!AG8</f>
        <v>0.32762000000000313</v>
      </c>
      <c r="P8" s="332">
        <f>'11-χαρτόσ'!L8+'5-αντίγρ'!AM8+'6-μεταγρ'!N8+'7-προςΔΟΥ'!K8+'13-ντιΜιΧο'!BY8</f>
        <v>17.54</v>
      </c>
      <c r="Q8" s="332">
        <f>'13-ντιΜιΧο'!BX8</f>
        <v>204.79000000000005</v>
      </c>
      <c r="R8" s="282"/>
      <c r="S8" s="275"/>
      <c r="T8" s="275"/>
      <c r="U8" s="275"/>
      <c r="V8" s="275"/>
      <c r="W8" s="275"/>
      <c r="X8" s="278"/>
    </row>
    <row r="9" spans="1:28">
      <c r="A9" s="731" t="s">
        <v>56</v>
      </c>
      <c r="B9" s="731"/>
      <c r="C9" s="731"/>
      <c r="D9" s="11">
        <f t="shared" ref="D9:X9" si="1">SUM(D3:D8)</f>
        <v>0</v>
      </c>
      <c r="E9" s="11">
        <f t="shared" si="1"/>
        <v>0</v>
      </c>
      <c r="F9" s="11">
        <f t="shared" si="1"/>
        <v>0</v>
      </c>
      <c r="G9" s="11">
        <f t="shared" si="1"/>
        <v>0</v>
      </c>
      <c r="H9" s="11">
        <f t="shared" si="1"/>
        <v>0</v>
      </c>
      <c r="I9" s="11">
        <f t="shared" si="1"/>
        <v>0</v>
      </c>
      <c r="J9" s="11">
        <f t="shared" si="1"/>
        <v>251.82</v>
      </c>
      <c r="K9" s="11">
        <f t="shared" si="1"/>
        <v>86.872823999999994</v>
      </c>
      <c r="L9" s="11">
        <f t="shared" si="1"/>
        <v>19.790000000000003</v>
      </c>
      <c r="M9" s="11">
        <f t="shared" si="1"/>
        <v>531.81933600000002</v>
      </c>
      <c r="N9" s="11">
        <f t="shared" si="1"/>
        <v>67.082823999999988</v>
      </c>
      <c r="O9" s="11">
        <f t="shared" si="1"/>
        <v>82.426857500000011</v>
      </c>
      <c r="P9" s="11">
        <f t="shared" si="1"/>
        <v>76.599999999999994</v>
      </c>
      <c r="Q9" s="11">
        <f t="shared" si="1"/>
        <v>1489.4199999999998</v>
      </c>
      <c r="R9" s="283">
        <f t="shared" si="1"/>
        <v>0</v>
      </c>
      <c r="S9" s="283">
        <f t="shared" si="1"/>
        <v>0</v>
      </c>
      <c r="T9" s="283">
        <f t="shared" si="1"/>
        <v>0</v>
      </c>
      <c r="U9" s="283">
        <f t="shared" si="1"/>
        <v>0</v>
      </c>
      <c r="V9" s="283">
        <f t="shared" si="1"/>
        <v>0</v>
      </c>
      <c r="W9" s="283">
        <f t="shared" si="1"/>
        <v>0</v>
      </c>
      <c r="X9" s="284">
        <f t="shared" si="1"/>
        <v>0</v>
      </c>
    </row>
    <row r="11" spans="1:28" ht="15.75" customHeight="1">
      <c r="L11" s="65"/>
      <c r="R11" s="2"/>
      <c r="S11" s="2"/>
      <c r="T11" s="2"/>
      <c r="U11" s="2"/>
      <c r="V11" s="2"/>
    </row>
    <row r="12" spans="1:28">
      <c r="S12" s="86"/>
      <c r="T12" s="86"/>
      <c r="U12" s="86"/>
      <c r="V12" s="86"/>
      <c r="W12" s="86"/>
      <c r="X12" s="86"/>
      <c r="Y12" s="86"/>
      <c r="Z12" s="86"/>
      <c r="AA12" s="86"/>
      <c r="AB12" s="86"/>
    </row>
    <row r="13" spans="1:28">
      <c r="S13" s="86"/>
      <c r="T13" s="86"/>
      <c r="U13" s="86"/>
      <c r="V13" s="86"/>
      <c r="W13" s="86"/>
      <c r="X13" s="86"/>
      <c r="Y13" s="86"/>
      <c r="Z13" s="86"/>
      <c r="AA13" s="86"/>
      <c r="AB13" s="86"/>
    </row>
    <row r="14" spans="1:28" s="5" customFormat="1">
      <c r="A14" s="59"/>
      <c r="B14" s="11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</row>
    <row r="15" spans="1:28">
      <c r="K15" s="4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9:C9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47" t="s">
        <v>75</v>
      </c>
      <c r="B1" s="747"/>
      <c r="C1" s="747"/>
      <c r="D1" s="747"/>
      <c r="E1" s="747"/>
      <c r="F1" s="747"/>
      <c r="G1" s="747"/>
      <c r="H1" s="747"/>
      <c r="I1" s="747"/>
      <c r="J1" s="747"/>
      <c r="K1" s="747"/>
      <c r="L1" s="747"/>
      <c r="M1" s="747"/>
      <c r="N1" s="747"/>
      <c r="O1" s="747"/>
      <c r="P1" s="747"/>
      <c r="Q1" s="747"/>
    </row>
    <row r="2" spans="1:23" s="9" customFormat="1" ht="23.25" customHeight="1" thickBot="1">
      <c r="A2" s="250" t="s">
        <v>19</v>
      </c>
      <c r="B2" s="748" t="s">
        <v>29</v>
      </c>
      <c r="C2" s="749"/>
      <c r="D2" s="750"/>
      <c r="E2" s="751" t="s">
        <v>83</v>
      </c>
      <c r="F2" s="752"/>
      <c r="G2" s="752"/>
      <c r="H2" s="753"/>
      <c r="I2" s="754" t="s">
        <v>83</v>
      </c>
      <c r="J2" s="755"/>
      <c r="K2" s="755"/>
      <c r="L2" s="756"/>
      <c r="M2" s="251" t="s">
        <v>38</v>
      </c>
      <c r="N2" s="251" t="s">
        <v>39</v>
      </c>
      <c r="O2" s="251" t="s">
        <v>40</v>
      </c>
      <c r="P2" s="251" t="s">
        <v>41</v>
      </c>
      <c r="Q2" s="251" t="s">
        <v>42</v>
      </c>
    </row>
    <row r="3" spans="1:23" s="18" customFormat="1">
      <c r="A3" s="30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 t="str">
        <f>'1-συμβολαια'!A6</f>
        <v>2ο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 t="str">
        <f>'1-συμβολαια'!A7</f>
        <v>3ο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 t="str">
        <f>'1-συμβολαια'!A8</f>
        <v>4ο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44" t="s">
        <v>103</v>
      </c>
      <c r="C10" s="744"/>
      <c r="D10" s="744"/>
      <c r="E10" s="744"/>
      <c r="F10" s="744"/>
      <c r="G10" s="744"/>
      <c r="H10" s="744"/>
      <c r="I10" s="744"/>
      <c r="J10" s="744"/>
      <c r="K10" s="744"/>
      <c r="L10" s="3"/>
      <c r="M10" s="3"/>
      <c r="N10" s="3"/>
      <c r="O10" s="3"/>
      <c r="P10" s="3"/>
      <c r="Q10" s="3"/>
    </row>
    <row r="11" spans="1:23" ht="15.75" customHeight="1">
      <c r="C11" s="746" t="s">
        <v>104</v>
      </c>
      <c r="D11" s="746"/>
      <c r="E11" s="746"/>
      <c r="F11" s="746"/>
      <c r="G11" s="746"/>
      <c r="H11" s="746"/>
      <c r="I11" s="746"/>
      <c r="J11" s="746"/>
      <c r="K11" s="746"/>
      <c r="L11" s="3"/>
      <c r="M11" s="3"/>
      <c r="N11" s="3"/>
      <c r="O11" s="3"/>
      <c r="P11" s="3"/>
      <c r="Q11" s="3"/>
    </row>
    <row r="12" spans="1:23" ht="15.75" customHeight="1">
      <c r="D12" s="744" t="s">
        <v>286</v>
      </c>
      <c r="E12" s="744"/>
      <c r="F12" s="744"/>
      <c r="G12" s="744"/>
      <c r="H12" s="744"/>
      <c r="I12" s="744"/>
      <c r="J12" s="744"/>
      <c r="K12" s="744"/>
      <c r="L12" s="744"/>
      <c r="M12" s="744"/>
      <c r="N12" s="744"/>
      <c r="O12" s="744"/>
      <c r="P12" s="3"/>
      <c r="Q12" s="3"/>
    </row>
    <row r="13" spans="1:23" s="5" customFormat="1" ht="15.75" customHeight="1">
      <c r="A13" s="59"/>
      <c r="B13" s="248"/>
      <c r="C13" s="248"/>
      <c r="D13" s="249"/>
      <c r="E13" s="746" t="s">
        <v>437</v>
      </c>
      <c r="F13" s="746"/>
      <c r="G13" s="746"/>
      <c r="H13" s="746"/>
      <c r="I13" s="746"/>
      <c r="J13" s="746"/>
      <c r="K13" s="746"/>
      <c r="L13" s="746"/>
      <c r="M13" s="746"/>
      <c r="N13" s="3"/>
      <c r="O13" s="3"/>
      <c r="P13" s="3"/>
      <c r="Q13" s="3"/>
    </row>
    <row r="14" spans="1:23" s="5" customFormat="1" ht="15.75" customHeight="1">
      <c r="A14" s="59"/>
      <c r="B14" s="248"/>
      <c r="C14" s="248"/>
      <c r="D14" s="249"/>
      <c r="E14" s="6"/>
      <c r="F14" s="744" t="s">
        <v>126</v>
      </c>
      <c r="G14" s="744"/>
      <c r="H14" s="744"/>
      <c r="I14" s="744"/>
      <c r="J14" s="744"/>
      <c r="K14" s="744"/>
      <c r="L14" s="744"/>
      <c r="M14" s="744"/>
      <c r="N14" s="744"/>
      <c r="O14" s="744"/>
      <c r="P14" s="744"/>
      <c r="Q14" s="3"/>
    </row>
    <row r="15" spans="1:23" s="5" customFormat="1" ht="15.75" customHeight="1">
      <c r="A15" s="59"/>
      <c r="B15" s="248"/>
      <c r="C15" s="248"/>
      <c r="D15" s="249"/>
      <c r="E15" s="6"/>
      <c r="F15" s="6"/>
      <c r="G15" s="746" t="s">
        <v>438</v>
      </c>
      <c r="H15" s="746"/>
      <c r="I15" s="746"/>
      <c r="J15" s="746"/>
      <c r="K15" s="746"/>
      <c r="L15" s="746"/>
      <c r="M15" s="746"/>
      <c r="N15" s="746"/>
      <c r="O15" s="746"/>
      <c r="P15" s="746"/>
      <c r="Q15" s="746"/>
    </row>
    <row r="16" spans="1:23" s="5" customFormat="1" ht="15.75" customHeight="1">
      <c r="A16" s="59"/>
      <c r="B16" s="248"/>
      <c r="C16" s="248"/>
      <c r="D16" s="249"/>
      <c r="E16" s="6"/>
      <c r="F16" s="6"/>
      <c r="G16" s="241"/>
      <c r="H16" s="744" t="s">
        <v>105</v>
      </c>
      <c r="I16" s="744"/>
      <c r="J16" s="744"/>
      <c r="K16" s="744"/>
      <c r="L16" s="744"/>
      <c r="M16" s="744"/>
      <c r="N16" s="744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9"/>
      <c r="B17" s="248"/>
      <c r="C17" s="248"/>
      <c r="D17" s="249"/>
      <c r="E17" s="6"/>
      <c r="F17" s="6"/>
      <c r="G17" s="241"/>
      <c r="H17" s="6"/>
      <c r="I17" s="746" t="s">
        <v>106</v>
      </c>
      <c r="J17" s="746"/>
      <c r="K17" s="746"/>
      <c r="L17" s="746"/>
      <c r="M17" s="746"/>
      <c r="N17" s="746"/>
      <c r="O17" s="746"/>
      <c r="P17" s="746"/>
      <c r="Q17" s="746"/>
      <c r="R17" s="746"/>
      <c r="S17" s="3"/>
      <c r="T17" s="3"/>
      <c r="U17" s="3"/>
      <c r="V17" s="3"/>
      <c r="W17" s="3"/>
    </row>
    <row r="18" spans="1:23" s="5" customFormat="1" ht="15.75" customHeight="1">
      <c r="A18" s="59"/>
      <c r="B18" s="248"/>
      <c r="C18" s="248"/>
      <c r="D18" s="249"/>
      <c r="E18" s="6"/>
      <c r="F18" s="6"/>
      <c r="G18" s="241"/>
      <c r="H18" s="6"/>
      <c r="I18" s="6"/>
      <c r="J18" s="744" t="s">
        <v>107</v>
      </c>
      <c r="K18" s="744"/>
      <c r="L18" s="744"/>
      <c r="M18" s="744"/>
      <c r="N18" s="744"/>
      <c r="O18" s="744"/>
      <c r="P18" s="744"/>
      <c r="Q18" s="744"/>
      <c r="R18" s="3"/>
      <c r="S18" s="3"/>
      <c r="T18" s="3"/>
      <c r="U18" s="3"/>
      <c r="V18" s="3"/>
      <c r="W18" s="3"/>
    </row>
    <row r="19" spans="1:23" s="5" customFormat="1" ht="15.75" customHeight="1">
      <c r="A19" s="59"/>
      <c r="B19" s="248"/>
      <c r="C19" s="248"/>
      <c r="D19" s="249"/>
      <c r="E19" s="6"/>
      <c r="F19" s="6"/>
      <c r="G19" s="241"/>
      <c r="H19" s="6"/>
      <c r="I19" s="6"/>
      <c r="J19" s="6"/>
      <c r="K19" s="745" t="s">
        <v>127</v>
      </c>
      <c r="L19" s="745"/>
      <c r="M19" s="745"/>
      <c r="N19" s="745"/>
      <c r="O19" s="745"/>
      <c r="P19" s="745"/>
      <c r="Q19" s="745"/>
      <c r="R19" s="745"/>
      <c r="S19" s="745"/>
      <c r="T19" s="745"/>
      <c r="U19" s="745"/>
      <c r="V19" s="3"/>
      <c r="W19" s="3"/>
    </row>
    <row r="20" spans="1:23" s="5" customFormat="1" ht="15.75" customHeight="1">
      <c r="A20" s="59"/>
      <c r="B20" s="248"/>
      <c r="C20" s="248"/>
      <c r="D20" s="249"/>
      <c r="E20" s="6"/>
      <c r="F20" s="6"/>
      <c r="G20" s="241"/>
      <c r="H20" s="6"/>
      <c r="I20" s="6"/>
      <c r="J20" s="6"/>
      <c r="K20" s="6"/>
      <c r="L20" s="744" t="s">
        <v>108</v>
      </c>
      <c r="M20" s="744"/>
      <c r="N20" s="744"/>
      <c r="O20" s="744"/>
      <c r="P20" s="744"/>
      <c r="Q20" s="744"/>
      <c r="R20" s="744"/>
      <c r="S20" s="744"/>
      <c r="T20" s="3"/>
      <c r="U20" s="3"/>
      <c r="V20" s="3"/>
      <c r="W20" s="3"/>
    </row>
    <row r="21" spans="1:23" s="5" customFormat="1" ht="15.75" customHeight="1">
      <c r="A21" s="59"/>
      <c r="B21" s="248"/>
      <c r="C21" s="248"/>
      <c r="D21" s="249"/>
      <c r="E21" s="6"/>
      <c r="F21" s="6"/>
      <c r="G21" s="241"/>
      <c r="H21" s="6"/>
      <c r="I21" s="6"/>
      <c r="J21" s="6"/>
      <c r="K21" s="6"/>
      <c r="L21" s="3"/>
      <c r="M21" s="746" t="s">
        <v>109</v>
      </c>
      <c r="N21" s="746"/>
      <c r="O21" s="746"/>
      <c r="P21" s="746"/>
      <c r="Q21" s="746"/>
      <c r="R21" s="746"/>
      <c r="S21" s="746"/>
      <c r="T21" s="746"/>
      <c r="U21" s="3"/>
      <c r="V21" s="3"/>
      <c r="W21" s="3"/>
    </row>
    <row r="22" spans="1:23" s="5" customFormat="1" ht="15.75" customHeight="1">
      <c r="A22" s="59"/>
      <c r="B22" s="248"/>
      <c r="C22" s="248"/>
      <c r="D22" s="249"/>
      <c r="E22" s="6"/>
      <c r="F22" s="6"/>
      <c r="G22" s="241"/>
      <c r="H22" s="6"/>
      <c r="I22" s="6"/>
      <c r="J22" s="6"/>
      <c r="K22" s="6"/>
      <c r="L22" s="3"/>
      <c r="M22" s="3"/>
      <c r="N22" s="744" t="s">
        <v>110</v>
      </c>
      <c r="O22" s="744"/>
      <c r="P22" s="744"/>
      <c r="Q22" s="744"/>
      <c r="R22" s="744"/>
      <c r="S22" s="744"/>
      <c r="T22" s="744"/>
      <c r="U22" s="744"/>
      <c r="V22" s="744"/>
      <c r="W22" s="744"/>
    </row>
    <row r="23" spans="1:23" s="5" customFormat="1" ht="15.75" customHeight="1">
      <c r="A23" s="59"/>
      <c r="B23" s="248"/>
      <c r="C23" s="248"/>
      <c r="D23" s="249"/>
      <c r="E23" s="6"/>
      <c r="F23" s="6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747" t="s">
        <v>75</v>
      </c>
      <c r="B1" s="747"/>
      <c r="C1" s="747"/>
      <c r="D1" s="747"/>
      <c r="E1" s="747"/>
      <c r="F1" s="747"/>
      <c r="G1" s="747"/>
      <c r="H1" s="747"/>
      <c r="I1" s="747"/>
      <c r="J1" s="747"/>
      <c r="K1" s="747"/>
      <c r="L1" s="747"/>
      <c r="M1" s="747"/>
      <c r="N1" s="747"/>
      <c r="O1" s="747"/>
      <c r="P1" s="747"/>
      <c r="Q1" s="747"/>
      <c r="R1" s="747"/>
      <c r="S1" s="747"/>
      <c r="T1" s="747"/>
    </row>
    <row r="2" spans="1:20" s="9" customFormat="1" ht="23.25" customHeight="1" thickBot="1">
      <c r="A2" s="250" t="s">
        <v>19</v>
      </c>
      <c r="B2" s="748" t="s">
        <v>29</v>
      </c>
      <c r="C2" s="749"/>
      <c r="D2" s="750"/>
      <c r="E2" s="751" t="s">
        <v>83</v>
      </c>
      <c r="F2" s="752"/>
      <c r="G2" s="753"/>
      <c r="H2" s="758" t="s">
        <v>83</v>
      </c>
      <c r="I2" s="759"/>
      <c r="J2" s="760"/>
      <c r="K2" s="754" t="s">
        <v>83</v>
      </c>
      <c r="L2" s="755"/>
      <c r="M2" s="756"/>
      <c r="N2" s="251" t="s">
        <v>36</v>
      </c>
      <c r="O2" s="251" t="s">
        <v>37</v>
      </c>
      <c r="P2" s="251" t="s">
        <v>38</v>
      </c>
      <c r="Q2" s="251" t="s">
        <v>39</v>
      </c>
      <c r="R2" s="251" t="s">
        <v>40</v>
      </c>
      <c r="S2" s="251" t="s">
        <v>41</v>
      </c>
      <c r="T2" s="251" t="s">
        <v>42</v>
      </c>
    </row>
    <row r="3" spans="1:20" s="18" customFormat="1">
      <c r="A3" s="30" t="str">
        <f>'1-συμβολαια'!A3</f>
        <v>1ο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8" customFormat="1">
      <c r="A5" s="30">
        <f>'1-συμβολαια'!A5</f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8" customFormat="1">
      <c r="A6" s="30" t="str">
        <f>'1-συμβολαια'!A6</f>
        <v>2ο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8" customFormat="1">
      <c r="A7" s="30" t="str">
        <f>'1-συμβολαια'!A7</f>
        <v>3ο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8" customFormat="1">
      <c r="A8" s="30" t="str">
        <f>'1-συμβολαια'!A8</f>
        <v>4ο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10" spans="1:20" ht="15.75">
      <c r="B10" s="744" t="s">
        <v>111</v>
      </c>
      <c r="C10" s="744"/>
      <c r="D10" s="744"/>
      <c r="E10" s="744"/>
      <c r="F10" s="744"/>
      <c r="G10" s="744"/>
      <c r="H10" s="744"/>
      <c r="I10" s="121"/>
      <c r="J10" s="6"/>
      <c r="K10" s="6"/>
      <c r="L10" s="3"/>
      <c r="M10" s="3"/>
      <c r="N10" s="3"/>
      <c r="O10" s="3"/>
    </row>
    <row r="11" spans="1:20" ht="15.75">
      <c r="B11" s="6"/>
      <c r="C11" s="746" t="s">
        <v>112</v>
      </c>
      <c r="D11" s="746"/>
      <c r="E11" s="746"/>
      <c r="F11" s="746"/>
      <c r="G11" s="746"/>
      <c r="H11" s="746"/>
      <c r="I11" s="746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44" t="s">
        <v>113</v>
      </c>
      <c r="E12" s="744"/>
      <c r="F12" s="744"/>
      <c r="G12" s="744"/>
      <c r="H12" s="744"/>
      <c r="I12" s="744"/>
      <c r="J12" s="744"/>
      <c r="K12" s="744"/>
      <c r="L12" s="3"/>
      <c r="M12" s="3"/>
      <c r="N12" s="3"/>
      <c r="O12" s="3"/>
    </row>
    <row r="13" spans="1:20" ht="15.75" customHeight="1">
      <c r="B13" s="6"/>
      <c r="C13" s="6"/>
      <c r="D13" s="6"/>
      <c r="E13" s="757" t="s">
        <v>118</v>
      </c>
      <c r="F13" s="757"/>
      <c r="G13" s="757"/>
      <c r="H13" s="757"/>
      <c r="I13" s="757"/>
      <c r="J13" s="757"/>
      <c r="K13" s="757"/>
      <c r="L13" s="757"/>
      <c r="M13" s="3"/>
      <c r="N13" s="3"/>
      <c r="O13" s="3"/>
    </row>
    <row r="14" spans="1:20" ht="15.75" customHeight="1">
      <c r="B14" s="6"/>
      <c r="C14" s="6"/>
      <c r="D14" s="6"/>
      <c r="E14" s="6"/>
      <c r="F14" s="744" t="s">
        <v>114</v>
      </c>
      <c r="G14" s="744"/>
      <c r="H14" s="744"/>
      <c r="I14" s="744"/>
      <c r="J14" s="744"/>
      <c r="K14" s="744"/>
      <c r="L14" s="744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46" t="s">
        <v>115</v>
      </c>
      <c r="H15" s="746"/>
      <c r="I15" s="746"/>
      <c r="J15" s="746"/>
      <c r="K15" s="746"/>
      <c r="L15" s="746"/>
      <c r="M15" s="746"/>
      <c r="N15" s="3"/>
      <c r="O15" s="3"/>
    </row>
    <row r="16" spans="1:20" ht="15.75">
      <c r="B16" s="6"/>
      <c r="C16" s="6"/>
      <c r="D16" s="6"/>
      <c r="E16" s="6"/>
      <c r="F16" s="6"/>
      <c r="G16" s="6"/>
      <c r="H16" s="744" t="s">
        <v>116</v>
      </c>
      <c r="I16" s="744"/>
      <c r="J16" s="744"/>
      <c r="K16" s="744"/>
      <c r="L16" s="744"/>
      <c r="M16" s="744"/>
      <c r="N16" s="744"/>
      <c r="O16" s="3"/>
    </row>
    <row r="17" spans="2:15" ht="15.75">
      <c r="B17" s="6"/>
      <c r="C17" s="6"/>
      <c r="D17" s="6"/>
      <c r="E17" s="6"/>
      <c r="F17" s="6"/>
      <c r="G17" s="6"/>
      <c r="H17" s="6"/>
      <c r="I17" s="746" t="s">
        <v>117</v>
      </c>
      <c r="J17" s="746"/>
      <c r="K17" s="746"/>
      <c r="L17" s="746"/>
      <c r="M17" s="746"/>
      <c r="N17" s="746"/>
      <c r="O17" s="746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9" sqref="A9:XFD16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598" t="s">
        <v>65</v>
      </c>
      <c r="B1" s="598"/>
      <c r="C1" s="767" t="s">
        <v>66</v>
      </c>
      <c r="D1" s="767"/>
      <c r="E1" s="598" t="s">
        <v>0</v>
      </c>
      <c r="F1" s="598"/>
      <c r="G1" s="765" t="s">
        <v>10</v>
      </c>
      <c r="H1" s="765"/>
      <c r="I1" s="765"/>
      <c r="J1" s="598" t="s">
        <v>8</v>
      </c>
      <c r="K1" s="598"/>
      <c r="L1" s="768" t="s">
        <v>439</v>
      </c>
      <c r="M1" s="769"/>
      <c r="N1" s="769"/>
      <c r="O1" s="770"/>
      <c r="P1" s="766" t="s">
        <v>64</v>
      </c>
      <c r="Q1" s="766"/>
      <c r="R1" s="765" t="s">
        <v>55</v>
      </c>
      <c r="S1" s="765"/>
      <c r="T1" s="763" t="s">
        <v>46</v>
      </c>
      <c r="U1" s="761" t="s">
        <v>83</v>
      </c>
      <c r="V1" s="761"/>
      <c r="W1" s="761"/>
      <c r="X1" s="761"/>
      <c r="Y1" s="761"/>
      <c r="Z1" s="761"/>
      <c r="AA1" s="761"/>
      <c r="AB1" s="761"/>
      <c r="AC1" s="761"/>
    </row>
    <row r="2" spans="1:35" s="12" customFormat="1" ht="15.75" customHeight="1" thickBot="1">
      <c r="A2" s="97"/>
      <c r="B2" s="52"/>
      <c r="C2" s="87"/>
      <c r="D2" s="55" t="s">
        <v>67</v>
      </c>
      <c r="E2" s="98"/>
      <c r="F2" s="53" t="s">
        <v>67</v>
      </c>
      <c r="G2" s="49" t="s">
        <v>11</v>
      </c>
      <c r="H2" s="47" t="s">
        <v>12</v>
      </c>
      <c r="I2" s="48" t="s">
        <v>29</v>
      </c>
      <c r="J2" s="75" t="s">
        <v>23</v>
      </c>
      <c r="K2" s="54" t="s">
        <v>67</v>
      </c>
      <c r="L2" s="75" t="s">
        <v>316</v>
      </c>
      <c r="M2" s="75" t="s">
        <v>320</v>
      </c>
      <c r="N2" s="75" t="s">
        <v>321</v>
      </c>
      <c r="O2" s="247" t="s">
        <v>29</v>
      </c>
      <c r="P2" s="61" t="s">
        <v>23</v>
      </c>
      <c r="Q2" s="54" t="s">
        <v>67</v>
      </c>
      <c r="R2" s="75" t="s">
        <v>23</v>
      </c>
      <c r="S2" s="36" t="s">
        <v>67</v>
      </c>
      <c r="T2" s="764"/>
      <c r="U2" s="762"/>
      <c r="V2" s="762"/>
      <c r="W2" s="762"/>
      <c r="X2" s="762"/>
      <c r="Y2" s="762"/>
      <c r="Z2" s="762"/>
      <c r="AA2" s="762"/>
      <c r="AB2" s="762"/>
      <c r="AC2" s="762"/>
    </row>
    <row r="3" spans="1:35" s="18" customFormat="1">
      <c r="A3" s="13" t="str">
        <f>'1-συμβολαια'!A3</f>
        <v>1ο</v>
      </c>
      <c r="B3" s="51"/>
      <c r="C3" s="82">
        <f>'1-συμβολαια'!B3</f>
        <v>37568</v>
      </c>
      <c r="D3" s="19"/>
      <c r="E3" s="93" t="str">
        <f>'1-συμβολαια'!C3</f>
        <v>κληρονομιάς ΑΠΟΔΟΧΗ</v>
      </c>
      <c r="F3" s="14"/>
      <c r="G3" s="15" t="str">
        <f>'4-πολλυπρ'!D3</f>
        <v>219-113 = πατήρ</v>
      </c>
      <c r="H3" s="15" t="str">
        <f>'4-πολλυπρ'!I3</f>
        <v>219-113 = υιός 1ος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1.0659000000000005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2">
        <f>'1-συμβολαια'!B4</f>
        <v>0</v>
      </c>
      <c r="D4" s="19"/>
      <c r="E4" s="93" t="str">
        <f>'1-συμβολαια'!C4</f>
        <v>χρησικτησία αγροτεμαχίων {0,7 &amp; 1,8στρ} = 19?? πατρός ΔΩΡΕΑ άτυπη</v>
      </c>
      <c r="F4" s="14"/>
      <c r="G4" s="15" t="str">
        <f>'4-πολλυπρ'!D4</f>
        <v>παππούς</v>
      </c>
      <c r="H4" s="15" t="str">
        <f>'4-πολλυπρ'!I4</f>
        <v>219-113 = πατήρ</v>
      </c>
      <c r="I4" s="20"/>
      <c r="J4" s="20">
        <f>'1-συμβολαια'!D4</f>
        <v>1111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1"/>
      <c r="C5" s="82">
        <f>'1-συμβολαια'!B5</f>
        <v>0</v>
      </c>
      <c r="D5" s="19"/>
      <c r="E5" s="93" t="str">
        <f>'1-συμβολαια'!C5</f>
        <v>χρησικτησία οικοπέδου = νικολουδηΣαββατουλα ΑΝΤΑΛΑΓΗ άτυπη</v>
      </c>
      <c r="F5" s="14"/>
      <c r="G5" s="15" t="str">
        <f>'4-πολλυπρ'!D5</f>
        <v>;;;???</v>
      </c>
      <c r="H5" s="15" t="str">
        <f>'4-πολλυπρ'!I5</f>
        <v>219-113 = πατήρ</v>
      </c>
      <c r="I5" s="20"/>
      <c r="J5" s="20">
        <f>'1-συμβολαια'!D5</f>
        <v>22222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8"/>
      <c r="V5" s="88"/>
      <c r="W5" s="83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2ο</v>
      </c>
      <c r="B6" s="51"/>
      <c r="C6" s="82">
        <f>'1-συμβολαια'!B6</f>
        <v>37893</v>
      </c>
      <c r="D6" s="19"/>
      <c r="E6" s="93" t="str">
        <f>'1-συμβολαια'!C6</f>
        <v>γονική</v>
      </c>
      <c r="F6" s="14"/>
      <c r="G6" s="15" t="str">
        <f>'4-πολλυπρ'!D6</f>
        <v>219-113 = μήτηρ</v>
      </c>
      <c r="H6" s="15" t="str">
        <f>'4-πολλυπρ'!I6</f>
        <v>219-113 = υιός 1ος</v>
      </c>
      <c r="I6" s="20"/>
      <c r="J6" s="20">
        <f>'1-συμβολαια'!D6</f>
        <v>5454.92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8"/>
      <c r="V6" s="88"/>
      <c r="W6" s="83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3ο</v>
      </c>
      <c r="B7" s="51"/>
      <c r="C7" s="82">
        <f>'1-συμβολαια'!B7</f>
        <v>37893</v>
      </c>
      <c r="D7" s="19"/>
      <c r="E7" s="93" t="str">
        <f>'1-συμβολαια'!C7</f>
        <v>γονική</v>
      </c>
      <c r="F7" s="14"/>
      <c r="G7" s="15" t="str">
        <f>'4-πολλυπρ'!D7</f>
        <v>219-113 = μήτηρ</v>
      </c>
      <c r="H7" s="15" t="str">
        <f>'4-πολλυπρ'!I7</f>
        <v>219-113 = υιός 2ος</v>
      </c>
      <c r="I7" s="20"/>
      <c r="J7" s="20">
        <f>'1-συμβολαια'!D7</f>
        <v>4027.53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8"/>
      <c r="V7" s="88"/>
      <c r="W7" s="83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4ο</v>
      </c>
      <c r="B8" s="51"/>
      <c r="C8" s="82">
        <f>'1-συμβολαια'!B8</f>
        <v>37893</v>
      </c>
      <c r="D8" s="19"/>
      <c r="E8" s="93" t="str">
        <f>'1-συμβολαια'!C8</f>
        <v>δωρεά</v>
      </c>
      <c r="F8" s="14"/>
      <c r="G8" s="15" t="str">
        <f>'4-πολλυπρ'!D8</f>
        <v>219-113 = υιός 2ος</v>
      </c>
      <c r="H8" s="15" t="str">
        <f>'4-πολλυπρ'!I8</f>
        <v>219-113 = υιός 1ος</v>
      </c>
      <c r="I8" s="20"/>
      <c r="J8" s="20">
        <f>'1-συμβολαια'!D8</f>
        <v>3068.08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8"/>
      <c r="V8" s="88"/>
      <c r="W8" s="83"/>
      <c r="X8" s="25"/>
      <c r="Y8" s="25"/>
      <c r="Z8" s="25"/>
      <c r="AA8" s="25"/>
      <c r="AB8" s="25"/>
      <c r="AC8" s="25"/>
    </row>
    <row r="9" spans="1:35">
      <c r="A9" s="567" t="s">
        <v>56</v>
      </c>
      <c r="B9" s="568"/>
      <c r="C9" s="568"/>
      <c r="D9" s="568"/>
      <c r="E9" s="568"/>
      <c r="F9" s="568"/>
      <c r="G9" s="568"/>
      <c r="H9" s="568"/>
      <c r="I9" s="568"/>
      <c r="J9" s="568"/>
      <c r="K9" s="46"/>
      <c r="L9" s="1">
        <f>SUM(L3:L8)</f>
        <v>0</v>
      </c>
      <c r="M9" s="1"/>
      <c r="N9" s="1"/>
      <c r="O9" s="1">
        <f>SUM(O3:O8)</f>
        <v>0</v>
      </c>
      <c r="P9" s="39" t="e">
        <f>SUM(P3:P8)</f>
        <v>#REF!</v>
      </c>
      <c r="Q9" s="1">
        <f>SUM(Q3:Q8)</f>
        <v>0</v>
      </c>
      <c r="R9" s="1">
        <f>SUM(R3:R8)</f>
        <v>1.0659000000000005</v>
      </c>
      <c r="S9" s="1">
        <f>SUM(S3:S8)</f>
        <v>0</v>
      </c>
      <c r="T9" s="3"/>
      <c r="U9" s="84"/>
      <c r="V9" s="84"/>
    </row>
    <row r="10" spans="1:35">
      <c r="T10" s="123"/>
    </row>
    <row r="11" spans="1:35" ht="15.75" customHeight="1">
      <c r="T11" s="123"/>
      <c r="U11" s="744" t="s">
        <v>119</v>
      </c>
      <c r="V11" s="744"/>
      <c r="W11" s="744"/>
      <c r="X11" s="744"/>
      <c r="Y11" s="744"/>
      <c r="Z11" s="744"/>
      <c r="AA11" s="744"/>
      <c r="AB11" s="744"/>
      <c r="AC11" s="744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746" t="s">
        <v>120</v>
      </c>
      <c r="W12" s="746"/>
      <c r="X12" s="746"/>
      <c r="Y12" s="746"/>
      <c r="Z12" s="746"/>
      <c r="AA12" s="746"/>
      <c r="AB12" s="746"/>
      <c r="AC12" s="746"/>
      <c r="AD12" s="746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744" t="s">
        <v>121</v>
      </c>
      <c r="X13" s="744"/>
      <c r="Y13" s="744"/>
      <c r="Z13" s="744"/>
      <c r="AA13" s="744"/>
      <c r="AB13" s="744"/>
      <c r="AC13" s="744"/>
      <c r="AD13" s="744"/>
      <c r="AE13" s="744"/>
      <c r="AF13" s="116"/>
      <c r="AG13" s="116"/>
      <c r="AH13" s="116"/>
      <c r="AI13" s="116"/>
    </row>
    <row r="14" spans="1:35" ht="15.75">
      <c r="U14" s="122"/>
      <c r="V14" s="122"/>
      <c r="W14" s="122"/>
      <c r="X14" s="746" t="s">
        <v>122</v>
      </c>
      <c r="Y14" s="746"/>
      <c r="Z14" s="746"/>
      <c r="AA14" s="746"/>
      <c r="AB14" s="746"/>
      <c r="AC14" s="746"/>
      <c r="AD14" s="746"/>
      <c r="AE14" s="746"/>
      <c r="AF14" s="746"/>
      <c r="AG14" s="116"/>
      <c r="AH14" s="116"/>
      <c r="AI14" s="116"/>
    </row>
    <row r="15" spans="1:35" ht="15.75">
      <c r="U15" s="122"/>
      <c r="V15" s="122"/>
      <c r="W15" s="122"/>
      <c r="X15" s="122"/>
      <c r="Y15" s="744" t="s">
        <v>123</v>
      </c>
      <c r="Z15" s="744"/>
      <c r="AA15" s="744"/>
      <c r="AB15" s="744"/>
      <c r="AC15" s="744"/>
      <c r="AD15" s="744"/>
      <c r="AE15" s="744"/>
      <c r="AF15" s="744"/>
      <c r="AG15" s="744"/>
      <c r="AH15" s="116"/>
      <c r="AI15" s="116"/>
    </row>
    <row r="16" spans="1:35" ht="15.75">
      <c r="U16" s="122"/>
      <c r="V16" s="122"/>
      <c r="W16" s="122"/>
      <c r="X16" s="122"/>
      <c r="Y16" s="122"/>
      <c r="Z16" s="746" t="s">
        <v>124</v>
      </c>
      <c r="AA16" s="746"/>
      <c r="AB16" s="746"/>
      <c r="AC16" s="746"/>
      <c r="AD16" s="746"/>
      <c r="AE16" s="746"/>
      <c r="AF16" s="746"/>
      <c r="AG16" s="746"/>
      <c r="AH16" s="746"/>
      <c r="AI16" s="116"/>
    </row>
    <row r="17" spans="21:35" ht="15.75">
      <c r="U17" s="122"/>
      <c r="V17" s="122"/>
      <c r="W17" s="122"/>
      <c r="X17" s="122"/>
      <c r="Y17" s="122"/>
      <c r="Z17" s="122"/>
      <c r="AA17" s="744" t="s">
        <v>125</v>
      </c>
      <c r="AB17" s="744"/>
      <c r="AC17" s="744"/>
      <c r="AD17" s="744"/>
      <c r="AE17" s="744"/>
      <c r="AF17" s="744"/>
      <c r="AG17" s="744"/>
      <c r="AH17" s="744"/>
      <c r="AI17" s="744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775" t="s">
        <v>31</v>
      </c>
      <c r="B1" s="776"/>
      <c r="C1" s="776"/>
      <c r="D1" s="776"/>
      <c r="E1" s="777"/>
      <c r="F1" s="778" t="s">
        <v>289</v>
      </c>
      <c r="G1" s="779"/>
      <c r="H1" s="779"/>
      <c r="I1" s="780"/>
      <c r="J1" s="771" t="s">
        <v>290</v>
      </c>
      <c r="K1" s="772"/>
      <c r="L1" s="772"/>
      <c r="M1" s="772"/>
      <c r="N1" s="772"/>
      <c r="O1" s="772"/>
      <c r="P1" s="772"/>
      <c r="Q1" s="772"/>
      <c r="R1" s="772"/>
      <c r="S1" s="772"/>
      <c r="T1" s="772"/>
      <c r="U1" s="772"/>
      <c r="V1" s="772"/>
      <c r="W1" s="772"/>
      <c r="X1" s="772"/>
      <c r="Y1" s="773"/>
      <c r="Z1" s="781" t="s">
        <v>291</v>
      </c>
      <c r="AA1" s="782"/>
      <c r="AB1" s="782"/>
      <c r="AC1" s="783"/>
      <c r="AD1" s="771" t="s">
        <v>292</v>
      </c>
      <c r="AE1" s="772"/>
      <c r="AF1" s="772"/>
      <c r="AG1" s="772"/>
      <c r="AH1" s="772"/>
      <c r="AI1" s="772"/>
      <c r="AJ1" s="772"/>
      <c r="AK1" s="772"/>
      <c r="AL1" s="772"/>
      <c r="AM1" s="772"/>
      <c r="AN1" s="772"/>
      <c r="AO1" s="772"/>
      <c r="AP1" s="772"/>
      <c r="AQ1" s="772"/>
      <c r="AR1" s="772"/>
      <c r="AS1" s="773"/>
      <c r="AT1" s="778" t="s">
        <v>293</v>
      </c>
      <c r="AU1" s="779"/>
      <c r="AV1" s="779"/>
      <c r="AW1" s="780"/>
      <c r="AX1" s="771" t="s">
        <v>294</v>
      </c>
      <c r="AY1" s="772"/>
      <c r="AZ1" s="772"/>
      <c r="BA1" s="772"/>
      <c r="BB1" s="772"/>
      <c r="BC1" s="772"/>
      <c r="BD1" s="772"/>
      <c r="BE1" s="772"/>
      <c r="BF1" s="772"/>
      <c r="BG1" s="772"/>
      <c r="BH1" s="772"/>
      <c r="BI1" s="772"/>
      <c r="BJ1" s="772"/>
      <c r="BK1" s="772"/>
      <c r="BL1" s="772"/>
      <c r="BM1" s="773"/>
    </row>
    <row r="2" spans="1:65" s="4" customFormat="1" ht="23.25" customHeight="1">
      <c r="A2" s="184" t="s">
        <v>19</v>
      </c>
      <c r="B2" s="184" t="s">
        <v>295</v>
      </c>
      <c r="C2" s="185" t="s">
        <v>296</v>
      </c>
      <c r="D2" s="550" t="s">
        <v>29</v>
      </c>
      <c r="E2" s="743"/>
      <c r="F2" s="186" t="s">
        <v>297</v>
      </c>
      <c r="G2" s="184" t="s">
        <v>18</v>
      </c>
      <c r="H2" s="186" t="s">
        <v>23</v>
      </c>
      <c r="I2" s="187" t="s">
        <v>83</v>
      </c>
      <c r="J2" s="188" t="s">
        <v>298</v>
      </c>
      <c r="K2" s="188" t="s">
        <v>299</v>
      </c>
      <c r="L2" s="186" t="s">
        <v>300</v>
      </c>
      <c r="M2" s="186" t="s">
        <v>301</v>
      </c>
      <c r="N2" s="186" t="s">
        <v>302</v>
      </c>
      <c r="O2" s="186" t="s">
        <v>303</v>
      </c>
      <c r="P2" s="186" t="s">
        <v>304</v>
      </c>
      <c r="Q2" s="186" t="s">
        <v>305</v>
      </c>
      <c r="R2" s="186" t="s">
        <v>306</v>
      </c>
      <c r="S2" s="186" t="s">
        <v>307</v>
      </c>
      <c r="T2" s="186" t="s">
        <v>308</v>
      </c>
      <c r="U2" s="186" t="s">
        <v>23</v>
      </c>
      <c r="V2" s="186" t="s">
        <v>309</v>
      </c>
      <c r="W2" s="186" t="s">
        <v>310</v>
      </c>
      <c r="X2" s="186" t="s">
        <v>311</v>
      </c>
      <c r="Y2" s="189" t="s">
        <v>312</v>
      </c>
      <c r="Z2" s="186" t="s">
        <v>297</v>
      </c>
      <c r="AA2" s="184" t="s">
        <v>18</v>
      </c>
      <c r="AB2" s="186" t="s">
        <v>23</v>
      </c>
      <c r="AC2" s="190" t="s">
        <v>83</v>
      </c>
      <c r="AD2" s="188" t="s">
        <v>298</v>
      </c>
      <c r="AE2" s="188" t="s">
        <v>299</v>
      </c>
      <c r="AF2" s="186" t="s">
        <v>300</v>
      </c>
      <c r="AG2" s="186" t="s">
        <v>301</v>
      </c>
      <c r="AH2" s="186" t="s">
        <v>302</v>
      </c>
      <c r="AI2" s="186" t="s">
        <v>303</v>
      </c>
      <c r="AJ2" s="186" t="s">
        <v>304</v>
      </c>
      <c r="AK2" s="186" t="s">
        <v>305</v>
      </c>
      <c r="AL2" s="186" t="s">
        <v>306</v>
      </c>
      <c r="AM2" s="186" t="s">
        <v>307</v>
      </c>
      <c r="AN2" s="186" t="s">
        <v>308</v>
      </c>
      <c r="AO2" s="186" t="s">
        <v>23</v>
      </c>
      <c r="AP2" s="186" t="s">
        <v>309</v>
      </c>
      <c r="AQ2" s="186" t="s">
        <v>310</v>
      </c>
      <c r="AR2" s="186" t="s">
        <v>311</v>
      </c>
      <c r="AS2" s="189" t="s">
        <v>312</v>
      </c>
      <c r="AT2" s="186" t="s">
        <v>297</v>
      </c>
      <c r="AU2" s="184" t="s">
        <v>18</v>
      </c>
      <c r="AV2" s="186" t="s">
        <v>23</v>
      </c>
      <c r="AW2" s="187" t="s">
        <v>83</v>
      </c>
      <c r="AX2" s="188" t="s">
        <v>298</v>
      </c>
      <c r="AY2" s="188" t="s">
        <v>299</v>
      </c>
      <c r="AZ2" s="186" t="s">
        <v>300</v>
      </c>
      <c r="BA2" s="186" t="s">
        <v>301</v>
      </c>
      <c r="BB2" s="186" t="s">
        <v>302</v>
      </c>
      <c r="BC2" s="186" t="s">
        <v>303</v>
      </c>
      <c r="BD2" s="186" t="s">
        <v>304</v>
      </c>
      <c r="BE2" s="186" t="s">
        <v>305</v>
      </c>
      <c r="BF2" s="186" t="s">
        <v>306</v>
      </c>
      <c r="BG2" s="186" t="s">
        <v>307</v>
      </c>
      <c r="BH2" s="186" t="s">
        <v>308</v>
      </c>
      <c r="BI2" s="186" t="s">
        <v>23</v>
      </c>
      <c r="BJ2" s="186" t="s">
        <v>309</v>
      </c>
      <c r="BK2" s="186" t="s">
        <v>310</v>
      </c>
      <c r="BL2" s="186" t="s">
        <v>313</v>
      </c>
      <c r="BM2" s="189" t="s">
        <v>312</v>
      </c>
    </row>
    <row r="3" spans="1:65" s="34" customFormat="1">
      <c r="A3" s="30" t="str">
        <f>'1-συμβολαια'!A3</f>
        <v>1ο</v>
      </c>
      <c r="B3" s="15" t="str">
        <f>'4-πολλυπρ'!D3</f>
        <v>219-113 = πατήρ</v>
      </c>
      <c r="C3" s="15" t="str">
        <f>'4-πολλυπρ'!I3</f>
        <v>219-113 = υιός 1ος</v>
      </c>
      <c r="D3" s="32"/>
      <c r="E3" s="30"/>
      <c r="F3" s="30"/>
      <c r="G3" s="31"/>
      <c r="H3" s="30"/>
      <c r="I3" s="30"/>
      <c r="J3" s="30"/>
      <c r="K3" s="139" t="s">
        <v>314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1" t="s">
        <v>314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παππούς</v>
      </c>
      <c r="C4" s="15" t="str">
        <f>'4-πολλυπρ'!I4</f>
        <v>219-113 = πατήρ</v>
      </c>
      <c r="D4" s="32"/>
      <c r="E4" s="30"/>
      <c r="F4" s="30"/>
      <c r="G4" s="31"/>
      <c r="H4" s="30"/>
      <c r="I4" s="30"/>
      <c r="J4" s="30"/>
      <c r="K4" s="139" t="s">
        <v>314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1" t="s">
        <v>314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;;;???</v>
      </c>
      <c r="C5" s="15" t="str">
        <f>'4-πολλυπρ'!I5</f>
        <v>219-113 = πατήρ</v>
      </c>
      <c r="D5" s="32"/>
      <c r="E5" s="30"/>
      <c r="F5" s="30"/>
      <c r="G5" s="31"/>
      <c r="H5" s="30"/>
      <c r="I5" s="30"/>
      <c r="J5" s="30"/>
      <c r="K5" s="139" t="s">
        <v>314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1" t="s">
        <v>314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2ο</v>
      </c>
      <c r="B6" s="15" t="str">
        <f>'4-πολλυπρ'!D6</f>
        <v>219-113 = μήτηρ</v>
      </c>
      <c r="C6" s="15" t="str">
        <f>'4-πολλυπρ'!I6</f>
        <v>219-113 = υιός 1ος</v>
      </c>
      <c r="D6" s="32"/>
      <c r="E6" s="30"/>
      <c r="F6" s="30"/>
      <c r="G6" s="31"/>
      <c r="H6" s="30"/>
      <c r="I6" s="30"/>
      <c r="J6" s="30"/>
      <c r="K6" s="139" t="s">
        <v>314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91" t="s">
        <v>314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 t="str">
        <f>'1-συμβολαια'!A7</f>
        <v>3ο</v>
      </c>
      <c r="B7" s="15" t="str">
        <f>'4-πολλυπρ'!D7</f>
        <v>219-113 = μήτηρ</v>
      </c>
      <c r="C7" s="15" t="str">
        <f>'4-πολλυπρ'!I7</f>
        <v>219-113 = υιός 2ος</v>
      </c>
      <c r="D7" s="32"/>
      <c r="E7" s="30"/>
      <c r="F7" s="30"/>
      <c r="G7" s="31"/>
      <c r="H7" s="30"/>
      <c r="I7" s="30"/>
      <c r="J7" s="30"/>
      <c r="K7" s="139" t="s">
        <v>314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191" t="s">
        <v>314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 t="str">
        <f>'1-συμβολαια'!A8</f>
        <v>4ο</v>
      </c>
      <c r="B8" s="15" t="str">
        <f>'4-πολλυπρ'!D8</f>
        <v>219-113 = υιός 2ος</v>
      </c>
      <c r="C8" s="15" t="str">
        <f>'4-πολλυπρ'!I8</f>
        <v>219-113 = υιός 1ος</v>
      </c>
      <c r="D8" s="32"/>
      <c r="E8" s="30"/>
      <c r="F8" s="30"/>
      <c r="G8" s="31"/>
      <c r="H8" s="30"/>
      <c r="I8" s="30"/>
      <c r="J8" s="30"/>
      <c r="K8" s="139" t="s">
        <v>314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191" t="s">
        <v>314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774" t="s">
        <v>315</v>
      </c>
      <c r="G10" s="774"/>
      <c r="H10" s="774"/>
      <c r="I10" s="774"/>
    </row>
    <row r="11" spans="1:65">
      <c r="F11" s="774"/>
      <c r="G11" s="774"/>
      <c r="H11" s="774"/>
      <c r="I11" s="774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L23"/>
  <sheetViews>
    <sheetView workbookViewId="0">
      <pane ySplit="2" topLeftCell="A3" activePane="bottomLeft" state="frozen"/>
      <selection pane="bottomLeft" activeCell="W17" sqref="W17"/>
    </sheetView>
  </sheetViews>
  <sheetFormatPr defaultRowHeight="11.25"/>
  <cols>
    <col min="1" max="1" width="7.28515625" style="8" bestFit="1" customWidth="1"/>
    <col min="2" max="2" width="8.7109375" style="376" bestFit="1" customWidth="1"/>
    <col min="3" max="3" width="51.7109375" style="94" bestFit="1" customWidth="1"/>
    <col min="4" max="4" width="6" style="3" customWidth="1"/>
    <col min="5" max="5" width="5.28515625" style="3" customWidth="1"/>
    <col min="6" max="6" width="7.28515625" style="3" bestFit="1" customWidth="1"/>
    <col min="7" max="7" width="7.7109375" style="2" customWidth="1"/>
    <col min="8" max="8" width="8.140625" style="2" bestFit="1" customWidth="1"/>
    <col min="9" max="9" width="11" style="2" customWidth="1"/>
    <col min="10" max="10" width="7.28515625" style="2" bestFit="1" customWidth="1"/>
    <col min="11" max="12" width="8.140625" style="2" bestFit="1" customWidth="1"/>
    <col min="13" max="13" width="8.85546875" style="2" bestFit="1" customWidth="1"/>
    <col min="14" max="15" width="5.7109375" style="2" bestFit="1" customWidth="1"/>
    <col min="16" max="16" width="8.140625" style="2" bestFit="1" customWidth="1"/>
    <col min="17" max="17" width="10.28515625" style="2" bestFit="1" customWidth="1"/>
    <col min="18" max="18" width="13.140625" style="2" customWidth="1"/>
    <col min="19" max="19" width="9.42578125" style="2" customWidth="1"/>
    <col min="20" max="20" width="8.28515625" style="2" customWidth="1"/>
    <col min="21" max="21" width="13.140625" style="78" customWidth="1"/>
    <col min="22" max="22" width="9.42578125" style="78" bestFit="1" customWidth="1"/>
    <col min="23" max="23" width="10.28515625" style="2" bestFit="1" customWidth="1"/>
    <col min="24" max="24" width="10.7109375" style="2" customWidth="1"/>
    <col min="25" max="26" width="9.42578125" style="2" bestFit="1" customWidth="1"/>
    <col min="27" max="27" width="8.28515625" style="2" bestFit="1" customWidth="1"/>
    <col min="28" max="28" width="10.28515625" style="2" bestFit="1" customWidth="1"/>
    <col min="29" max="29" width="8.140625" style="2" bestFit="1" customWidth="1"/>
    <col min="30" max="30" width="10.28515625" style="2" bestFit="1" customWidth="1"/>
    <col min="31" max="31" width="8.7109375" style="29" bestFit="1" customWidth="1"/>
    <col min="32" max="32" width="10.28515625" style="8" bestFit="1" customWidth="1"/>
    <col min="33" max="33" width="21.42578125" style="80" customWidth="1"/>
    <col min="34" max="34" width="7.5703125" style="3" customWidth="1"/>
    <col min="35" max="35" width="9.5703125" style="3" customWidth="1"/>
    <col min="36" max="38" width="6.42578125" style="3" customWidth="1"/>
    <col min="39" max="53" width="7" style="3" customWidth="1"/>
    <col min="54" max="54" width="29.28515625" style="3" bestFit="1" customWidth="1"/>
    <col min="55" max="16384" width="9.140625" style="3"/>
  </cols>
  <sheetData>
    <row r="1" spans="1:38" ht="29.25" customHeight="1">
      <c r="A1" s="790" t="s">
        <v>1</v>
      </c>
      <c r="B1" s="792" t="s">
        <v>2</v>
      </c>
      <c r="C1" s="789" t="s">
        <v>0</v>
      </c>
      <c r="D1" s="793" t="s">
        <v>11</v>
      </c>
      <c r="E1" s="787" t="s">
        <v>12</v>
      </c>
      <c r="F1" s="795" t="s">
        <v>515</v>
      </c>
      <c r="G1" s="796"/>
      <c r="H1" s="796"/>
      <c r="I1" s="797" t="s">
        <v>526</v>
      </c>
      <c r="J1" s="821" t="s">
        <v>597</v>
      </c>
      <c r="K1" s="822"/>
      <c r="L1" s="822"/>
      <c r="M1" s="822"/>
      <c r="N1" s="822"/>
      <c r="O1" s="822"/>
      <c r="P1" s="823"/>
      <c r="Q1" s="819" t="s">
        <v>516</v>
      </c>
      <c r="R1" s="798" t="s">
        <v>517</v>
      </c>
      <c r="S1" s="803" t="s">
        <v>137</v>
      </c>
      <c r="T1" s="807" t="s">
        <v>518</v>
      </c>
      <c r="U1" s="808"/>
      <c r="V1" s="808"/>
      <c r="W1" s="808"/>
      <c r="X1" s="811" t="s">
        <v>43</v>
      </c>
      <c r="Y1" s="812"/>
      <c r="Z1" s="813" t="s">
        <v>58</v>
      </c>
      <c r="AA1" s="814"/>
      <c r="AB1" s="809" t="s">
        <v>76</v>
      </c>
      <c r="AC1" s="810"/>
      <c r="AD1" s="810"/>
      <c r="AE1" s="815" t="s">
        <v>54</v>
      </c>
      <c r="AF1" s="817" t="s">
        <v>44</v>
      </c>
      <c r="AG1" s="805" t="s">
        <v>79</v>
      </c>
      <c r="AH1" s="800" t="s">
        <v>29</v>
      </c>
      <c r="AI1" s="801"/>
      <c r="AJ1" s="801"/>
      <c r="AK1" s="801"/>
      <c r="AL1" s="802"/>
    </row>
    <row r="2" spans="1:38" ht="26.25" thickBot="1">
      <c r="A2" s="791"/>
      <c r="B2" s="545"/>
      <c r="C2" s="572"/>
      <c r="D2" s="794"/>
      <c r="E2" s="788"/>
      <c r="F2" s="257" t="s">
        <v>251</v>
      </c>
      <c r="G2" s="256" t="s">
        <v>90</v>
      </c>
      <c r="H2" s="326" t="s">
        <v>47</v>
      </c>
      <c r="I2" s="635"/>
      <c r="J2" s="824" t="s">
        <v>364</v>
      </c>
      <c r="K2" s="825" t="s">
        <v>558</v>
      </c>
      <c r="L2" s="825" t="s">
        <v>598</v>
      </c>
      <c r="M2" s="824" t="s">
        <v>93</v>
      </c>
      <c r="N2" s="824"/>
      <c r="O2" s="825" t="s">
        <v>558</v>
      </c>
      <c r="P2" s="825" t="s">
        <v>598</v>
      </c>
      <c r="Q2" s="820"/>
      <c r="R2" s="799"/>
      <c r="S2" s="804"/>
      <c r="T2" s="72" t="s">
        <v>23</v>
      </c>
      <c r="U2" s="77" t="s">
        <v>80</v>
      </c>
      <c r="V2" s="504" t="s">
        <v>558</v>
      </c>
      <c r="W2" s="406" t="s">
        <v>557</v>
      </c>
      <c r="X2" s="42" t="s">
        <v>23</v>
      </c>
      <c r="Y2" s="38" t="s">
        <v>34</v>
      </c>
      <c r="Z2" s="42" t="s">
        <v>23</v>
      </c>
      <c r="AA2" s="43" t="s">
        <v>34</v>
      </c>
      <c r="AB2" s="42" t="s">
        <v>519</v>
      </c>
      <c r="AC2" s="10" t="s">
        <v>520</v>
      </c>
      <c r="AD2" s="41" t="s">
        <v>33</v>
      </c>
      <c r="AE2" s="816"/>
      <c r="AF2" s="818"/>
      <c r="AG2" s="806"/>
      <c r="AH2" s="800"/>
      <c r="AI2" s="801"/>
      <c r="AJ2" s="801"/>
      <c r="AK2" s="801"/>
      <c r="AL2" s="802"/>
    </row>
    <row r="3" spans="1:38" s="5" customFormat="1">
      <c r="A3" s="393" t="str">
        <f>'1-συμβολαια'!A3</f>
        <v>1ο</v>
      </c>
      <c r="B3" s="375">
        <f>'1-συμβολαια'!B3</f>
        <v>37568</v>
      </c>
      <c r="C3" s="373" t="str">
        <f>'1-συμβολαια'!C3</f>
        <v>κληρονομιάς ΑΠΟΔΟΧΗ</v>
      </c>
      <c r="D3" s="340" t="str">
        <f>'4-πολλυπρ'!D3</f>
        <v>219-113 = πατήρ</v>
      </c>
      <c r="E3" s="340" t="str">
        <f>'4-πολλυπρ'!I3</f>
        <v>219-113 = υιός 1ος</v>
      </c>
      <c r="F3" s="339">
        <f>'14-βιβλΕσ'!K3</f>
        <v>6.4262000000000006</v>
      </c>
      <c r="G3" s="333">
        <f>'14-βιβλΕσ'!P3</f>
        <v>13.379999999999999</v>
      </c>
      <c r="H3" s="333">
        <f t="shared" ref="H3:H8" si="0">F3+G3</f>
        <v>19.8062</v>
      </c>
      <c r="I3" s="333">
        <f>'8-κ-15-17'!AG3</f>
        <v>0</v>
      </c>
      <c r="J3" s="333"/>
      <c r="K3" s="333"/>
      <c r="L3" s="333"/>
      <c r="M3" s="826"/>
      <c r="N3" s="333"/>
      <c r="O3" s="333"/>
      <c r="P3" s="333"/>
      <c r="Q3" s="526"/>
      <c r="R3" s="333">
        <f>('14-βιβλΕσ'!M3+'14-βιβλΕσ'!N3+'14-βιβλΕσ'!Q3)*40%</f>
        <v>271.62</v>
      </c>
      <c r="S3" s="333">
        <f>'14-βιβλΕσ'!Q3</f>
        <v>590.77</v>
      </c>
      <c r="T3" s="333">
        <v>75.739999999999995</v>
      </c>
      <c r="U3" s="274" t="s">
        <v>556</v>
      </c>
      <c r="V3" s="333">
        <v>561.32000000000005</v>
      </c>
      <c r="W3" s="333">
        <v>4372.9399999999996</v>
      </c>
      <c r="X3" s="333">
        <f>AD3</f>
        <v>692.43</v>
      </c>
      <c r="Y3" s="278">
        <v>19889</v>
      </c>
      <c r="Z3" s="255"/>
      <c r="AA3" s="255"/>
      <c r="AB3" s="333">
        <f>'1-συμβολαια'!L3+0.5+'8-κ-15-17'!AE3+'14-βιβλΕσ'!K3+'14-βιβλΕσ'!P3+'14-βιβλΕσ'!Q3</f>
        <v>768.17</v>
      </c>
      <c r="AC3" s="333">
        <f>'1-συμβολαια'!M3</f>
        <v>75.739999999999995</v>
      </c>
      <c r="AD3" s="333">
        <f t="shared" ref="AD3:AD8" si="1">AB3-AC3</f>
        <v>692.43</v>
      </c>
      <c r="AE3" s="341">
        <v>45995</v>
      </c>
      <c r="AF3" s="274">
        <f t="shared" ref="AF3:AF8" si="2">Y3+AA3</f>
        <v>19889</v>
      </c>
      <c r="AG3" s="374"/>
      <c r="AH3" s="76"/>
      <c r="AI3" s="76"/>
      <c r="AJ3" s="76"/>
      <c r="AK3" s="76"/>
      <c r="AL3" s="76"/>
    </row>
    <row r="4" spans="1:38" s="5" customFormat="1">
      <c r="A4" s="393">
        <f>'1-συμβολαια'!A4</f>
        <v>0</v>
      </c>
      <c r="B4" s="375"/>
      <c r="C4" s="373" t="str">
        <f>'1-συμβολαια'!C4</f>
        <v>χρησικτησία αγροτεμαχίων {0,7 &amp; 1,8στρ} = 19?? πατρός ΔΩΡΕΑ άτυπη</v>
      </c>
      <c r="D4" s="340" t="str">
        <f>'4-πολλυπρ'!D4</f>
        <v>παππούς</v>
      </c>
      <c r="E4" s="340" t="str">
        <f>'4-πολλυπρ'!I4</f>
        <v>219-113 = πατήρ</v>
      </c>
      <c r="F4" s="339">
        <f>'14-βιβλΕσ'!K4</f>
        <v>3.3234940000000002</v>
      </c>
      <c r="G4" s="333">
        <f>'14-βιβλΕσ'!P4</f>
        <v>6.9600000000000009</v>
      </c>
      <c r="H4" s="333">
        <f t="shared" si="0"/>
        <v>10.283494000000001</v>
      </c>
      <c r="I4" s="333">
        <f>'8-κ-15-17'!AG4</f>
        <v>8.6102500000000006</v>
      </c>
      <c r="J4" s="333"/>
      <c r="K4" s="333"/>
      <c r="L4" s="333"/>
      <c r="M4" s="826"/>
      <c r="N4" s="333"/>
      <c r="O4" s="333"/>
      <c r="P4" s="333"/>
      <c r="Q4" s="526"/>
      <c r="R4" s="333">
        <f>('14-βιβλΕσ'!M4+'14-βιβλΕσ'!N4+'14-βιβλΕσ'!Q4)*40%</f>
        <v>24.015184000000001</v>
      </c>
      <c r="S4" s="333">
        <f>'14-βιβλΕσ'!Q4</f>
        <v>24.779999999999998</v>
      </c>
      <c r="T4" s="274"/>
      <c r="U4" s="274"/>
      <c r="V4" s="333"/>
      <c r="W4" s="333">
        <v>63.92</v>
      </c>
      <c r="X4" s="333">
        <f t="shared" ref="X4:X8" si="3">AD4</f>
        <v>75.60821</v>
      </c>
      <c r="Y4" s="278">
        <v>2066</v>
      </c>
      <c r="Z4" s="255"/>
      <c r="AA4" s="255"/>
      <c r="AB4" s="333">
        <f>'1-συμβολαια'!L4+'8-κ-15-17'!AE4+'14-βιβλΕσ'!K4+'14-βιβλΕσ'!P4+'14-βιβλΕσ'!Q4</f>
        <v>75.60821</v>
      </c>
      <c r="AC4" s="333">
        <f>'1-συμβολαια'!M4</f>
        <v>0</v>
      </c>
      <c r="AD4" s="333">
        <f t="shared" si="1"/>
        <v>75.60821</v>
      </c>
      <c r="AE4" s="341"/>
      <c r="AF4" s="274">
        <f t="shared" si="2"/>
        <v>2066</v>
      </c>
      <c r="AG4" s="374"/>
      <c r="AH4" s="76"/>
      <c r="AI4" s="76"/>
      <c r="AJ4" s="76"/>
      <c r="AK4" s="76"/>
      <c r="AL4" s="76"/>
    </row>
    <row r="5" spans="1:38" s="5" customFormat="1" ht="12" thickBot="1">
      <c r="A5" s="410">
        <f>'1-συμβολαια'!A5</f>
        <v>0</v>
      </c>
      <c r="B5" s="411"/>
      <c r="C5" s="431" t="str">
        <f>'1-συμβολαια'!C5</f>
        <v>χρησικτησία οικοπέδου = νικολουδηΣαββατουλα ΑΝΤΑΛΑΓΗ άτυπη</v>
      </c>
      <c r="D5" s="469" t="str">
        <f>'4-πολλυπρ'!D5</f>
        <v>;;;???</v>
      </c>
      <c r="E5" s="469" t="str">
        <f>'4-πολλυπρ'!I5</f>
        <v>219-113 = πατήρ</v>
      </c>
      <c r="F5" s="415">
        <f>'14-βιβλΕσ'!K5</f>
        <v>41.323293999999997</v>
      </c>
      <c r="G5" s="416">
        <f>'14-βιβλΕσ'!P5</f>
        <v>6.9600000000000009</v>
      </c>
      <c r="H5" s="416">
        <f t="shared" si="0"/>
        <v>48.283293999999998</v>
      </c>
      <c r="I5" s="416">
        <f>'8-κ-15-17'!AG5</f>
        <v>0</v>
      </c>
      <c r="J5" s="416"/>
      <c r="K5" s="416"/>
      <c r="L5" s="416"/>
      <c r="M5" s="416"/>
      <c r="N5" s="416"/>
      <c r="O5" s="416"/>
      <c r="P5" s="416"/>
      <c r="Q5" s="527"/>
      <c r="R5" s="416">
        <f>('14-βιβλΕσ'!M5+'14-βιβλΕσ'!N5+'14-βιβλΕσ'!Q5)*40%</f>
        <v>144.539984</v>
      </c>
      <c r="S5" s="416">
        <f>'14-βιβλΕσ'!Q5</f>
        <v>72.759999999999991</v>
      </c>
      <c r="T5" s="455"/>
      <c r="U5" s="455"/>
      <c r="V5" s="416"/>
      <c r="W5" s="416">
        <v>315.10000000000002</v>
      </c>
      <c r="X5" s="416">
        <f t="shared" si="3"/>
        <v>368.30995999999999</v>
      </c>
      <c r="Y5" s="455">
        <v>10062</v>
      </c>
      <c r="Z5" s="507"/>
      <c r="AA5" s="507"/>
      <c r="AB5" s="416">
        <f>'1-συμβολαια'!L5+'8-κ-15-17'!AE5+'14-βιβλΕσ'!K5+'14-βιβλΕσ'!P5+'14-βιβλΕσ'!Q5</f>
        <v>368.30995999999999</v>
      </c>
      <c r="AC5" s="416">
        <f>'1-συμβολαια'!M5</f>
        <v>0</v>
      </c>
      <c r="AD5" s="416">
        <f t="shared" si="1"/>
        <v>368.30995999999999</v>
      </c>
      <c r="AE5" s="508"/>
      <c r="AF5" s="455">
        <f t="shared" si="2"/>
        <v>10062</v>
      </c>
      <c r="AG5" s="509"/>
      <c r="AH5" s="473"/>
      <c r="AI5" s="473"/>
      <c r="AJ5" s="473"/>
      <c r="AK5" s="473"/>
      <c r="AL5" s="473"/>
    </row>
    <row r="6" spans="1:38" s="5" customFormat="1">
      <c r="A6" s="419" t="str">
        <f>'1-συμβολαια'!A6</f>
        <v>2ο</v>
      </c>
      <c r="B6" s="375">
        <f>'1-συμβολαια'!B6</f>
        <v>37893</v>
      </c>
      <c r="C6" s="373" t="str">
        <f>'1-συμβολαια'!C6</f>
        <v>γονική</v>
      </c>
      <c r="D6" s="340" t="str">
        <f>'4-πολλυπρ'!D6</f>
        <v>219-113 = μήτηρ</v>
      </c>
      <c r="E6" s="340" t="str">
        <f>'4-πολλυπρ'!I6</f>
        <v>219-113 = υιός 1ος</v>
      </c>
      <c r="F6" s="339">
        <f>'14-βιβλΕσ'!K6</f>
        <v>14.695550000000001</v>
      </c>
      <c r="G6" s="333">
        <f>'14-βιβλΕσ'!P6</f>
        <v>15.88</v>
      </c>
      <c r="H6" s="333">
        <f t="shared" si="0"/>
        <v>30.57555</v>
      </c>
      <c r="I6" s="333">
        <f>'8-κ-15-17'!AG6</f>
        <v>42.27563</v>
      </c>
      <c r="J6" s="333">
        <v>42.28</v>
      </c>
      <c r="K6" s="333">
        <v>250.58</v>
      </c>
      <c r="L6" s="274">
        <v>512</v>
      </c>
      <c r="M6" s="827">
        <v>42772</v>
      </c>
      <c r="N6" s="333"/>
      <c r="O6" s="333"/>
      <c r="P6" s="333"/>
      <c r="Q6" s="526"/>
      <c r="R6" s="333">
        <f>('14-βιβλΕσ'!M6+'14-βιβλΕσ'!N6+'14-βιβλΕσ'!Q6)*40%</f>
        <v>168.65</v>
      </c>
      <c r="S6" s="333">
        <f>'14-βιβλΕσ'!Q6</f>
        <v>320.14999999999998</v>
      </c>
      <c r="T6" s="333">
        <f>AC6</f>
        <v>56.87</v>
      </c>
      <c r="U6" s="274" t="s">
        <v>572</v>
      </c>
      <c r="V6" s="333">
        <v>336.9</v>
      </c>
      <c r="W6" s="333">
        <v>6582</v>
      </c>
      <c r="X6" s="333">
        <f t="shared" si="3"/>
        <v>479.28062999999997</v>
      </c>
      <c r="Y6" s="274">
        <v>13104</v>
      </c>
      <c r="Z6" s="255"/>
      <c r="AA6" s="255"/>
      <c r="AB6" s="333">
        <f>'1-συμβολαια'!L6+'8-κ-15-17'!AE6+'14-βιβλΕσ'!K6+'14-βιβλΕσ'!P6+'14-βιβλΕσ'!Q6</f>
        <v>536.15062999999998</v>
      </c>
      <c r="AC6" s="333">
        <f>'1-συμβολαια'!M6</f>
        <v>56.87</v>
      </c>
      <c r="AD6" s="333">
        <f t="shared" si="1"/>
        <v>479.28062999999997</v>
      </c>
      <c r="AE6" s="505">
        <v>45995</v>
      </c>
      <c r="AF6" s="274">
        <f t="shared" si="2"/>
        <v>13104</v>
      </c>
      <c r="AG6" s="506"/>
      <c r="AH6" s="471"/>
      <c r="AI6" s="471"/>
      <c r="AJ6" s="471"/>
      <c r="AK6" s="471"/>
      <c r="AL6" s="471"/>
    </row>
    <row r="7" spans="1:38" s="5" customFormat="1">
      <c r="A7" s="419" t="str">
        <f>'1-συμβολαια'!A7</f>
        <v>3ο</v>
      </c>
      <c r="B7" s="375">
        <f>'1-συμβολαια'!B7</f>
        <v>37893</v>
      </c>
      <c r="C7" s="373" t="str">
        <f>'1-συμβολαια'!C7</f>
        <v>γονική</v>
      </c>
      <c r="D7" s="340" t="str">
        <f>'4-πολλυπρ'!D7</f>
        <v>219-113 = μήτηρ</v>
      </c>
      <c r="E7" s="340" t="str">
        <f>'4-πολλυπρ'!I7</f>
        <v>219-113 = υιός 2ος</v>
      </c>
      <c r="F7" s="339">
        <f>'14-βιβλΕσ'!K7</f>
        <v>11.415647999999999</v>
      </c>
      <c r="G7" s="333">
        <f>'14-βιβλΕσ'!P7</f>
        <v>15.88</v>
      </c>
      <c r="H7" s="333">
        <f t="shared" si="0"/>
        <v>27.295648</v>
      </c>
      <c r="I7" s="333">
        <f>'8-κ-15-17'!AG7</f>
        <v>31.213357500000001</v>
      </c>
      <c r="J7" s="333">
        <v>31.21</v>
      </c>
      <c r="K7" s="333">
        <v>184.98</v>
      </c>
      <c r="L7" s="274">
        <v>378</v>
      </c>
      <c r="M7" s="827">
        <v>42772</v>
      </c>
      <c r="N7" s="333"/>
      <c r="O7" s="333"/>
      <c r="P7" s="333"/>
      <c r="Q7" s="526"/>
      <c r="R7" s="333">
        <f>('14-βιβλΕσ'!M7+'14-βιβλΕσ'!N7+'14-βιβλΕσ'!Q7)*40%</f>
        <v>131.71052799999998</v>
      </c>
      <c r="S7" s="333">
        <f>'14-βιβλΕσ'!Q7</f>
        <v>276.16999999999996</v>
      </c>
      <c r="T7" s="333">
        <f t="shared" ref="T7:T8" si="4">AC7</f>
        <v>69.03</v>
      </c>
      <c r="U7" s="274" t="s">
        <v>572</v>
      </c>
      <c r="V7" s="333">
        <v>408.94</v>
      </c>
      <c r="W7" s="333">
        <v>5422</v>
      </c>
      <c r="X7" s="333">
        <f t="shared" si="3"/>
        <v>375.86967749999997</v>
      </c>
      <c r="Y7" s="278">
        <v>10514</v>
      </c>
      <c r="Z7" s="255"/>
      <c r="AA7" s="255"/>
      <c r="AB7" s="333">
        <f>'1-συμβολαια'!L7+'8-κ-15-17'!AE7+'14-βιβλΕσ'!K7+'14-βιβλΕσ'!P7+'14-βιβλΕσ'!Q7</f>
        <v>444.89967749999994</v>
      </c>
      <c r="AC7" s="333">
        <f>'1-συμβολαια'!M7</f>
        <v>69.03</v>
      </c>
      <c r="AD7" s="333">
        <f t="shared" si="1"/>
        <v>375.86967749999997</v>
      </c>
      <c r="AE7" s="341">
        <v>45995</v>
      </c>
      <c r="AF7" s="274">
        <f t="shared" si="2"/>
        <v>10514</v>
      </c>
      <c r="AG7" s="374"/>
      <c r="AH7" s="76"/>
      <c r="AI7" s="76"/>
      <c r="AJ7" s="76"/>
      <c r="AK7" s="76"/>
      <c r="AL7" s="76"/>
    </row>
    <row r="8" spans="1:38" s="5" customFormat="1">
      <c r="A8" s="419" t="str">
        <f>'1-συμβολαια'!A8</f>
        <v>4ο</v>
      </c>
      <c r="B8" s="375">
        <f>'1-συμβολαια'!B8</f>
        <v>37893</v>
      </c>
      <c r="C8" s="373" t="str">
        <f>'1-συμβολαια'!C8</f>
        <v>δωρεά</v>
      </c>
      <c r="D8" s="340" t="str">
        <f>'4-πολλυπρ'!D8</f>
        <v>219-113 = υιός 2ος</v>
      </c>
      <c r="E8" s="340" t="str">
        <f>'4-πολλυπρ'!I8</f>
        <v>219-113 = υιός 1ος</v>
      </c>
      <c r="F8" s="339">
        <f>'14-βιβλΕσ'!K8</f>
        <v>9.6886379999999992</v>
      </c>
      <c r="G8" s="333">
        <f>'14-βιβλΕσ'!P8</f>
        <v>17.54</v>
      </c>
      <c r="H8" s="333">
        <f t="shared" si="0"/>
        <v>27.228637999999997</v>
      </c>
      <c r="I8" s="333">
        <f>'8-κ-15-17'!AG8</f>
        <v>0.32762000000000313</v>
      </c>
      <c r="J8" s="343">
        <v>23.78</v>
      </c>
      <c r="K8" s="343">
        <v>339</v>
      </c>
      <c r="L8" s="278">
        <v>339</v>
      </c>
      <c r="M8" s="828" t="s">
        <v>599</v>
      </c>
      <c r="N8" s="333"/>
      <c r="O8" s="333"/>
      <c r="P8" s="333"/>
      <c r="Q8" s="526"/>
      <c r="R8" s="333">
        <f>('14-βιβλΕσ'!M8+'14-βιβλΕσ'!N8+'14-βιβλΕσ'!Q8)*40%</f>
        <v>94.793168000000023</v>
      </c>
      <c r="S8" s="333">
        <f>'14-βιβλΕσ'!Q8</f>
        <v>204.79000000000005</v>
      </c>
      <c r="T8" s="333">
        <f t="shared" si="4"/>
        <v>95.42</v>
      </c>
      <c r="U8" s="521" t="s">
        <v>566</v>
      </c>
      <c r="V8" s="333">
        <v>1197</v>
      </c>
      <c r="W8" s="333">
        <v>4092</v>
      </c>
      <c r="X8" s="333">
        <f t="shared" si="3"/>
        <v>254.35054000000002</v>
      </c>
      <c r="Y8" s="278">
        <v>7915</v>
      </c>
      <c r="Z8" s="255"/>
      <c r="AA8" s="255"/>
      <c r="AB8" s="333">
        <f>'1-συμβολαια'!L8+'8-κ-15-17'!AE8+'14-βιβλΕσ'!K8+'14-βιβλΕσ'!P8+'14-βιβλΕσ'!Q8</f>
        <v>349.77054000000004</v>
      </c>
      <c r="AC8" s="333">
        <f>'1-συμβολαια'!M8</f>
        <v>95.42</v>
      </c>
      <c r="AD8" s="333">
        <f t="shared" si="1"/>
        <v>254.35054000000002</v>
      </c>
      <c r="AE8" s="341">
        <v>45995</v>
      </c>
      <c r="AF8" s="274">
        <f t="shared" si="2"/>
        <v>7915</v>
      </c>
      <c r="AG8" s="374"/>
      <c r="AH8" s="76"/>
      <c r="AI8" s="76"/>
      <c r="AJ8" s="76"/>
      <c r="AK8" s="76"/>
      <c r="AL8" s="76"/>
    </row>
    <row r="9" spans="1:38">
      <c r="A9" s="784" t="s">
        <v>35</v>
      </c>
      <c r="B9" s="785"/>
      <c r="C9" s="785"/>
      <c r="D9" s="785"/>
      <c r="E9" s="786"/>
      <c r="F9" s="44">
        <f t="shared" ref="F9:AD9" si="5">SUM(F3:F8)</f>
        <v>86.872823999999994</v>
      </c>
      <c r="G9" s="44">
        <f t="shared" si="5"/>
        <v>76.599999999999994</v>
      </c>
      <c r="H9" s="44">
        <f t="shared" si="5"/>
        <v>163.47282399999997</v>
      </c>
      <c r="I9" s="44">
        <f t="shared" si="5"/>
        <v>82.426857500000011</v>
      </c>
      <c r="J9" s="44">
        <f t="shared" si="5"/>
        <v>97.27000000000001</v>
      </c>
      <c r="K9" s="44">
        <f t="shared" si="5"/>
        <v>774.56</v>
      </c>
      <c r="L9" s="377">
        <f t="shared" si="5"/>
        <v>1229</v>
      </c>
      <c r="M9" s="44"/>
      <c r="N9" s="44">
        <f t="shared" si="5"/>
        <v>0</v>
      </c>
      <c r="O9" s="44">
        <f t="shared" si="5"/>
        <v>0</v>
      </c>
      <c r="P9" s="44">
        <f t="shared" si="5"/>
        <v>0</v>
      </c>
      <c r="Q9" s="528">
        <f t="shared" si="5"/>
        <v>0</v>
      </c>
      <c r="R9" s="44">
        <f t="shared" si="5"/>
        <v>835.32886399999995</v>
      </c>
      <c r="S9" s="44">
        <f t="shared" si="5"/>
        <v>1489.4199999999998</v>
      </c>
      <c r="T9" s="44">
        <f t="shared" si="5"/>
        <v>297.06</v>
      </c>
      <c r="U9" s="44">
        <f t="shared" si="5"/>
        <v>0</v>
      </c>
      <c r="V9" s="44">
        <f t="shared" si="5"/>
        <v>2504.16</v>
      </c>
      <c r="W9" s="44">
        <f t="shared" si="5"/>
        <v>20847.96</v>
      </c>
      <c r="X9" s="44">
        <f t="shared" si="5"/>
        <v>2245.8490174999997</v>
      </c>
      <c r="Y9" s="377">
        <f t="shared" si="5"/>
        <v>63550</v>
      </c>
      <c r="Z9" s="529">
        <f t="shared" si="5"/>
        <v>0</v>
      </c>
      <c r="AA9" s="530">
        <f t="shared" si="5"/>
        <v>0</v>
      </c>
      <c r="AB9" s="44">
        <f t="shared" si="5"/>
        <v>2542.9090175000001</v>
      </c>
      <c r="AC9" s="44">
        <f t="shared" si="5"/>
        <v>297.06</v>
      </c>
      <c r="AD9" s="44">
        <f t="shared" si="5"/>
        <v>2245.8490174999997</v>
      </c>
      <c r="AE9" s="44"/>
      <c r="AF9" s="377">
        <f>SUM(AF3:AF8)</f>
        <v>63550</v>
      </c>
    </row>
    <row r="10" spans="1:38">
      <c r="S10" s="78"/>
    </row>
    <row r="11" spans="1:38">
      <c r="S11" s="132"/>
      <c r="AB11" s="132"/>
    </row>
    <row r="13" spans="1:38">
      <c r="R13" s="306"/>
    </row>
    <row r="14" spans="1:38">
      <c r="R14" s="306"/>
    </row>
    <row r="15" spans="1:38">
      <c r="V15" s="2"/>
    </row>
    <row r="16" spans="1:38">
      <c r="V16" s="2"/>
    </row>
    <row r="17" spans="21:22">
      <c r="V17" s="2"/>
    </row>
    <row r="18" spans="21:22">
      <c r="V18" s="2"/>
    </row>
    <row r="19" spans="21:22">
      <c r="V19" s="2"/>
    </row>
    <row r="20" spans="21:22">
      <c r="V20" s="2"/>
    </row>
    <row r="21" spans="21:22">
      <c r="U21" s="2"/>
      <c r="V21" s="2"/>
    </row>
    <row r="22" spans="21:22">
      <c r="U22" s="2"/>
      <c r="V22" s="2"/>
    </row>
    <row r="23" spans="21:22">
      <c r="U23" s="2"/>
      <c r="V23" s="2"/>
    </row>
  </sheetData>
  <mergeCells count="20">
    <mergeCell ref="F1:H1"/>
    <mergeCell ref="I1:I2"/>
    <mergeCell ref="Q1:Q2"/>
    <mergeCell ref="R1:R2"/>
    <mergeCell ref="AH1:AL2"/>
    <mergeCell ref="S1:S2"/>
    <mergeCell ref="AG1:AG2"/>
    <mergeCell ref="T1:W1"/>
    <mergeCell ref="AB1:AD1"/>
    <mergeCell ref="X1:Y1"/>
    <mergeCell ref="Z1:AA1"/>
    <mergeCell ref="AE1:AE2"/>
    <mergeCell ref="AF1:AF2"/>
    <mergeCell ref="J1:P1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workbookViewId="0">
      <pane ySplit="1" topLeftCell="A2" activePane="bottomLeft" state="frozen"/>
      <selection pane="bottomLeft" activeCell="L5" sqref="L5:L7"/>
    </sheetView>
  </sheetViews>
  <sheetFormatPr defaultRowHeight="11.25"/>
  <cols>
    <col min="1" max="1" width="7.28515625" style="3" bestFit="1" customWidth="1"/>
    <col min="2" max="2" width="51.71093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23.28515625" style="3" bestFit="1" customWidth="1"/>
    <col min="17" max="17" width="31.85546875" style="3" bestFit="1" customWidth="1"/>
    <col min="18" max="16384" width="9.140625" style="3"/>
  </cols>
  <sheetData>
    <row r="1" spans="1:20">
      <c r="A1" s="193"/>
      <c r="B1" s="193"/>
      <c r="C1" s="315"/>
      <c r="D1" s="193" t="s">
        <v>316</v>
      </c>
      <c r="E1" s="193" t="s">
        <v>317</v>
      </c>
      <c r="F1" s="193" t="s">
        <v>318</v>
      </c>
      <c r="G1" s="193" t="s">
        <v>319</v>
      </c>
      <c r="H1" s="193" t="s">
        <v>320</v>
      </c>
      <c r="I1" s="193" t="s">
        <v>321</v>
      </c>
      <c r="J1" s="193" t="s">
        <v>322</v>
      </c>
      <c r="K1" s="327" t="s">
        <v>323</v>
      </c>
      <c r="L1" s="555" t="s">
        <v>324</v>
      </c>
      <c r="M1" s="556"/>
      <c r="N1" s="556"/>
      <c r="O1" s="556"/>
      <c r="P1" s="557" t="s">
        <v>325</v>
      </c>
      <c r="Q1" s="557"/>
      <c r="R1" s="557"/>
      <c r="S1" s="557"/>
      <c r="T1" s="558"/>
    </row>
    <row r="2" spans="1:20" s="5" customFormat="1">
      <c r="A2" s="378" t="str">
        <f>'1-συμβολαια'!A3</f>
        <v>1ο</v>
      </c>
      <c r="B2" s="76" t="str">
        <f>'1-συμβολαια'!C3</f>
        <v>κληρονομιάς ΑΠΟΔΟΧΗ</v>
      </c>
      <c r="C2" s="343">
        <f>'1-συμβολαια'!D3</f>
        <v>0</v>
      </c>
      <c r="D2" s="335"/>
      <c r="E2" s="335"/>
      <c r="F2" s="335"/>
      <c r="G2" s="335"/>
      <c r="H2" s="335"/>
      <c r="I2" s="335"/>
      <c r="J2" s="335"/>
      <c r="K2" s="335"/>
      <c r="L2" s="425">
        <v>42772</v>
      </c>
      <c r="M2" s="79">
        <v>567</v>
      </c>
      <c r="N2" s="79">
        <v>89</v>
      </c>
      <c r="O2" s="79">
        <v>252.28</v>
      </c>
      <c r="P2" s="79" t="s">
        <v>543</v>
      </c>
      <c r="Q2" s="76"/>
      <c r="R2" s="76"/>
      <c r="S2" s="76"/>
      <c r="T2" s="76"/>
    </row>
    <row r="3" spans="1:20">
      <c r="A3" s="378">
        <f>'1-συμβολαια'!A4</f>
        <v>0</v>
      </c>
      <c r="B3" s="79" t="str">
        <f>'1-συμβολαια'!C4</f>
        <v>χρησικτησία αγροτεμαχίων {0,7 &amp; 1,8στρ} = 19?? πατρός ΔΩΡΕΑ άτυπη</v>
      </c>
      <c r="C3" s="314">
        <f>'1-συμβολαια'!D4</f>
        <v>1111</v>
      </c>
      <c r="D3" s="335"/>
      <c r="E3" s="335"/>
      <c r="F3" s="335"/>
      <c r="G3" s="335"/>
      <c r="H3" s="335"/>
      <c r="I3" s="335"/>
      <c r="J3" s="335"/>
      <c r="K3" s="335"/>
      <c r="L3" s="79"/>
      <c r="M3" s="79"/>
      <c r="N3" s="79"/>
      <c r="O3" s="79"/>
      <c r="P3" s="79"/>
      <c r="Q3" s="79"/>
      <c r="R3" s="79"/>
      <c r="S3" s="79"/>
      <c r="T3" s="79"/>
    </row>
    <row r="4" spans="1:20" ht="12" thickBot="1">
      <c r="A4" s="428">
        <f>'1-συμβολαια'!A5</f>
        <v>0</v>
      </c>
      <c r="B4" s="263" t="str">
        <f>'1-συμβολαια'!C5</f>
        <v>χρησικτησία οικοπέδου = νικολουδηΣαββατουλα ΑΝΤΑΛΑΓΗ άτυπη</v>
      </c>
      <c r="C4" s="429">
        <f>'1-συμβολαια'!D5</f>
        <v>22222</v>
      </c>
      <c r="D4" s="430"/>
      <c r="E4" s="430"/>
      <c r="F4" s="430"/>
      <c r="G4" s="430"/>
      <c r="H4" s="430"/>
      <c r="I4" s="430"/>
      <c r="J4" s="430"/>
      <c r="K4" s="430"/>
      <c r="L4" s="263"/>
      <c r="M4" s="263"/>
      <c r="N4" s="263"/>
      <c r="O4" s="263"/>
      <c r="P4" s="263"/>
      <c r="Q4" s="263"/>
      <c r="R4" s="263"/>
      <c r="S4" s="263"/>
      <c r="T4" s="263"/>
    </row>
    <row r="5" spans="1:20">
      <c r="A5" s="274" t="str">
        <f>'1-συμβολαια'!A6</f>
        <v>2ο</v>
      </c>
      <c r="B5" s="426" t="str">
        <f>'1-συμβολαια'!C6</f>
        <v>γονική</v>
      </c>
      <c r="C5" s="427">
        <f>'1-συμβολαια'!D6</f>
        <v>5454.92</v>
      </c>
      <c r="D5" s="335"/>
      <c r="E5" s="335"/>
      <c r="F5" s="335"/>
      <c r="G5" s="335"/>
      <c r="H5" s="335"/>
      <c r="I5" s="335"/>
      <c r="J5" s="335"/>
      <c r="K5" s="335"/>
      <c r="L5" s="425">
        <v>42772</v>
      </c>
      <c r="M5" s="79">
        <v>567</v>
      </c>
      <c r="N5" s="79">
        <v>90</v>
      </c>
      <c r="O5" s="382">
        <v>252.28</v>
      </c>
      <c r="P5" s="79" t="s">
        <v>564</v>
      </c>
      <c r="Q5" s="79"/>
      <c r="R5" s="79"/>
      <c r="S5" s="426"/>
      <c r="T5" s="426"/>
    </row>
    <row r="6" spans="1:20">
      <c r="A6" s="278" t="str">
        <f>'1-συμβολαια'!A7</f>
        <v>3ο</v>
      </c>
      <c r="B6" s="79" t="str">
        <f>'1-συμβολαια'!C7</f>
        <v>γονική</v>
      </c>
      <c r="C6" s="314">
        <f>'1-συμβολαια'!D7</f>
        <v>4027.53</v>
      </c>
      <c r="D6" s="335"/>
      <c r="E6" s="335"/>
      <c r="F6" s="335"/>
      <c r="G6" s="335"/>
      <c r="H6" s="335"/>
      <c r="I6" s="335"/>
      <c r="J6" s="335"/>
      <c r="K6" s="335"/>
      <c r="L6" s="425">
        <v>42772</v>
      </c>
      <c r="M6" s="79">
        <v>567</v>
      </c>
      <c r="N6" s="79">
        <v>91</v>
      </c>
      <c r="O6" s="382"/>
      <c r="P6" s="79" t="s">
        <v>564</v>
      </c>
      <c r="Q6" s="79" t="s">
        <v>565</v>
      </c>
      <c r="R6" s="79"/>
      <c r="S6" s="79"/>
      <c r="T6" s="79"/>
    </row>
    <row r="7" spans="1:20">
      <c r="A7" s="278" t="str">
        <f>'1-συμβολαια'!A8</f>
        <v>4ο</v>
      </c>
      <c r="B7" s="79" t="str">
        <f>'1-συμβολαια'!C8</f>
        <v>δωρεά</v>
      </c>
      <c r="C7" s="314">
        <f>'1-συμβολαια'!D8</f>
        <v>3068.08</v>
      </c>
      <c r="D7" s="335"/>
      <c r="E7" s="335"/>
      <c r="F7" s="335"/>
      <c r="G7" s="335"/>
      <c r="H7" s="335"/>
      <c r="I7" s="335"/>
      <c r="J7" s="335"/>
      <c r="K7" s="335"/>
      <c r="L7" s="521" t="s">
        <v>566</v>
      </c>
      <c r="M7" s="79"/>
      <c r="N7" s="79"/>
      <c r="O7" s="79"/>
      <c r="P7" s="79"/>
      <c r="Q7" s="79"/>
      <c r="R7" s="79"/>
      <c r="S7" s="79"/>
      <c r="T7" s="79"/>
    </row>
    <row r="8" spans="1:20">
      <c r="A8" s="552" t="str">
        <f>'1-συμβολαια'!A9</f>
        <v>σύνολο</v>
      </c>
      <c r="B8" s="553"/>
      <c r="C8" s="554"/>
      <c r="D8" s="314">
        <f t="shared" ref="D8:K8" si="0">SUM(D2:D7)</f>
        <v>0</v>
      </c>
      <c r="E8" s="314">
        <f t="shared" si="0"/>
        <v>0</v>
      </c>
      <c r="F8" s="314">
        <f t="shared" si="0"/>
        <v>0</v>
      </c>
      <c r="G8" s="314">
        <f t="shared" si="0"/>
        <v>0</v>
      </c>
      <c r="H8" s="314">
        <f t="shared" si="0"/>
        <v>0</v>
      </c>
      <c r="I8" s="314">
        <f t="shared" si="0"/>
        <v>0</v>
      </c>
      <c r="J8" s="314">
        <f t="shared" si="0"/>
        <v>0</v>
      </c>
      <c r="K8" s="314">
        <f t="shared" si="0"/>
        <v>0</v>
      </c>
    </row>
    <row r="9" spans="1:20">
      <c r="J9" s="2"/>
    </row>
    <row r="10" spans="1:20">
      <c r="C10" s="2" t="s">
        <v>405</v>
      </c>
      <c r="I10" s="5"/>
    </row>
    <row r="11" spans="1:20">
      <c r="J11" s="2"/>
    </row>
    <row r="12" spans="1:20">
      <c r="H12" s="158"/>
    </row>
    <row r="13" spans="1:20">
      <c r="J13" s="2"/>
    </row>
    <row r="14" spans="1:20">
      <c r="E14" s="117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  <c r="E23" s="5"/>
      <c r="F23" s="5"/>
      <c r="G23" s="5"/>
      <c r="H23" s="5"/>
      <c r="I23" s="5"/>
      <c r="J23" s="5"/>
      <c r="K23" s="5"/>
    </row>
    <row r="24" spans="3:11">
      <c r="C24" s="4"/>
      <c r="D24" s="5"/>
    </row>
    <row r="25" spans="3:11">
      <c r="C25" s="4"/>
      <c r="D25" s="5"/>
    </row>
    <row r="26" spans="3:11">
      <c r="C26" s="4"/>
      <c r="D26" s="5"/>
    </row>
    <row r="27" spans="3:11">
      <c r="D27" s="5"/>
    </row>
    <row r="28" spans="3:11">
      <c r="D28" s="5"/>
    </row>
    <row r="29" spans="3:11">
      <c r="D29" s="5"/>
    </row>
    <row r="30" spans="3:11">
      <c r="D30" s="5"/>
    </row>
    <row r="31" spans="3:11">
      <c r="D31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L30" sqref="L30"/>
    </sheetView>
  </sheetViews>
  <sheetFormatPr defaultRowHeight="11.25"/>
  <cols>
    <col min="1" max="1" width="7" style="8" customWidth="1"/>
    <col min="2" max="2" width="52.28515625" style="94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4" customWidth="1"/>
    <col min="17" max="17" width="8" style="84" customWidth="1"/>
    <col min="18" max="18" width="5.85546875" style="84" customWidth="1"/>
    <col min="19" max="19" width="9" style="84" customWidth="1"/>
    <col min="20" max="20" width="8" style="84" customWidth="1"/>
    <col min="21" max="21" width="16.85546875" style="84" customWidth="1"/>
    <col min="22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9" t="s">
        <v>1</v>
      </c>
      <c r="B1" s="571" t="s">
        <v>0</v>
      </c>
      <c r="C1" s="573" t="s">
        <v>7</v>
      </c>
      <c r="D1" s="565" t="s">
        <v>366</v>
      </c>
      <c r="E1" s="566"/>
      <c r="F1" s="566"/>
      <c r="G1" s="566"/>
      <c r="H1" s="566"/>
      <c r="I1" s="566"/>
      <c r="J1" s="566"/>
      <c r="K1" s="566"/>
      <c r="L1" s="566"/>
      <c r="M1" s="575" t="s">
        <v>91</v>
      </c>
      <c r="N1" s="576"/>
      <c r="O1" s="577" t="s">
        <v>251</v>
      </c>
      <c r="P1" s="559" t="s">
        <v>83</v>
      </c>
      <c r="Q1" s="560"/>
      <c r="R1" s="560"/>
      <c r="S1" s="560"/>
      <c r="T1" s="560"/>
      <c r="U1" s="560"/>
      <c r="V1" s="560"/>
      <c r="W1" s="560"/>
      <c r="X1" s="560"/>
      <c r="Y1" s="560"/>
      <c r="Z1" s="561"/>
    </row>
    <row r="2" spans="1:26" s="12" customFormat="1" ht="24" customHeight="1" thickBot="1">
      <c r="A2" s="570"/>
      <c r="B2" s="572"/>
      <c r="C2" s="574"/>
      <c r="D2" s="61" t="s">
        <v>77</v>
      </c>
      <c r="E2" s="61" t="s">
        <v>78</v>
      </c>
      <c r="F2" s="61" t="s">
        <v>367</v>
      </c>
      <c r="G2" s="61" t="s">
        <v>368</v>
      </c>
      <c r="H2" s="61" t="s">
        <v>23</v>
      </c>
      <c r="I2" s="214" t="s">
        <v>356</v>
      </c>
      <c r="J2" s="214" t="s">
        <v>357</v>
      </c>
      <c r="K2" s="214" t="s">
        <v>380</v>
      </c>
      <c r="L2" s="215" t="s">
        <v>359</v>
      </c>
      <c r="M2" s="217" t="s">
        <v>381</v>
      </c>
      <c r="N2" s="216" t="s">
        <v>382</v>
      </c>
      <c r="O2" s="578"/>
      <c r="P2" s="562"/>
      <c r="Q2" s="563"/>
      <c r="R2" s="563"/>
      <c r="S2" s="563"/>
      <c r="T2" s="563"/>
      <c r="U2" s="563"/>
      <c r="V2" s="563"/>
      <c r="W2" s="563"/>
      <c r="X2" s="563"/>
      <c r="Y2" s="563"/>
      <c r="Z2" s="564"/>
    </row>
    <row r="3" spans="1:26" s="5" customFormat="1">
      <c r="A3" s="379" t="str">
        <f>'1-συμβολαια'!A3</f>
        <v>1ο</v>
      </c>
      <c r="B3" s="344" t="str">
        <f>'1-συμβολαια'!C3</f>
        <v>κληρονομιάς ΑΠΟΔΟΧΗ</v>
      </c>
      <c r="C3" s="339">
        <f>'1-συμβολαια'!D3</f>
        <v>0</v>
      </c>
      <c r="D3" s="331">
        <v>29.35</v>
      </c>
      <c r="E3" s="331"/>
      <c r="F3" s="331"/>
      <c r="G3" s="331"/>
      <c r="H3" s="331">
        <f t="shared" ref="H3:H8" si="0">D3+E3+F3+G3</f>
        <v>29.35</v>
      </c>
      <c r="I3" s="332">
        <f t="shared" ref="I3:I8" si="1">(F3+G3)*9%</f>
        <v>0</v>
      </c>
      <c r="J3" s="332">
        <f t="shared" ref="J3:J8" si="2">(D3+E3)*5%</f>
        <v>1.4675000000000002</v>
      </c>
      <c r="K3" s="332">
        <f t="shared" ref="K3:K8" si="3">H3*5%</f>
        <v>1.4675000000000002</v>
      </c>
      <c r="L3" s="339">
        <f t="shared" ref="L3:L8" si="4">H3*1%</f>
        <v>0.29350000000000004</v>
      </c>
      <c r="M3" s="339">
        <f t="shared" ref="M3:M8" si="5">H3-O3</f>
        <v>26.121500000000001</v>
      </c>
      <c r="N3" s="339">
        <f t="shared" ref="N3:N8" si="6">D3+E3</f>
        <v>29.35</v>
      </c>
      <c r="O3" s="339">
        <f t="shared" ref="O3:O8" si="7">I3+J3+K3+L3</f>
        <v>3.2285000000000004</v>
      </c>
      <c r="P3" s="345"/>
      <c r="Q3" s="345"/>
      <c r="R3" s="345"/>
      <c r="S3" s="345"/>
      <c r="T3" s="345"/>
      <c r="U3" s="345"/>
      <c r="V3" s="345"/>
      <c r="W3" s="276"/>
      <c r="X3" s="276"/>
      <c r="Y3" s="276"/>
      <c r="Z3" s="276"/>
    </row>
    <row r="4" spans="1:26" s="5" customFormat="1" ht="11.25" customHeight="1">
      <c r="A4" s="379">
        <f>'1-συμβολαια'!A4</f>
        <v>0</v>
      </c>
      <c r="B4" s="344" t="str">
        <f>'1-συμβολαια'!C4</f>
        <v>χρησικτησία αγροτεμαχίων {0,7 &amp; 1,8στρ} = 19?? πατρός ΔΩΡΕΑ άτυπη</v>
      </c>
      <c r="C4" s="339">
        <f>'1-συμβολαια'!D4</f>
        <v>1111</v>
      </c>
      <c r="D4" s="331"/>
      <c r="E4" s="331">
        <v>2.93</v>
      </c>
      <c r="F4" s="331">
        <v>10.56</v>
      </c>
      <c r="G4" s="331">
        <f t="shared" ref="G4:G8" si="8">(C4-323.67)*1.2%</f>
        <v>9.4479600000000001</v>
      </c>
      <c r="H4" s="331">
        <f t="shared" si="0"/>
        <v>22.93796</v>
      </c>
      <c r="I4" s="332">
        <f t="shared" si="1"/>
        <v>1.8007164</v>
      </c>
      <c r="J4" s="332">
        <f t="shared" si="2"/>
        <v>0.14650000000000002</v>
      </c>
      <c r="K4" s="332">
        <f t="shared" si="3"/>
        <v>1.146898</v>
      </c>
      <c r="L4" s="339">
        <f t="shared" si="4"/>
        <v>0.22937960000000002</v>
      </c>
      <c r="M4" s="339">
        <f t="shared" si="5"/>
        <v>19.614466</v>
      </c>
      <c r="N4" s="339">
        <f t="shared" si="6"/>
        <v>2.93</v>
      </c>
      <c r="O4" s="339">
        <f>I4+J4+K4+L4</f>
        <v>3.3234940000000002</v>
      </c>
      <c r="P4" s="345"/>
      <c r="Q4" s="345" t="s">
        <v>402</v>
      </c>
      <c r="R4" s="345" t="s">
        <v>403</v>
      </c>
      <c r="S4" s="345" t="s">
        <v>404</v>
      </c>
      <c r="T4" s="345"/>
      <c r="U4" s="345"/>
      <c r="V4" s="345"/>
      <c r="W4" s="276"/>
      <c r="X4" s="276"/>
      <c r="Y4" s="276"/>
      <c r="Z4" s="276"/>
    </row>
    <row r="5" spans="1:26" s="5" customFormat="1" ht="12" thickBot="1">
      <c r="A5" s="410">
        <f>'1-συμβολαια'!A5</f>
        <v>0</v>
      </c>
      <c r="B5" s="431" t="str">
        <f>'1-συμβολαια'!C5</f>
        <v>χρησικτησία οικοπέδου = νικολουδηΣαββατουλα ΑΝΤΑΛΑΓΗ άτυπη</v>
      </c>
      <c r="C5" s="415">
        <f>'1-συμβολαια'!D5</f>
        <v>22222</v>
      </c>
      <c r="D5" s="414"/>
      <c r="E5" s="414">
        <v>2.93</v>
      </c>
      <c r="F5" s="414">
        <v>10.56</v>
      </c>
      <c r="G5" s="414">
        <f t="shared" si="8"/>
        <v>262.77996000000002</v>
      </c>
      <c r="H5" s="414">
        <f t="shared" si="0"/>
        <v>276.26996000000003</v>
      </c>
      <c r="I5" s="414">
        <f t="shared" si="1"/>
        <v>24.600596400000001</v>
      </c>
      <c r="J5" s="414">
        <f t="shared" si="2"/>
        <v>0.14650000000000002</v>
      </c>
      <c r="K5" s="414">
        <f t="shared" si="3"/>
        <v>13.813498000000003</v>
      </c>
      <c r="L5" s="415">
        <f t="shared" si="4"/>
        <v>2.7626996000000004</v>
      </c>
      <c r="M5" s="415">
        <f t="shared" si="5"/>
        <v>234.94666600000002</v>
      </c>
      <c r="N5" s="415">
        <f t="shared" si="6"/>
        <v>2.93</v>
      </c>
      <c r="O5" s="415">
        <f t="shared" si="7"/>
        <v>41.323293999999997</v>
      </c>
      <c r="P5" s="432"/>
      <c r="Q5" s="432" t="s">
        <v>402</v>
      </c>
      <c r="R5" s="432" t="s">
        <v>403</v>
      </c>
      <c r="S5" s="432" t="s">
        <v>404</v>
      </c>
      <c r="T5" s="345"/>
      <c r="U5" s="345"/>
      <c r="V5" s="345"/>
      <c r="W5" s="276"/>
      <c r="X5" s="276"/>
      <c r="Y5" s="276"/>
      <c r="Z5" s="276"/>
    </row>
    <row r="6" spans="1:26" s="5" customFormat="1">
      <c r="A6" s="419" t="str">
        <f>'1-συμβολαια'!A6</f>
        <v>2ο</v>
      </c>
      <c r="B6" s="373" t="str">
        <f>'1-συμβολαια'!C6</f>
        <v>γονική</v>
      </c>
      <c r="C6" s="339">
        <f>'1-συμβολαια'!D6</f>
        <v>5454.92</v>
      </c>
      <c r="D6" s="332"/>
      <c r="E6" s="331">
        <v>2.93</v>
      </c>
      <c r="F6" s="331">
        <v>10.56</v>
      </c>
      <c r="G6" s="331">
        <f t="shared" si="8"/>
        <v>61.575000000000003</v>
      </c>
      <c r="H6" s="332">
        <f t="shared" si="0"/>
        <v>75.064999999999998</v>
      </c>
      <c r="I6" s="332">
        <f t="shared" si="1"/>
        <v>6.4921500000000005</v>
      </c>
      <c r="J6" s="332">
        <f t="shared" si="2"/>
        <v>0.14650000000000002</v>
      </c>
      <c r="K6" s="332">
        <f t="shared" si="3"/>
        <v>3.75325</v>
      </c>
      <c r="L6" s="339">
        <f t="shared" si="4"/>
        <v>0.75065000000000004</v>
      </c>
      <c r="M6" s="339">
        <f t="shared" si="5"/>
        <v>63.922449999999998</v>
      </c>
      <c r="N6" s="339">
        <f t="shared" si="6"/>
        <v>2.93</v>
      </c>
      <c r="O6" s="339">
        <f t="shared" si="7"/>
        <v>11.14255</v>
      </c>
      <c r="P6" s="358"/>
      <c r="Q6" s="345" t="s">
        <v>402</v>
      </c>
      <c r="R6" s="345" t="s">
        <v>403</v>
      </c>
      <c r="S6" s="345" t="s">
        <v>404</v>
      </c>
      <c r="T6" s="345"/>
      <c r="U6" s="345"/>
      <c r="V6" s="345"/>
      <c r="W6" s="276"/>
      <c r="X6" s="276"/>
      <c r="Y6" s="276"/>
      <c r="Z6" s="276"/>
    </row>
    <row r="7" spans="1:26" s="5" customFormat="1">
      <c r="A7" s="420" t="str">
        <f>'1-συμβολαια'!A7</f>
        <v>3ο</v>
      </c>
      <c r="B7" s="344" t="str">
        <f>'1-συμβολαια'!C7</f>
        <v>γονική</v>
      </c>
      <c r="C7" s="339">
        <f>'1-συμβολαια'!D7</f>
        <v>4027.53</v>
      </c>
      <c r="D7" s="331"/>
      <c r="E7" s="331">
        <v>2.93</v>
      </c>
      <c r="F7" s="331">
        <v>10.56</v>
      </c>
      <c r="G7" s="331">
        <f t="shared" si="8"/>
        <v>44.44632</v>
      </c>
      <c r="H7" s="331">
        <f t="shared" si="0"/>
        <v>57.936320000000002</v>
      </c>
      <c r="I7" s="332">
        <f t="shared" si="1"/>
        <v>4.9505688000000001</v>
      </c>
      <c r="J7" s="332">
        <f t="shared" si="2"/>
        <v>0.14650000000000002</v>
      </c>
      <c r="K7" s="332">
        <f t="shared" si="3"/>
        <v>2.8968160000000003</v>
      </c>
      <c r="L7" s="339">
        <f t="shared" si="4"/>
        <v>0.57936320000000008</v>
      </c>
      <c r="M7" s="339">
        <f t="shared" si="5"/>
        <v>49.363072000000003</v>
      </c>
      <c r="N7" s="339">
        <f t="shared" si="6"/>
        <v>2.93</v>
      </c>
      <c r="O7" s="339">
        <f t="shared" si="7"/>
        <v>8.5732479999999995</v>
      </c>
      <c r="P7" s="345"/>
      <c r="Q7" s="345" t="s">
        <v>402</v>
      </c>
      <c r="R7" s="345" t="s">
        <v>403</v>
      </c>
      <c r="S7" s="345" t="s">
        <v>404</v>
      </c>
      <c r="T7" s="345"/>
      <c r="U7" s="345"/>
      <c r="V7" s="345"/>
      <c r="W7" s="276"/>
      <c r="X7" s="276"/>
      <c r="Y7" s="276"/>
      <c r="Z7" s="276"/>
    </row>
    <row r="8" spans="1:26" s="5" customFormat="1">
      <c r="A8" s="420" t="str">
        <f>'1-συμβολαια'!A8</f>
        <v>4ο</v>
      </c>
      <c r="B8" s="344" t="str">
        <f>'1-συμβολαια'!C8</f>
        <v>δωρεά</v>
      </c>
      <c r="C8" s="339">
        <f>'1-συμβολαια'!D8</f>
        <v>3068.08</v>
      </c>
      <c r="D8" s="331"/>
      <c r="E8" s="331">
        <v>2.93</v>
      </c>
      <c r="F8" s="331">
        <v>10.56</v>
      </c>
      <c r="G8" s="331">
        <f t="shared" si="8"/>
        <v>32.932919999999996</v>
      </c>
      <c r="H8" s="331">
        <f t="shared" si="0"/>
        <v>46.422919999999998</v>
      </c>
      <c r="I8" s="332">
        <f t="shared" si="1"/>
        <v>3.9143627999999997</v>
      </c>
      <c r="J8" s="332">
        <f t="shared" si="2"/>
        <v>0.14650000000000002</v>
      </c>
      <c r="K8" s="332">
        <f t="shared" si="3"/>
        <v>2.3211460000000002</v>
      </c>
      <c r="L8" s="339">
        <f t="shared" si="4"/>
        <v>0.46422920000000001</v>
      </c>
      <c r="M8" s="339">
        <f t="shared" si="5"/>
        <v>39.576681999999998</v>
      </c>
      <c r="N8" s="339">
        <f t="shared" si="6"/>
        <v>2.93</v>
      </c>
      <c r="O8" s="339">
        <f t="shared" si="7"/>
        <v>6.8462379999999996</v>
      </c>
      <c r="P8" s="345"/>
      <c r="Q8" s="345" t="s">
        <v>402</v>
      </c>
      <c r="R8" s="345" t="s">
        <v>403</v>
      </c>
      <c r="S8" s="345" t="s">
        <v>404</v>
      </c>
      <c r="T8" s="345"/>
      <c r="U8" s="345"/>
      <c r="V8" s="345"/>
      <c r="W8" s="276"/>
      <c r="X8" s="276"/>
      <c r="Y8" s="276"/>
      <c r="Z8" s="276"/>
    </row>
    <row r="9" spans="1:26">
      <c r="A9" s="567" t="s">
        <v>56</v>
      </c>
      <c r="B9" s="568"/>
      <c r="C9" s="568"/>
      <c r="D9" s="39">
        <f t="shared" ref="D9:O9" si="9">SUM(D3:D8)</f>
        <v>29.35</v>
      </c>
      <c r="E9" s="39">
        <f t="shared" si="9"/>
        <v>14.65</v>
      </c>
      <c r="F9" s="39">
        <f t="shared" si="9"/>
        <v>52.800000000000004</v>
      </c>
      <c r="G9" s="39">
        <f t="shared" si="9"/>
        <v>411.18216000000007</v>
      </c>
      <c r="H9" s="39">
        <f t="shared" si="9"/>
        <v>507.98216000000002</v>
      </c>
      <c r="I9" s="39">
        <f t="shared" si="9"/>
        <v>41.7583944</v>
      </c>
      <c r="J9" s="39">
        <f t="shared" si="9"/>
        <v>2.2000000000000006</v>
      </c>
      <c r="K9" s="39">
        <f t="shared" si="9"/>
        <v>25.399108000000005</v>
      </c>
      <c r="L9" s="39">
        <f t="shared" si="9"/>
        <v>5.0798216000000007</v>
      </c>
      <c r="M9" s="39">
        <f t="shared" si="9"/>
        <v>433.54483600000003</v>
      </c>
      <c r="N9" s="39">
        <f t="shared" si="9"/>
        <v>44</v>
      </c>
      <c r="O9" s="39">
        <f t="shared" si="9"/>
        <v>74.43732399999999</v>
      </c>
    </row>
    <row r="10" spans="1:26">
      <c r="I10" s="8" t="s">
        <v>394</v>
      </c>
      <c r="J10" s="295" t="s">
        <v>77</v>
      </c>
      <c r="K10" s="169">
        <v>0.03</v>
      </c>
      <c r="L10" s="8" t="s">
        <v>77</v>
      </c>
      <c r="P10" s="156" t="s">
        <v>383</v>
      </c>
      <c r="Q10" s="127"/>
      <c r="R10" s="127"/>
      <c r="S10" s="127"/>
      <c r="T10" s="127"/>
      <c r="U10" s="127"/>
      <c r="V10" s="127"/>
      <c r="W10" s="127"/>
      <c r="X10" s="127"/>
      <c r="Y10" s="127"/>
    </row>
    <row r="11" spans="1:26">
      <c r="I11" s="169">
        <v>0.15</v>
      </c>
      <c r="J11" s="169">
        <v>0.44</v>
      </c>
      <c r="K11" s="169">
        <v>0.15</v>
      </c>
      <c r="L11" s="8" t="s">
        <v>395</v>
      </c>
      <c r="P11" s="135"/>
      <c r="Q11" s="156" t="s">
        <v>384</v>
      </c>
      <c r="R11" s="127"/>
      <c r="S11" s="127"/>
      <c r="T11" s="127"/>
      <c r="U11" s="127"/>
      <c r="V11" s="127"/>
      <c r="W11" s="127"/>
      <c r="X11" s="127"/>
      <c r="Y11" s="135"/>
    </row>
    <row r="12" spans="1:26">
      <c r="P12" s="135"/>
      <c r="Q12" s="135"/>
      <c r="R12" s="127" t="s">
        <v>385</v>
      </c>
      <c r="S12" s="135"/>
      <c r="T12" s="135"/>
      <c r="U12" s="135"/>
      <c r="V12" s="135"/>
      <c r="W12" s="135"/>
      <c r="X12" s="135"/>
      <c r="Y12" s="135"/>
    </row>
    <row r="13" spans="1:26">
      <c r="P13" s="135"/>
      <c r="Q13" s="135"/>
      <c r="R13" s="135"/>
      <c r="S13" s="156" t="s">
        <v>386</v>
      </c>
      <c r="T13" s="135"/>
      <c r="U13" s="135"/>
      <c r="V13" s="135"/>
      <c r="W13" s="135"/>
      <c r="X13" s="135"/>
      <c r="Y13" s="135"/>
    </row>
    <row r="14" spans="1:26">
      <c r="P14" s="135"/>
      <c r="Q14" s="135"/>
      <c r="R14" s="135"/>
      <c r="S14" s="135"/>
      <c r="T14" s="127" t="s">
        <v>387</v>
      </c>
      <c r="U14" s="135"/>
      <c r="V14" s="135"/>
      <c r="W14" s="135"/>
      <c r="X14" s="135"/>
      <c r="Y14" s="135"/>
    </row>
    <row r="15" spans="1:26">
      <c r="P15" s="135"/>
      <c r="Q15" s="135"/>
      <c r="R15" s="127"/>
      <c r="S15" s="127"/>
      <c r="T15" s="135"/>
      <c r="U15" s="156" t="s">
        <v>388</v>
      </c>
      <c r="V15" s="135"/>
      <c r="W15" s="127"/>
      <c r="X15" s="127"/>
      <c r="Y15" s="127"/>
      <c r="Z15" s="127"/>
    </row>
    <row r="16" spans="1:26">
      <c r="P16" s="135"/>
      <c r="Q16" s="135"/>
      <c r="R16" s="127"/>
      <c r="S16" s="127"/>
      <c r="T16" s="135"/>
      <c r="U16" s="135"/>
      <c r="V16" s="127" t="s">
        <v>389</v>
      </c>
      <c r="W16" s="127"/>
      <c r="X16" s="127"/>
      <c r="Y16" s="127"/>
      <c r="Z16" s="135"/>
    </row>
    <row r="17" spans="2:26" ht="15.75">
      <c r="B17" s="296" t="s">
        <v>480</v>
      </c>
      <c r="C17" s="39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297">
        <v>0.15</v>
      </c>
      <c r="Q17" s="298">
        <v>2.93</v>
      </c>
      <c r="R17" s="5" t="s">
        <v>396</v>
      </c>
      <c r="S17" s="3"/>
      <c r="T17" s="299">
        <f>Q17-P17</f>
        <v>2.7800000000000002</v>
      </c>
      <c r="U17" s="135"/>
      <c r="V17" s="135"/>
      <c r="W17" s="135"/>
      <c r="X17" s="135"/>
      <c r="Y17" s="135"/>
      <c r="Z17" s="135"/>
    </row>
    <row r="18" spans="2:26" ht="15.75">
      <c r="B18" s="137"/>
      <c r="C18" s="220" t="s">
        <v>481</v>
      </c>
      <c r="D18" s="300"/>
      <c r="E18" s="300"/>
      <c r="F18" s="300"/>
      <c r="G18" s="301"/>
      <c r="H18" s="301"/>
      <c r="I18" s="301"/>
      <c r="J18" s="301"/>
      <c r="K18" s="301"/>
      <c r="L18" s="301"/>
      <c r="M18" s="301"/>
      <c r="N18" s="301"/>
      <c r="P18" s="169">
        <v>0.44</v>
      </c>
      <c r="Q18" s="295">
        <v>0.56000000000000005</v>
      </c>
      <c r="R18" s="3" t="s">
        <v>397</v>
      </c>
      <c r="S18" s="3"/>
      <c r="T18" s="299">
        <f>Q18-P18</f>
        <v>0.12000000000000005</v>
      </c>
    </row>
    <row r="19" spans="2:26" ht="15.75">
      <c r="B19" s="302"/>
      <c r="C19" s="303"/>
      <c r="D19" s="304" t="s">
        <v>390</v>
      </c>
      <c r="E19" s="304"/>
      <c r="F19" s="304"/>
      <c r="G19" s="304"/>
      <c r="H19" s="305"/>
      <c r="I19" s="305"/>
      <c r="J19" s="305"/>
      <c r="K19" s="305"/>
      <c r="L19" s="305"/>
      <c r="M19" s="305"/>
      <c r="O19" s="306">
        <v>0.05</v>
      </c>
      <c r="P19" s="8"/>
      <c r="Q19" s="4">
        <v>0.73</v>
      </c>
      <c r="R19" s="5" t="s">
        <v>132</v>
      </c>
      <c r="S19" s="3"/>
      <c r="T19" s="5"/>
    </row>
    <row r="20" spans="2:26" ht="15.75">
      <c r="B20" s="302"/>
      <c r="C20" s="303"/>
      <c r="D20" s="303"/>
      <c r="E20" s="303"/>
      <c r="F20" s="303"/>
      <c r="G20" s="303"/>
      <c r="H20" s="303"/>
      <c r="I20" s="307"/>
      <c r="J20" s="307"/>
      <c r="K20" s="307"/>
      <c r="L20" s="307"/>
      <c r="M20" s="62"/>
      <c r="O20" s="306">
        <v>0.05</v>
      </c>
      <c r="P20" s="8"/>
      <c r="Q20" s="4">
        <v>1.47</v>
      </c>
      <c r="R20" s="3" t="s">
        <v>398</v>
      </c>
      <c r="S20" s="3"/>
      <c r="T20" s="3"/>
    </row>
    <row r="21" spans="2:26" ht="15.75">
      <c r="B21" s="302"/>
      <c r="C21" s="398" t="s">
        <v>61</v>
      </c>
      <c r="D21" s="226"/>
      <c r="E21" s="301"/>
      <c r="F21" s="301"/>
      <c r="G21" s="307"/>
      <c r="H21" s="307"/>
      <c r="I21" s="307"/>
      <c r="J21" s="308"/>
      <c r="K21" s="303"/>
      <c r="L21" s="303"/>
      <c r="M21" s="307"/>
      <c r="O21" s="306">
        <v>0.05</v>
      </c>
      <c r="P21" s="8"/>
      <c r="Q21" s="4">
        <v>3.99</v>
      </c>
      <c r="R21" s="5" t="s">
        <v>399</v>
      </c>
      <c r="S21" s="5"/>
      <c r="T21" s="5"/>
    </row>
    <row r="22" spans="2:26" ht="15.75">
      <c r="B22" s="302"/>
      <c r="C22" s="303"/>
      <c r="D22" s="218" t="s">
        <v>482</v>
      </c>
      <c r="E22" s="218"/>
      <c r="F22" s="218"/>
      <c r="G22" s="309"/>
      <c r="H22" s="309"/>
      <c r="I22" s="309"/>
      <c r="J22" s="309"/>
      <c r="K22" s="309"/>
      <c r="L22" s="309"/>
      <c r="M22" s="301"/>
      <c r="O22" s="306">
        <v>0.05</v>
      </c>
      <c r="P22" s="8"/>
      <c r="Q22" s="4"/>
      <c r="R22" s="5" t="s">
        <v>483</v>
      </c>
      <c r="S22" s="5"/>
      <c r="T22" s="5"/>
    </row>
    <row r="23" spans="2:26" ht="15">
      <c r="B23" s="302"/>
      <c r="C23" s="303"/>
      <c r="D23" s="219" t="s">
        <v>484</v>
      </c>
      <c r="E23" s="219"/>
      <c r="F23" s="219"/>
      <c r="G23" s="219"/>
      <c r="H23" s="309"/>
      <c r="I23" s="309"/>
      <c r="J23" s="309"/>
      <c r="K23" s="309"/>
      <c r="L23" s="309"/>
      <c r="M23" s="309"/>
      <c r="O23" s="306">
        <v>0.05</v>
      </c>
      <c r="P23" s="8"/>
      <c r="Q23" s="4"/>
      <c r="R23" s="5" t="s">
        <v>485</v>
      </c>
      <c r="S23" s="5"/>
      <c r="T23" s="5"/>
      <c r="U23" s="3"/>
      <c r="V23" s="3"/>
      <c r="W23" s="3"/>
      <c r="X23" s="3"/>
    </row>
    <row r="24" spans="2:26" ht="15.75">
      <c r="B24" s="302"/>
      <c r="C24" s="303"/>
      <c r="D24" s="220" t="s">
        <v>393</v>
      </c>
      <c r="E24" s="307"/>
      <c r="F24" s="307"/>
      <c r="G24" s="307"/>
      <c r="H24" s="307"/>
      <c r="I24" s="303"/>
      <c r="J24" s="307"/>
      <c r="K24" s="307"/>
      <c r="L24" s="307"/>
      <c r="M24" s="310"/>
      <c r="O24" s="306"/>
      <c r="P24" s="8"/>
      <c r="Q24" s="4"/>
      <c r="R24" s="5"/>
      <c r="S24" s="5"/>
      <c r="T24" s="5"/>
      <c r="U24" s="3"/>
      <c r="V24" s="3"/>
      <c r="W24" s="3"/>
      <c r="X24" s="3"/>
    </row>
    <row r="25" spans="2:26" ht="15">
      <c r="B25" s="302"/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P25" s="5" t="s">
        <v>486</v>
      </c>
      <c r="Q25" s="5"/>
      <c r="R25" s="5" t="s">
        <v>132</v>
      </c>
      <c r="S25" s="5"/>
      <c r="T25" s="5"/>
      <c r="U25" s="3"/>
      <c r="V25" s="3"/>
      <c r="W25" s="3"/>
      <c r="X25" s="3"/>
    </row>
    <row r="26" spans="2:26">
      <c r="P26" s="5" t="s">
        <v>487</v>
      </c>
      <c r="Q26" s="5"/>
      <c r="R26" s="5" t="s">
        <v>133</v>
      </c>
      <c r="S26" s="5"/>
      <c r="T26" s="5"/>
    </row>
    <row r="27" spans="2:26">
      <c r="P27" s="5" t="s">
        <v>488</v>
      </c>
      <c r="Q27" s="5"/>
      <c r="R27" s="5" t="s">
        <v>134</v>
      </c>
      <c r="S27" s="5"/>
      <c r="T27" s="5"/>
    </row>
    <row r="28" spans="2:26" ht="15">
      <c r="P28" s="4">
        <v>2.2000000000000002</v>
      </c>
      <c r="Q28" s="311"/>
      <c r="R28" s="5" t="s">
        <v>400</v>
      </c>
      <c r="S28" s="5"/>
      <c r="T28" s="5"/>
    </row>
    <row r="29" spans="2:26" ht="15">
      <c r="D29" s="2"/>
      <c r="P29" s="2">
        <v>2.93</v>
      </c>
      <c r="Q29" s="312"/>
      <c r="R29" s="3" t="s">
        <v>401</v>
      </c>
      <c r="S29" s="5"/>
      <c r="T29" s="5"/>
    </row>
    <row r="30" spans="2:26" ht="15">
      <c r="P30" s="8"/>
      <c r="Q30" s="222"/>
      <c r="R30" s="312"/>
      <c r="S30" s="3"/>
      <c r="T30" s="3"/>
    </row>
    <row r="31" spans="2:26">
      <c r="B31" s="95"/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6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77.1406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588" t="s">
        <v>1</v>
      </c>
      <c r="B1" s="594" t="s">
        <v>0</v>
      </c>
      <c r="C1" s="596" t="s">
        <v>84</v>
      </c>
      <c r="D1" s="590" t="s">
        <v>3</v>
      </c>
      <c r="E1" s="591"/>
      <c r="F1" s="592" t="s">
        <v>532</v>
      </c>
      <c r="G1" s="593"/>
      <c r="H1" s="579" t="s">
        <v>29</v>
      </c>
      <c r="I1" s="580"/>
      <c r="J1" s="580"/>
      <c r="K1" s="580"/>
      <c r="L1" s="580"/>
      <c r="M1" s="580"/>
      <c r="N1" s="581"/>
    </row>
    <row r="2" spans="1:14" s="9" customFormat="1" ht="16.5" thickBot="1">
      <c r="A2" s="589"/>
      <c r="B2" s="595"/>
      <c r="C2" s="597"/>
      <c r="D2" s="49"/>
      <c r="E2" s="60" t="s">
        <v>9</v>
      </c>
      <c r="F2" s="313"/>
      <c r="G2" s="102" t="s">
        <v>9</v>
      </c>
      <c r="H2" s="582"/>
      <c r="I2" s="583"/>
      <c r="J2" s="583"/>
      <c r="K2" s="583"/>
      <c r="L2" s="583"/>
      <c r="M2" s="583"/>
      <c r="N2" s="584"/>
    </row>
    <row r="3" spans="1:14" s="134" customFormat="1" ht="15">
      <c r="A3" s="380" t="str">
        <f>'1-συμβολαια'!A3</f>
        <v>1ο</v>
      </c>
      <c r="B3" s="346" t="str">
        <f>'1-συμβολαια'!C3</f>
        <v>κληρονομιάς ΑΠΟΔΟΧΗ</v>
      </c>
      <c r="C3" s="347">
        <f>'1-συμβολαια'!D3</f>
        <v>0</v>
      </c>
      <c r="D3" s="434">
        <v>3</v>
      </c>
      <c r="E3" s="434">
        <v>3</v>
      </c>
      <c r="F3" s="349">
        <f>(D3-1)*2.35</f>
        <v>4.7</v>
      </c>
      <c r="G3" s="349">
        <f>(E3-1)*2.35</f>
        <v>4.7</v>
      </c>
      <c r="H3" s="345"/>
      <c r="I3" s="345"/>
      <c r="J3" s="345"/>
      <c r="K3" s="435"/>
      <c r="L3" s="435"/>
      <c r="M3" s="435"/>
      <c r="N3" s="350"/>
    </row>
    <row r="4" spans="1:14" s="134" customFormat="1" ht="15">
      <c r="A4" s="380">
        <f>'1-συμβολαια'!A4</f>
        <v>0</v>
      </c>
      <c r="B4" s="346" t="str">
        <f>'1-συμβολαια'!C4</f>
        <v>χρησικτησία αγροτεμαχίων {0,7 &amp; 1,8στρ} = 19?? πατρός ΔΩΡΕΑ άτυπη</v>
      </c>
      <c r="C4" s="347">
        <f>'1-συμβολαια'!D4</f>
        <v>1111</v>
      </c>
      <c r="D4" s="434">
        <v>3</v>
      </c>
      <c r="E4" s="434"/>
      <c r="F4" s="349">
        <f t="shared" ref="F4:F5" si="0">(D4-1)*2.93</f>
        <v>5.86</v>
      </c>
      <c r="G4" s="349"/>
      <c r="H4" s="345"/>
      <c r="I4" s="345" t="s">
        <v>544</v>
      </c>
      <c r="J4" s="345"/>
      <c r="K4" s="435"/>
      <c r="L4" s="435"/>
      <c r="M4" s="435"/>
      <c r="N4" s="350"/>
    </row>
    <row r="5" spans="1:14" s="134" customFormat="1" ht="15.75" thickBot="1">
      <c r="A5" s="444">
        <f>'1-συμβολαια'!A5</f>
        <v>0</v>
      </c>
      <c r="B5" s="445" t="str">
        <f>'1-συμβολαια'!C5</f>
        <v>χρησικτησία οικοπέδου = νικολουδηΣαββατουλα ΑΝΤΑΛΑΓΗ άτυπη</v>
      </c>
      <c r="C5" s="446">
        <f>'1-συμβολαια'!D5</f>
        <v>22222</v>
      </c>
      <c r="D5" s="447">
        <v>3</v>
      </c>
      <c r="E5" s="447"/>
      <c r="F5" s="448">
        <f t="shared" si="0"/>
        <v>5.86</v>
      </c>
      <c r="G5" s="448"/>
      <c r="H5" s="432"/>
      <c r="I5" s="432" t="s">
        <v>544</v>
      </c>
      <c r="J5" s="432"/>
      <c r="K5" s="449"/>
      <c r="L5" s="449"/>
      <c r="M5" s="449"/>
      <c r="N5" s="450"/>
    </row>
    <row r="6" spans="1:14" s="134" customFormat="1" ht="15">
      <c r="A6" s="436" t="str">
        <f>'1-συμβολαια'!A6</f>
        <v>2ο</v>
      </c>
      <c r="B6" s="437" t="str">
        <f>'1-συμβολαια'!C6</f>
        <v>γονική</v>
      </c>
      <c r="C6" s="438">
        <f>'1-συμβολαια'!D6</f>
        <v>5454.92</v>
      </c>
      <c r="D6" s="439">
        <v>5</v>
      </c>
      <c r="E6" s="440">
        <v>5</v>
      </c>
      <c r="F6" s="441">
        <f>(D6-1)*2.93</f>
        <v>11.72</v>
      </c>
      <c r="G6" s="442"/>
      <c r="H6" s="358"/>
      <c r="I6" s="345" t="s">
        <v>544</v>
      </c>
      <c r="J6" s="358"/>
      <c r="K6" s="443"/>
      <c r="L6" s="443"/>
      <c r="M6" s="443"/>
      <c r="N6" s="443"/>
    </row>
    <row r="7" spans="1:14" s="134" customFormat="1" ht="15">
      <c r="A7" s="433" t="str">
        <f>'1-συμβολαια'!A7</f>
        <v>3ο</v>
      </c>
      <c r="B7" s="346" t="str">
        <f>'1-συμβολαια'!C7</f>
        <v>γονική</v>
      </c>
      <c r="C7" s="347">
        <f>'1-συμβολαια'!D7</f>
        <v>4027.53</v>
      </c>
      <c r="D7" s="395">
        <v>4</v>
      </c>
      <c r="E7" s="348">
        <v>4</v>
      </c>
      <c r="F7" s="441">
        <f t="shared" ref="F7:F8" si="1">(D7-1)*2.93</f>
        <v>8.7900000000000009</v>
      </c>
      <c r="G7" s="360"/>
      <c r="H7" s="345"/>
      <c r="I7" s="345" t="s">
        <v>544</v>
      </c>
      <c r="J7" s="345"/>
      <c r="K7" s="350"/>
      <c r="L7" s="350"/>
      <c r="M7" s="350"/>
      <c r="N7" s="350"/>
    </row>
    <row r="8" spans="1:14" s="134" customFormat="1" ht="15">
      <c r="A8" s="433" t="str">
        <f>'1-συμβολαια'!A8</f>
        <v>4ο</v>
      </c>
      <c r="B8" s="346" t="str">
        <f>'1-συμβολαια'!C8</f>
        <v>δωρεά</v>
      </c>
      <c r="C8" s="347">
        <f>'1-συμβολαια'!D8</f>
        <v>3068.08</v>
      </c>
      <c r="D8" s="395">
        <v>4</v>
      </c>
      <c r="E8" s="348">
        <v>4</v>
      </c>
      <c r="F8" s="441">
        <f t="shared" si="1"/>
        <v>8.7900000000000009</v>
      </c>
      <c r="G8" s="360"/>
      <c r="H8" s="345"/>
      <c r="I8" s="345" t="s">
        <v>544</v>
      </c>
      <c r="J8" s="345"/>
      <c r="K8" s="350"/>
      <c r="L8" s="350"/>
      <c r="M8" s="350"/>
      <c r="N8" s="350"/>
    </row>
    <row r="9" spans="1:14" ht="15.75">
      <c r="A9" s="585" t="s">
        <v>60</v>
      </c>
      <c r="B9" s="586"/>
      <c r="C9" s="586"/>
      <c r="D9" s="586"/>
      <c r="E9" s="587"/>
      <c r="F9" s="111">
        <f>SUM(F3:F8)</f>
        <v>45.72</v>
      </c>
      <c r="G9" s="111">
        <f>SUM(G3:G8)</f>
        <v>4.7</v>
      </c>
    </row>
    <row r="10" spans="1:14" ht="15.75">
      <c r="H10" s="136" t="s">
        <v>143</v>
      </c>
      <c r="I10" s="137"/>
      <c r="J10" s="137"/>
      <c r="K10" s="137"/>
      <c r="L10" s="137"/>
      <c r="M10" s="137"/>
    </row>
    <row r="11" spans="1:14" ht="15.75">
      <c r="B11" s="404" t="s">
        <v>533</v>
      </c>
      <c r="C11" s="317"/>
      <c r="D11" s="317"/>
      <c r="E11" s="317"/>
      <c r="F11" s="317"/>
      <c r="I11" s="137" t="s">
        <v>144</v>
      </c>
      <c r="J11" s="137"/>
      <c r="K11" s="137"/>
      <c r="L11" s="137"/>
      <c r="M11" s="89"/>
    </row>
    <row r="12" spans="1:14" ht="15.75">
      <c r="B12" s="404" t="s">
        <v>534</v>
      </c>
      <c r="C12" s="317"/>
      <c r="D12" s="3"/>
      <c r="J12" s="136" t="s">
        <v>145</v>
      </c>
    </row>
    <row r="13" spans="1:14" ht="15.75">
      <c r="C13" s="226" t="s">
        <v>61</v>
      </c>
      <c r="D13" s="3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11.5703125" style="8" bestFit="1" customWidth="1"/>
    <col min="2" max="2" width="74.140625" style="94" bestFit="1" customWidth="1"/>
    <col min="3" max="3" width="7.28515625" style="8" bestFit="1" customWidth="1"/>
    <col min="4" max="4" width="19.42578125" style="8" bestFit="1" customWidth="1"/>
    <col min="5" max="7" width="4.140625" style="8" bestFit="1" customWidth="1"/>
    <col min="8" max="8" width="7.28515625" style="8" bestFit="1" customWidth="1"/>
    <col min="9" max="9" width="21.7109375" style="8" customWidth="1"/>
    <col min="10" max="10" width="14.85546875" style="8" bestFit="1" customWidth="1"/>
    <col min="11" max="11" width="17.7109375" style="8" bestFit="1" customWidth="1"/>
    <col min="12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69" t="s">
        <v>1</v>
      </c>
      <c r="B1" s="571" t="s">
        <v>0</v>
      </c>
      <c r="C1" s="598" t="s">
        <v>11</v>
      </c>
      <c r="D1" s="598"/>
      <c r="E1" s="598"/>
      <c r="F1" s="598"/>
      <c r="G1" s="598"/>
      <c r="H1" s="599" t="s">
        <v>12</v>
      </c>
      <c r="I1" s="599"/>
      <c r="J1" s="599"/>
      <c r="K1" s="599"/>
      <c r="L1" s="599"/>
      <c r="M1" s="599"/>
      <c r="N1" s="599"/>
      <c r="O1" s="602" t="s">
        <v>85</v>
      </c>
      <c r="P1" s="600" t="s">
        <v>226</v>
      </c>
      <c r="Q1" s="559" t="s">
        <v>29</v>
      </c>
      <c r="R1" s="560"/>
      <c r="S1" s="560"/>
      <c r="T1" s="560"/>
      <c r="U1" s="561"/>
    </row>
    <row r="2" spans="1:25" ht="24" customHeight="1" thickBot="1">
      <c r="A2" s="570"/>
      <c r="B2" s="572"/>
      <c r="C2" s="7" t="s">
        <v>47</v>
      </c>
      <c r="D2" s="394" t="s">
        <v>48</v>
      </c>
      <c r="E2" s="394" t="s">
        <v>49</v>
      </c>
      <c r="F2" s="394" t="s">
        <v>50</v>
      </c>
      <c r="G2" s="40" t="s">
        <v>51</v>
      </c>
      <c r="H2" s="394" t="s">
        <v>47</v>
      </c>
      <c r="I2" s="394" t="s">
        <v>48</v>
      </c>
      <c r="J2" s="394" t="s">
        <v>49</v>
      </c>
      <c r="K2" s="394" t="s">
        <v>50</v>
      </c>
      <c r="L2" s="394" t="s">
        <v>51</v>
      </c>
      <c r="M2" s="394" t="s">
        <v>52</v>
      </c>
      <c r="N2" s="41" t="s">
        <v>53</v>
      </c>
      <c r="O2" s="603"/>
      <c r="P2" s="601"/>
      <c r="Q2" s="562"/>
      <c r="R2" s="563"/>
      <c r="S2" s="563"/>
      <c r="T2" s="563"/>
      <c r="U2" s="564"/>
    </row>
    <row r="3" spans="1:25" s="277" customFormat="1" ht="15">
      <c r="A3" s="380" t="str">
        <f>'1-συμβολαια'!A3</f>
        <v>1ο</v>
      </c>
      <c r="B3" s="351" t="str">
        <f>'1-συμβολαια'!C3</f>
        <v>κληρονομιάς ΑΠΟΔΟΧΗ</v>
      </c>
      <c r="C3" s="434">
        <v>1</v>
      </c>
      <c r="D3" s="278" t="s">
        <v>592</v>
      </c>
      <c r="E3" s="278"/>
      <c r="F3" s="278"/>
      <c r="G3" s="278"/>
      <c r="H3" s="278">
        <v>3</v>
      </c>
      <c r="I3" s="278" t="s">
        <v>589</v>
      </c>
      <c r="J3" s="278" t="s">
        <v>591</v>
      </c>
      <c r="K3" s="278" t="s">
        <v>590</v>
      </c>
      <c r="L3" s="278"/>
      <c r="M3" s="278"/>
      <c r="N3" s="278"/>
      <c r="O3" s="352">
        <v>2</v>
      </c>
      <c r="P3" s="353">
        <f>O3*('2-δικαιώμ'!N3+'3-φύλλα2α'!F3)</f>
        <v>68.100000000000009</v>
      </c>
      <c r="Q3" s="354"/>
      <c r="R3" s="354"/>
      <c r="S3" s="354"/>
      <c r="T3" s="354"/>
      <c r="U3" s="355"/>
    </row>
    <row r="4" spans="1:25" s="277" customFormat="1" ht="15">
      <c r="A4" s="380">
        <f>'1-συμβολαια'!A4</f>
        <v>0</v>
      </c>
      <c r="B4" s="351" t="str">
        <f>'1-συμβολαια'!C4</f>
        <v>χρησικτησία αγροτεμαχίων {0,7 &amp; 1,8στρ} = 19?? πατρός ΔΩΡΕΑ άτυπη</v>
      </c>
      <c r="C4" s="434"/>
      <c r="D4" s="278" t="s">
        <v>593</v>
      </c>
      <c r="E4" s="278"/>
      <c r="F4" s="278"/>
      <c r="G4" s="278"/>
      <c r="H4" s="278"/>
      <c r="I4" s="278" t="s">
        <v>592</v>
      </c>
      <c r="J4" s="278"/>
      <c r="K4" s="278"/>
      <c r="L4" s="278"/>
      <c r="M4" s="278"/>
      <c r="N4" s="278"/>
      <c r="O4" s="352"/>
      <c r="P4" s="353">
        <f>O4*('2-δικαιώμ'!N4+'3-φύλλα2α'!F4)</f>
        <v>0</v>
      </c>
      <c r="Q4" s="354"/>
      <c r="R4" s="354"/>
      <c r="S4" s="354"/>
      <c r="T4" s="354"/>
      <c r="U4" s="355"/>
    </row>
    <row r="5" spans="1:25" s="277" customFormat="1" ht="15.75" thickBot="1">
      <c r="A5" s="444">
        <f>'1-συμβολαια'!A5</f>
        <v>0</v>
      </c>
      <c r="B5" s="512" t="str">
        <f>'1-συμβολαια'!C5</f>
        <v>χρησικτησία οικοπέδου = νικολουδηΣαββατουλα ΑΝΤΑΛΑΓΗ άτυπη</v>
      </c>
      <c r="C5" s="447"/>
      <c r="D5" s="455" t="s">
        <v>594</v>
      </c>
      <c r="E5" s="455"/>
      <c r="F5" s="455"/>
      <c r="G5" s="455"/>
      <c r="H5" s="455"/>
      <c r="I5" s="455" t="s">
        <v>592</v>
      </c>
      <c r="J5" s="455"/>
      <c r="K5" s="455"/>
      <c r="L5" s="455"/>
      <c r="M5" s="455"/>
      <c r="N5" s="455"/>
      <c r="O5" s="456"/>
      <c r="P5" s="457">
        <f>O5*('2-δικαιώμ'!N5+'3-φύλλα2α'!F5)</f>
        <v>0</v>
      </c>
      <c r="Q5" s="458"/>
      <c r="R5" s="458"/>
      <c r="S5" s="458"/>
      <c r="T5" s="458"/>
      <c r="U5" s="459"/>
    </row>
    <row r="6" spans="1:25" s="277" customFormat="1" ht="15">
      <c r="A6" s="436" t="str">
        <f>'1-συμβολαια'!A6</f>
        <v>2ο</v>
      </c>
      <c r="B6" s="451" t="str">
        <f>'1-συμβολαια'!C6</f>
        <v>γονική</v>
      </c>
      <c r="C6" s="452">
        <v>1</v>
      </c>
      <c r="D6" s="278" t="s">
        <v>591</v>
      </c>
      <c r="E6" s="274"/>
      <c r="F6" s="274"/>
      <c r="G6" s="274"/>
      <c r="H6" s="274">
        <v>1</v>
      </c>
      <c r="I6" s="274" t="s">
        <v>589</v>
      </c>
      <c r="J6" s="274"/>
      <c r="K6" s="274"/>
      <c r="L6" s="274"/>
      <c r="M6" s="274"/>
      <c r="N6" s="274"/>
      <c r="O6" s="452"/>
      <c r="P6" s="385">
        <f>O6*('2-δικαιώμ'!N6+'3-φύλλα2α'!F6)</f>
        <v>0</v>
      </c>
      <c r="Q6" s="453"/>
      <c r="R6" s="453"/>
      <c r="S6" s="453"/>
      <c r="T6" s="453"/>
      <c r="U6" s="454"/>
    </row>
    <row r="7" spans="1:25" s="277" customFormat="1" ht="15">
      <c r="A7" s="433" t="str">
        <f>'1-συμβολαια'!A7</f>
        <v>3ο</v>
      </c>
      <c r="B7" s="351" t="str">
        <f>'1-συμβολαια'!C7</f>
        <v>γονική</v>
      </c>
      <c r="C7" s="452">
        <v>1</v>
      </c>
      <c r="D7" s="278" t="s">
        <v>591</v>
      </c>
      <c r="E7" s="278"/>
      <c r="F7" s="278"/>
      <c r="G7" s="278"/>
      <c r="H7" s="278">
        <v>1</v>
      </c>
      <c r="I7" s="278" t="s">
        <v>590</v>
      </c>
      <c r="J7" s="278"/>
      <c r="K7" s="278"/>
      <c r="L7" s="278"/>
      <c r="M7" s="278"/>
      <c r="N7" s="278"/>
      <c r="O7" s="352"/>
      <c r="P7" s="353">
        <f>O7*('2-δικαιώμ'!N7+'3-φύλλα2α'!F7)</f>
        <v>0</v>
      </c>
      <c r="Q7" s="354"/>
      <c r="R7" s="354"/>
      <c r="S7" s="354"/>
      <c r="T7" s="354"/>
      <c r="U7" s="355"/>
    </row>
    <row r="8" spans="1:25" s="277" customFormat="1" ht="15">
      <c r="A8" s="433" t="str">
        <f>'1-συμβολαια'!A8</f>
        <v>4ο</v>
      </c>
      <c r="B8" s="351" t="str">
        <f>'1-συμβολαια'!C8</f>
        <v>δωρεά</v>
      </c>
      <c r="C8" s="352">
        <v>1</v>
      </c>
      <c r="D8" s="278" t="s">
        <v>590</v>
      </c>
      <c r="E8" s="278"/>
      <c r="F8" s="278"/>
      <c r="G8" s="278"/>
      <c r="H8" s="278">
        <v>1</v>
      </c>
      <c r="I8" s="278" t="s">
        <v>589</v>
      </c>
      <c r="J8" s="278"/>
      <c r="K8" s="278"/>
      <c r="L8" s="278"/>
      <c r="M8" s="278"/>
      <c r="N8" s="278"/>
      <c r="O8" s="352"/>
      <c r="P8" s="353">
        <f>O8*('2-δικαιώμ'!N8+'3-φύλλα2α'!F8)</f>
        <v>0</v>
      </c>
      <c r="Q8" s="354"/>
      <c r="R8" s="354"/>
      <c r="S8" s="354"/>
      <c r="T8" s="354"/>
      <c r="U8" s="355"/>
    </row>
    <row r="9" spans="1:25" ht="15.75">
      <c r="A9" s="585" t="s">
        <v>47</v>
      </c>
      <c r="B9" s="586"/>
      <c r="C9" s="586"/>
      <c r="D9" s="586"/>
      <c r="E9" s="586"/>
      <c r="F9" s="586"/>
      <c r="G9" s="586"/>
      <c r="H9" s="586"/>
      <c r="I9" s="586"/>
      <c r="J9" s="586"/>
      <c r="K9" s="586"/>
      <c r="L9" s="586"/>
      <c r="M9" s="586"/>
      <c r="N9" s="586"/>
      <c r="O9" s="586"/>
      <c r="P9" s="110">
        <f>SUM(P3:P8)</f>
        <v>68.100000000000009</v>
      </c>
    </row>
    <row r="11" spans="1:25" ht="15.75">
      <c r="Q11" s="154" t="s">
        <v>146</v>
      </c>
      <c r="R11" s="125"/>
      <c r="S11" s="125"/>
      <c r="T11" s="125"/>
      <c r="U11" s="125"/>
      <c r="V11" s="125"/>
      <c r="W11" s="125"/>
      <c r="X11" s="125"/>
      <c r="Y11" s="116"/>
    </row>
    <row r="12" spans="1:25" ht="15.75">
      <c r="R12" s="137" t="s">
        <v>147</v>
      </c>
      <c r="S12" s="137"/>
      <c r="T12" s="137"/>
      <c r="U12" s="137"/>
      <c r="V12" s="137"/>
      <c r="W12" s="137"/>
      <c r="X12" s="137"/>
    </row>
    <row r="13" spans="1:25" ht="15.75">
      <c r="S13" s="154" t="s">
        <v>148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G13" sqref="G13:H23"/>
    </sheetView>
  </sheetViews>
  <sheetFormatPr defaultRowHeight="11.25"/>
  <cols>
    <col min="1" max="1" width="7.28515625" style="8" bestFit="1" customWidth="1"/>
    <col min="2" max="2" width="53.5703125" style="94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85546875" style="2" customWidth="1"/>
    <col min="9" max="9" width="8.7109375" style="2" customWidth="1"/>
    <col min="10" max="12" width="6.85546875" style="2" customWidth="1"/>
    <col min="13" max="13" width="7.85546875" style="2" customWidth="1"/>
    <col min="14" max="14" width="10.5703125" style="2" customWidth="1"/>
    <col min="15" max="15" width="7.85546875" style="2" customWidth="1"/>
    <col min="16" max="16" width="10.28515625" style="2" customWidth="1"/>
    <col min="17" max="17" width="10.140625" style="2" customWidth="1"/>
    <col min="18" max="18" width="8.1406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6.42578125" style="84" customWidth="1"/>
    <col min="29" max="30" width="6.28515625" style="84" customWidth="1"/>
    <col min="31" max="31" width="7.140625" style="84" customWidth="1"/>
    <col min="32" max="32" width="7.42578125" style="84" customWidth="1"/>
    <col min="33" max="33" width="6.28515625" style="84" customWidth="1"/>
    <col min="34" max="34" width="7.140625" style="84" customWidth="1"/>
    <col min="35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42" t="s">
        <v>1</v>
      </c>
      <c r="B1" s="606" t="s">
        <v>0</v>
      </c>
      <c r="C1" s="548" t="s">
        <v>7</v>
      </c>
      <c r="D1" s="608" t="s">
        <v>3</v>
      </c>
      <c r="E1" s="609"/>
      <c r="F1" s="610" t="s">
        <v>491</v>
      </c>
      <c r="G1" s="611"/>
      <c r="H1" s="611"/>
      <c r="I1" s="611"/>
      <c r="J1" s="611"/>
      <c r="K1" s="611"/>
      <c r="L1" s="612"/>
      <c r="M1" s="613" t="s">
        <v>407</v>
      </c>
      <c r="N1" s="614"/>
      <c r="O1" s="615" t="s">
        <v>251</v>
      </c>
      <c r="P1" s="616"/>
      <c r="Q1" s="617" t="s">
        <v>406</v>
      </c>
      <c r="R1" s="605" t="s">
        <v>171</v>
      </c>
      <c r="S1" s="605"/>
      <c r="T1" s="605"/>
      <c r="U1" s="605"/>
      <c r="V1" s="605"/>
      <c r="W1" s="605"/>
      <c r="X1" s="605"/>
      <c r="Y1" s="605"/>
      <c r="Z1" s="605"/>
      <c r="AA1" s="605"/>
      <c r="AB1" s="605"/>
      <c r="AC1" s="605"/>
      <c r="AD1" s="605"/>
      <c r="AE1" s="605"/>
      <c r="AF1" s="605"/>
      <c r="AG1" s="605"/>
      <c r="AH1" s="605"/>
      <c r="AI1" s="605"/>
      <c r="AJ1" s="605"/>
      <c r="AK1" s="605"/>
      <c r="AL1" s="605"/>
      <c r="AM1" s="605"/>
      <c r="AN1" s="605"/>
      <c r="AO1" s="605"/>
    </row>
    <row r="2" spans="1:41" ht="23.25" thickBot="1">
      <c r="A2" s="543"/>
      <c r="B2" s="607"/>
      <c r="C2" s="549"/>
      <c r="D2" s="159" t="s">
        <v>4</v>
      </c>
      <c r="E2" s="145" t="s">
        <v>9</v>
      </c>
      <c r="F2" s="228" t="s">
        <v>4</v>
      </c>
      <c r="G2" s="160" t="s">
        <v>9</v>
      </c>
      <c r="H2" s="143" t="s">
        <v>47</v>
      </c>
      <c r="I2" s="227" t="s">
        <v>9</v>
      </c>
      <c r="J2" s="207" t="s">
        <v>357</v>
      </c>
      <c r="K2" s="207" t="s">
        <v>380</v>
      </c>
      <c r="L2" s="209" t="s">
        <v>359</v>
      </c>
      <c r="M2" s="227" t="s">
        <v>23</v>
      </c>
      <c r="N2" s="229" t="s">
        <v>86</v>
      </c>
      <c r="O2" s="227" t="s">
        <v>23</v>
      </c>
      <c r="P2" s="223" t="s">
        <v>9</v>
      </c>
      <c r="Q2" s="618"/>
      <c r="R2" s="162" t="s">
        <v>128</v>
      </c>
      <c r="S2" s="162" t="s">
        <v>169</v>
      </c>
      <c r="T2" s="162" t="s">
        <v>129</v>
      </c>
      <c r="U2" s="162" t="s">
        <v>254</v>
      </c>
      <c r="V2" s="162" t="s">
        <v>130</v>
      </c>
      <c r="W2" s="162" t="s">
        <v>255</v>
      </c>
      <c r="X2" s="162" t="s">
        <v>149</v>
      </c>
      <c r="Y2" s="162" t="s">
        <v>170</v>
      </c>
      <c r="Z2" s="162" t="s">
        <v>150</v>
      </c>
      <c r="AA2" s="162" t="s">
        <v>256</v>
      </c>
      <c r="AB2" s="162" t="s">
        <v>151</v>
      </c>
      <c r="AC2" s="162" t="s">
        <v>257</v>
      </c>
      <c r="AD2" s="162" t="s">
        <v>152</v>
      </c>
      <c r="AE2" s="162" t="s">
        <v>271</v>
      </c>
      <c r="AF2" s="162" t="s">
        <v>272</v>
      </c>
      <c r="AG2" s="270" t="s">
        <v>273</v>
      </c>
      <c r="AH2" s="162" t="s">
        <v>274</v>
      </c>
      <c r="AI2" s="162" t="s">
        <v>275</v>
      </c>
      <c r="AJ2" s="162" t="s">
        <v>464</v>
      </c>
      <c r="AK2" s="162" t="s">
        <v>465</v>
      </c>
      <c r="AL2" s="162"/>
      <c r="AM2" s="254" t="s">
        <v>90</v>
      </c>
      <c r="AN2" s="252" t="s">
        <v>47</v>
      </c>
      <c r="AO2" s="253" t="s">
        <v>29</v>
      </c>
    </row>
    <row r="3" spans="1:41" s="5" customFormat="1">
      <c r="A3" s="379" t="str">
        <f>'1-συμβολαια'!A3</f>
        <v>1ο</v>
      </c>
      <c r="B3" s="344" t="str">
        <f>'1-συμβολαια'!C3</f>
        <v>κληρονομιάς ΑΠΟΔΟΧΗ</v>
      </c>
      <c r="C3" s="339">
        <f>'1-συμβολαια'!D3</f>
        <v>0</v>
      </c>
      <c r="D3" s="356">
        <f>'3-φύλλα2α'!D3</f>
        <v>3</v>
      </c>
      <c r="E3" s="356">
        <f>'3-φύλλα2α'!E3</f>
        <v>3</v>
      </c>
      <c r="F3" s="396">
        <v>3</v>
      </c>
      <c r="G3" s="396">
        <v>2</v>
      </c>
      <c r="H3" s="331">
        <f t="shared" ref="H3:H8" si="0">F3*D3*3.23</f>
        <v>29.07</v>
      </c>
      <c r="I3" s="357">
        <f t="shared" ref="I3:I8" si="1">E3*G3*3.23</f>
        <v>19.38</v>
      </c>
      <c r="J3" s="357">
        <f t="shared" ref="J3:J8" si="2">H3*5%</f>
        <v>1.4535</v>
      </c>
      <c r="K3" s="357">
        <f t="shared" ref="K3:K8" si="3">H3*5%</f>
        <v>1.4535</v>
      </c>
      <c r="L3" s="357">
        <f t="shared" ref="L3:L8" si="4">H3*1%</f>
        <v>0.29070000000000001</v>
      </c>
      <c r="M3" s="357">
        <f t="shared" ref="M3:M8" si="5">H3-O3</f>
        <v>25.872299999999999</v>
      </c>
      <c r="N3" s="357">
        <f t="shared" ref="N3:N8" si="6">I3-P3</f>
        <v>17.248200000000001</v>
      </c>
      <c r="O3" s="357">
        <f t="shared" ref="O3:O8" si="7">J3+K3+L3</f>
        <v>3.1977000000000002</v>
      </c>
      <c r="P3" s="357">
        <f t="shared" ref="P3:P8" si="8">I3*11%</f>
        <v>2.1317999999999997</v>
      </c>
      <c r="Q3" s="357">
        <f t="shared" ref="Q3:Q8" si="9">O3-P3</f>
        <v>1.0659000000000005</v>
      </c>
      <c r="R3" s="345"/>
      <c r="S3" s="345"/>
      <c r="T3" s="513">
        <v>9.69</v>
      </c>
      <c r="U3" s="514">
        <v>1.98</v>
      </c>
      <c r="V3" s="513">
        <v>9.69</v>
      </c>
      <c r="W3" s="513">
        <v>1.47</v>
      </c>
      <c r="X3" s="513"/>
      <c r="Y3" s="513"/>
      <c r="Z3" s="513"/>
      <c r="AA3" s="513"/>
      <c r="AB3" s="514"/>
      <c r="AC3" s="513"/>
      <c r="AD3" s="345"/>
      <c r="AE3" s="345"/>
      <c r="AF3" s="345"/>
      <c r="AG3" s="358"/>
      <c r="AH3" s="517">
        <v>6.25</v>
      </c>
      <c r="AI3" s="517">
        <v>0.5</v>
      </c>
      <c r="AJ3" s="517"/>
      <c r="AK3" s="517"/>
      <c r="AL3" s="517"/>
      <c r="AM3" s="519">
        <f t="shared" ref="AM3:AM8" si="10">U3+Y3+AA3+AI3+AK3</f>
        <v>2.48</v>
      </c>
      <c r="AN3" s="518">
        <f t="shared" ref="AN3:AN8" si="11">R3+S3+T3+V3+W3+X3+Z3+AB3+AC3+AD3+AE3+AF3+AG3+AH3+AJ3+AL3</f>
        <v>27.099999999999998</v>
      </c>
      <c r="AO3" s="276"/>
    </row>
    <row r="4" spans="1:41" s="5" customFormat="1">
      <c r="A4" s="379">
        <f>'1-συμβολαια'!A4</f>
        <v>0</v>
      </c>
      <c r="B4" s="344" t="str">
        <f>'1-συμβολαια'!C4</f>
        <v>χρησικτησία αγροτεμαχίων {0,7 &amp; 1,8στρ} = 19?? πατρός ΔΩΡΕΑ άτυπη</v>
      </c>
      <c r="C4" s="339">
        <f>'1-συμβολαια'!D4</f>
        <v>1111</v>
      </c>
      <c r="D4" s="356">
        <f>'3-φύλλα2α'!D4</f>
        <v>3</v>
      </c>
      <c r="E4" s="356">
        <f>'3-φύλλα2α'!E4</f>
        <v>0</v>
      </c>
      <c r="F4" s="396"/>
      <c r="G4" s="396"/>
      <c r="H4" s="331">
        <f t="shared" si="0"/>
        <v>0</v>
      </c>
      <c r="I4" s="357">
        <f t="shared" si="1"/>
        <v>0</v>
      </c>
      <c r="J4" s="357">
        <f t="shared" si="2"/>
        <v>0</v>
      </c>
      <c r="K4" s="357">
        <f t="shared" si="3"/>
        <v>0</v>
      </c>
      <c r="L4" s="357">
        <f t="shared" si="4"/>
        <v>0</v>
      </c>
      <c r="M4" s="357">
        <f t="shared" si="5"/>
        <v>0</v>
      </c>
      <c r="N4" s="357">
        <f t="shared" si="6"/>
        <v>0</v>
      </c>
      <c r="O4" s="357">
        <f t="shared" si="7"/>
        <v>0</v>
      </c>
      <c r="P4" s="357">
        <f t="shared" si="8"/>
        <v>0</v>
      </c>
      <c r="Q4" s="357">
        <f t="shared" si="9"/>
        <v>0</v>
      </c>
      <c r="R4" s="345"/>
      <c r="S4" s="345"/>
      <c r="T4" s="513"/>
      <c r="U4" s="514"/>
      <c r="V4" s="513"/>
      <c r="W4" s="513"/>
      <c r="X4" s="513"/>
      <c r="Y4" s="513"/>
      <c r="Z4" s="513"/>
      <c r="AA4" s="513"/>
      <c r="AB4" s="514"/>
      <c r="AC4" s="513"/>
      <c r="AD4" s="345"/>
      <c r="AE4" s="345"/>
      <c r="AF4" s="345"/>
      <c r="AG4" s="358"/>
      <c r="AH4" s="517"/>
      <c r="AI4" s="517"/>
      <c r="AJ4" s="517"/>
      <c r="AK4" s="517"/>
      <c r="AL4" s="517"/>
      <c r="AM4" s="519">
        <f t="shared" si="10"/>
        <v>0</v>
      </c>
      <c r="AN4" s="518">
        <f t="shared" si="11"/>
        <v>0</v>
      </c>
      <c r="AO4" s="276"/>
    </row>
    <row r="5" spans="1:41" s="5" customFormat="1" ht="12" thickBot="1">
      <c r="A5" s="410">
        <f>'1-συμβολαια'!A5</f>
        <v>0</v>
      </c>
      <c r="B5" s="431" t="str">
        <f>'1-συμβολαια'!C5</f>
        <v>χρησικτησία οικοπέδου = νικολουδηΣαββατουλα ΑΝΤΑΛΑΓΗ άτυπη</v>
      </c>
      <c r="C5" s="415">
        <f>'1-συμβολαια'!D5</f>
        <v>22222</v>
      </c>
      <c r="D5" s="463">
        <f>'3-φύλλα2α'!D5</f>
        <v>3</v>
      </c>
      <c r="E5" s="463">
        <f>'3-φύλλα2α'!E5</f>
        <v>0</v>
      </c>
      <c r="F5" s="455"/>
      <c r="G5" s="455"/>
      <c r="H5" s="414">
        <f t="shared" si="0"/>
        <v>0</v>
      </c>
      <c r="I5" s="464">
        <f t="shared" si="1"/>
        <v>0</v>
      </c>
      <c r="J5" s="464">
        <f t="shared" si="2"/>
        <v>0</v>
      </c>
      <c r="K5" s="464">
        <f t="shared" si="3"/>
        <v>0</v>
      </c>
      <c r="L5" s="464">
        <f t="shared" si="4"/>
        <v>0</v>
      </c>
      <c r="M5" s="464">
        <f t="shared" si="5"/>
        <v>0</v>
      </c>
      <c r="N5" s="464">
        <f t="shared" si="6"/>
        <v>0</v>
      </c>
      <c r="O5" s="464">
        <f t="shared" si="7"/>
        <v>0</v>
      </c>
      <c r="P5" s="464">
        <f t="shared" si="8"/>
        <v>0</v>
      </c>
      <c r="Q5" s="464">
        <f t="shared" si="9"/>
        <v>0</v>
      </c>
      <c r="R5" s="432"/>
      <c r="S5" s="432"/>
      <c r="T5" s="515"/>
      <c r="U5" s="516"/>
      <c r="V5" s="515"/>
      <c r="W5" s="515"/>
      <c r="X5" s="515"/>
      <c r="Y5" s="515"/>
      <c r="Z5" s="515"/>
      <c r="AA5" s="515"/>
      <c r="AB5" s="516"/>
      <c r="AC5" s="515"/>
      <c r="AD5" s="432"/>
      <c r="AE5" s="432"/>
      <c r="AF5" s="432"/>
      <c r="AG5" s="432"/>
      <c r="AH5" s="515"/>
      <c r="AI5" s="515"/>
      <c r="AJ5" s="515"/>
      <c r="AK5" s="515"/>
      <c r="AL5" s="515"/>
      <c r="AM5" s="520">
        <f t="shared" si="10"/>
        <v>0</v>
      </c>
      <c r="AN5" s="516">
        <f t="shared" si="11"/>
        <v>0</v>
      </c>
      <c r="AO5" s="465"/>
    </row>
    <row r="6" spans="1:41" s="5" customFormat="1">
      <c r="A6" s="419" t="str">
        <f>'1-συμβολαια'!A6</f>
        <v>2ο</v>
      </c>
      <c r="B6" s="373" t="str">
        <f>'1-συμβολαια'!C6</f>
        <v>γονική</v>
      </c>
      <c r="C6" s="339">
        <f>'1-συμβολαια'!D6</f>
        <v>5454.92</v>
      </c>
      <c r="D6" s="460">
        <f>'3-φύλλα2α'!D6</f>
        <v>5</v>
      </c>
      <c r="E6" s="460">
        <f>'3-φύλλα2α'!E6</f>
        <v>5</v>
      </c>
      <c r="F6" s="274">
        <v>2</v>
      </c>
      <c r="G6" s="274">
        <v>2</v>
      </c>
      <c r="H6" s="332">
        <f t="shared" si="0"/>
        <v>32.299999999999997</v>
      </c>
      <c r="I6" s="461">
        <f t="shared" si="1"/>
        <v>32.299999999999997</v>
      </c>
      <c r="J6" s="461">
        <f t="shared" si="2"/>
        <v>1.615</v>
      </c>
      <c r="K6" s="461">
        <f t="shared" si="3"/>
        <v>1.615</v>
      </c>
      <c r="L6" s="461">
        <f t="shared" si="4"/>
        <v>0.32299999999999995</v>
      </c>
      <c r="M6" s="461">
        <f t="shared" si="5"/>
        <v>28.746999999999996</v>
      </c>
      <c r="N6" s="461">
        <f t="shared" si="6"/>
        <v>28.746999999999996</v>
      </c>
      <c r="O6" s="461">
        <f t="shared" si="7"/>
        <v>3.5529999999999999</v>
      </c>
      <c r="P6" s="461">
        <f t="shared" si="8"/>
        <v>3.5529999999999995</v>
      </c>
      <c r="Q6" s="461">
        <f t="shared" si="9"/>
        <v>0</v>
      </c>
      <c r="R6" s="517">
        <v>9.69</v>
      </c>
      <c r="S6" s="517">
        <v>1.47</v>
      </c>
      <c r="T6" s="517">
        <v>16.149999999999999</v>
      </c>
      <c r="U6" s="514">
        <v>1.98</v>
      </c>
      <c r="V6" s="517">
        <v>16.149999999999999</v>
      </c>
      <c r="W6" s="517">
        <v>1.47</v>
      </c>
      <c r="X6" s="517"/>
      <c r="Y6" s="517"/>
      <c r="Z6" s="517"/>
      <c r="AA6" s="517"/>
      <c r="AB6" s="517"/>
      <c r="AC6" s="517"/>
      <c r="AD6" s="517">
        <v>3.23</v>
      </c>
      <c r="AE6" s="517">
        <f>8*3.23</f>
        <v>25.84</v>
      </c>
      <c r="AF6" s="517">
        <f>4*1.47</f>
        <v>5.88</v>
      </c>
      <c r="AG6" s="517"/>
      <c r="AH6" s="517">
        <v>6.25</v>
      </c>
      <c r="AI6" s="517">
        <v>0.5</v>
      </c>
      <c r="AJ6" s="517"/>
      <c r="AK6" s="517"/>
      <c r="AL6" s="517"/>
      <c r="AM6" s="519">
        <f t="shared" si="10"/>
        <v>2.48</v>
      </c>
      <c r="AN6" s="518">
        <f t="shared" si="11"/>
        <v>86.129999999999981</v>
      </c>
      <c r="AO6" s="462"/>
    </row>
    <row r="7" spans="1:41" s="5" customFormat="1">
      <c r="A7" s="420" t="str">
        <f>'1-συμβολαια'!A7</f>
        <v>3ο</v>
      </c>
      <c r="B7" s="344" t="str">
        <f>'1-συμβολαια'!C7</f>
        <v>γονική</v>
      </c>
      <c r="C7" s="339">
        <f>'1-συμβολαια'!D7</f>
        <v>4027.53</v>
      </c>
      <c r="D7" s="356">
        <f>'3-φύλλα2α'!D7</f>
        <v>4</v>
      </c>
      <c r="E7" s="356">
        <f>'3-φύλλα2α'!E7</f>
        <v>4</v>
      </c>
      <c r="F7" s="278">
        <v>2</v>
      </c>
      <c r="G7" s="278">
        <v>2</v>
      </c>
      <c r="H7" s="331">
        <f t="shared" si="0"/>
        <v>25.84</v>
      </c>
      <c r="I7" s="357">
        <f t="shared" si="1"/>
        <v>25.84</v>
      </c>
      <c r="J7" s="357">
        <f t="shared" si="2"/>
        <v>1.292</v>
      </c>
      <c r="K7" s="357">
        <f t="shared" si="3"/>
        <v>1.292</v>
      </c>
      <c r="L7" s="357">
        <f t="shared" si="4"/>
        <v>0.25840000000000002</v>
      </c>
      <c r="M7" s="357">
        <f t="shared" si="5"/>
        <v>22.997599999999998</v>
      </c>
      <c r="N7" s="357">
        <f t="shared" si="6"/>
        <v>22.997599999999998</v>
      </c>
      <c r="O7" s="357">
        <f t="shared" si="7"/>
        <v>2.8424</v>
      </c>
      <c r="P7" s="357">
        <f t="shared" si="8"/>
        <v>2.8424</v>
      </c>
      <c r="Q7" s="357">
        <f t="shared" si="9"/>
        <v>0</v>
      </c>
      <c r="R7" s="513">
        <v>9.69</v>
      </c>
      <c r="S7" s="513">
        <v>1.47</v>
      </c>
      <c r="T7" s="513">
        <v>12.92</v>
      </c>
      <c r="U7" s="514">
        <v>1.98</v>
      </c>
      <c r="V7" s="513">
        <v>12.92</v>
      </c>
      <c r="W7" s="517">
        <v>1.47</v>
      </c>
      <c r="X7" s="513"/>
      <c r="Y7" s="513"/>
      <c r="Z7" s="513"/>
      <c r="AA7" s="513"/>
      <c r="AB7" s="513"/>
      <c r="AC7" s="513"/>
      <c r="AD7" s="513">
        <v>3.23</v>
      </c>
      <c r="AE7" s="513">
        <f>6*3.23</f>
        <v>19.38</v>
      </c>
      <c r="AF7" s="513">
        <f>3*1.47</f>
        <v>4.41</v>
      </c>
      <c r="AG7" s="517"/>
      <c r="AH7" s="517">
        <v>6.25</v>
      </c>
      <c r="AI7" s="517">
        <v>0.5</v>
      </c>
      <c r="AJ7" s="517"/>
      <c r="AK7" s="517"/>
      <c r="AL7" s="517"/>
      <c r="AM7" s="519">
        <f t="shared" si="10"/>
        <v>2.48</v>
      </c>
      <c r="AN7" s="518">
        <f t="shared" si="11"/>
        <v>71.739999999999995</v>
      </c>
      <c r="AO7" s="276"/>
    </row>
    <row r="8" spans="1:41" s="5" customFormat="1">
      <c r="A8" s="420" t="str">
        <f>'1-συμβολαια'!A8</f>
        <v>4ο</v>
      </c>
      <c r="B8" s="344" t="str">
        <f>'1-συμβολαια'!C8</f>
        <v>δωρεά</v>
      </c>
      <c r="C8" s="339">
        <f>'1-συμβολαια'!D8</f>
        <v>3068.08</v>
      </c>
      <c r="D8" s="356">
        <f>'3-φύλλα2α'!D8</f>
        <v>4</v>
      </c>
      <c r="E8" s="356">
        <f>'3-φύλλα2α'!E8</f>
        <v>4</v>
      </c>
      <c r="F8" s="278">
        <v>2</v>
      </c>
      <c r="G8" s="278">
        <v>2</v>
      </c>
      <c r="H8" s="331">
        <f t="shared" si="0"/>
        <v>25.84</v>
      </c>
      <c r="I8" s="357">
        <f t="shared" si="1"/>
        <v>25.84</v>
      </c>
      <c r="J8" s="357">
        <f t="shared" si="2"/>
        <v>1.292</v>
      </c>
      <c r="K8" s="357">
        <f t="shared" si="3"/>
        <v>1.292</v>
      </c>
      <c r="L8" s="357">
        <f t="shared" si="4"/>
        <v>0.25840000000000002</v>
      </c>
      <c r="M8" s="357">
        <f t="shared" si="5"/>
        <v>22.997599999999998</v>
      </c>
      <c r="N8" s="357">
        <f t="shared" si="6"/>
        <v>22.997599999999998</v>
      </c>
      <c r="O8" s="357">
        <f t="shared" si="7"/>
        <v>2.8424</v>
      </c>
      <c r="P8" s="357">
        <f t="shared" si="8"/>
        <v>2.8424</v>
      </c>
      <c r="Q8" s="357">
        <f t="shared" si="9"/>
        <v>0</v>
      </c>
      <c r="R8" s="513">
        <v>9.69</v>
      </c>
      <c r="S8" s="513">
        <v>1.47</v>
      </c>
      <c r="T8" s="513">
        <v>12.92</v>
      </c>
      <c r="U8" s="514">
        <v>1.98</v>
      </c>
      <c r="V8" s="513">
        <v>12.92</v>
      </c>
      <c r="W8" s="517">
        <v>1.47</v>
      </c>
      <c r="X8" s="513"/>
      <c r="Y8" s="513"/>
      <c r="Z8" s="513"/>
      <c r="AA8" s="513"/>
      <c r="AB8" s="513"/>
      <c r="AC8" s="513"/>
      <c r="AD8" s="513">
        <v>3.23</v>
      </c>
      <c r="AE8" s="513">
        <f>4*3.23</f>
        <v>12.92</v>
      </c>
      <c r="AF8" s="513">
        <f>2*1.47</f>
        <v>2.94</v>
      </c>
      <c r="AG8" s="517"/>
      <c r="AH8" s="517">
        <v>6.25</v>
      </c>
      <c r="AI8" s="517">
        <v>0.5</v>
      </c>
      <c r="AJ8" s="517"/>
      <c r="AK8" s="517"/>
      <c r="AL8" s="517"/>
      <c r="AM8" s="519">
        <f t="shared" si="10"/>
        <v>2.48</v>
      </c>
      <c r="AN8" s="518">
        <f t="shared" si="11"/>
        <v>63.809999999999995</v>
      </c>
      <c r="AO8" s="276"/>
    </row>
    <row r="9" spans="1:41">
      <c r="A9" s="567" t="s">
        <v>47</v>
      </c>
      <c r="B9" s="568"/>
      <c r="C9" s="568"/>
      <c r="D9" s="568"/>
      <c r="E9" s="568"/>
      <c r="F9" s="568"/>
      <c r="G9" s="604"/>
      <c r="H9" s="39">
        <f t="shared" ref="H9:AF9" si="12">SUM(H3:H8)</f>
        <v>113.05</v>
      </c>
      <c r="I9" s="39">
        <f t="shared" si="12"/>
        <v>103.36</v>
      </c>
      <c r="J9" s="39">
        <f t="shared" si="12"/>
        <v>5.6524999999999999</v>
      </c>
      <c r="K9" s="39">
        <f t="shared" si="12"/>
        <v>5.6524999999999999</v>
      </c>
      <c r="L9" s="39">
        <f t="shared" si="12"/>
        <v>1.1304999999999998</v>
      </c>
      <c r="M9" s="39">
        <f t="shared" si="12"/>
        <v>100.61449999999999</v>
      </c>
      <c r="N9" s="39">
        <f t="shared" si="12"/>
        <v>91.990399999999994</v>
      </c>
      <c r="O9" s="39">
        <f t="shared" si="12"/>
        <v>12.435499999999999</v>
      </c>
      <c r="P9" s="39">
        <f t="shared" si="12"/>
        <v>11.369599999999998</v>
      </c>
      <c r="Q9" s="39">
        <f t="shared" si="12"/>
        <v>1.0659000000000005</v>
      </c>
      <c r="R9" s="39">
        <f t="shared" si="12"/>
        <v>29.07</v>
      </c>
      <c r="S9" s="39">
        <f t="shared" si="12"/>
        <v>4.41</v>
      </c>
      <c r="T9" s="39">
        <f t="shared" si="12"/>
        <v>51.68</v>
      </c>
      <c r="U9" s="39">
        <f t="shared" si="12"/>
        <v>7.92</v>
      </c>
      <c r="V9" s="39">
        <f t="shared" si="12"/>
        <v>51.68</v>
      </c>
      <c r="W9" s="39">
        <f t="shared" si="12"/>
        <v>5.88</v>
      </c>
      <c r="X9" s="39"/>
      <c r="Y9" s="39"/>
      <c r="Z9" s="39"/>
      <c r="AA9" s="39">
        <f t="shared" si="12"/>
        <v>0</v>
      </c>
      <c r="AB9" s="39">
        <f t="shared" si="12"/>
        <v>0</v>
      </c>
      <c r="AC9" s="39">
        <f t="shared" si="12"/>
        <v>0</v>
      </c>
      <c r="AD9" s="39">
        <f t="shared" si="12"/>
        <v>9.69</v>
      </c>
      <c r="AE9" s="39">
        <f t="shared" si="12"/>
        <v>58.14</v>
      </c>
      <c r="AF9" s="39">
        <f t="shared" si="12"/>
        <v>13.229999999999999</v>
      </c>
      <c r="AG9" s="271"/>
      <c r="AH9" s="39">
        <f>SUM(AH3:AH8)</f>
        <v>25</v>
      </c>
      <c r="AI9" s="39">
        <f>SUM(AI3:AI8)</f>
        <v>2</v>
      </c>
      <c r="AJ9" s="39"/>
      <c r="AK9" s="39"/>
      <c r="AL9" s="39">
        <f>SUM(AL3:AL8)</f>
        <v>0</v>
      </c>
      <c r="AM9" s="39">
        <f>SUM(AM3:AM8)</f>
        <v>9.92</v>
      </c>
      <c r="AN9" s="39">
        <f>SUM(AN3:AN8)</f>
        <v>248.77999999999997</v>
      </c>
    </row>
    <row r="11" spans="1:41">
      <c r="R11" s="156" t="s">
        <v>463</v>
      </c>
      <c r="S11" s="165"/>
      <c r="T11" s="165"/>
      <c r="U11" s="165"/>
      <c r="V11" s="165"/>
      <c r="W11" s="165"/>
      <c r="X11" s="166"/>
      <c r="Y11" s="166"/>
      <c r="Z11" s="166"/>
      <c r="AA11" s="166"/>
      <c r="AB11" s="166"/>
      <c r="AC11" s="166"/>
      <c r="AD11" s="166"/>
      <c r="AE11" s="89"/>
      <c r="AF11" s="89"/>
      <c r="AG11" s="89"/>
      <c r="AH11" s="89"/>
      <c r="AI11" s="89"/>
      <c r="AJ11" s="89"/>
      <c r="AK11" s="89"/>
      <c r="AL11" s="89"/>
      <c r="AM11" s="89"/>
      <c r="AN11" s="89"/>
    </row>
    <row r="12" spans="1:41" ht="15.75">
      <c r="B12" s="316" t="s">
        <v>490</v>
      </c>
      <c r="C12" s="317"/>
      <c r="D12" s="317"/>
      <c r="E12" s="317"/>
      <c r="R12" s="166"/>
      <c r="S12" s="167" t="s">
        <v>524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89"/>
      <c r="AF12" s="89"/>
      <c r="AG12" s="89"/>
      <c r="AH12" s="89"/>
      <c r="AI12" s="89"/>
      <c r="AJ12" s="89"/>
      <c r="AK12" s="89"/>
      <c r="AL12" s="89"/>
      <c r="AM12" s="89"/>
      <c r="AN12" s="89"/>
    </row>
    <row r="13" spans="1:41">
      <c r="G13" s="8">
        <v>2515</v>
      </c>
      <c r="H13" s="2">
        <f>H3/F3</f>
        <v>9.69</v>
      </c>
      <c r="R13" s="166"/>
      <c r="S13" s="166"/>
      <c r="T13" s="164" t="s">
        <v>227</v>
      </c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>
      <c r="H14" s="2" t="s">
        <v>570</v>
      </c>
      <c r="R14" s="166"/>
      <c r="S14" s="166"/>
      <c r="T14" s="166"/>
      <c r="U14" s="167" t="s">
        <v>228</v>
      </c>
      <c r="V14" s="166"/>
      <c r="W14" s="166"/>
      <c r="X14" s="166"/>
      <c r="Y14" s="166"/>
      <c r="Z14" s="166"/>
      <c r="AA14" s="166"/>
      <c r="AB14" s="166"/>
      <c r="AC14" s="166"/>
      <c r="AD14" s="166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>
      <c r="R15" s="166"/>
      <c r="S15" s="166"/>
      <c r="T15" s="166"/>
      <c r="U15" s="166"/>
      <c r="V15" s="164" t="s">
        <v>525</v>
      </c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89"/>
      <c r="AN15" s="89"/>
    </row>
    <row r="16" spans="1:41">
      <c r="G16" s="8">
        <v>3290</v>
      </c>
      <c r="H16" s="2">
        <f>H6/F6</f>
        <v>16.149999999999999</v>
      </c>
      <c r="R16" s="166"/>
      <c r="S16" s="166"/>
      <c r="T16" s="166"/>
      <c r="U16" s="166"/>
      <c r="V16" s="166"/>
      <c r="W16" s="167" t="s">
        <v>229</v>
      </c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89"/>
      <c r="AN16" s="89"/>
    </row>
    <row r="17" spans="2:41">
      <c r="H17" s="2" t="s">
        <v>569</v>
      </c>
      <c r="R17" s="166"/>
      <c r="S17" s="166"/>
      <c r="T17" s="166"/>
      <c r="U17" s="166"/>
      <c r="V17" s="166"/>
      <c r="W17" s="166"/>
      <c r="X17" s="164" t="s">
        <v>230</v>
      </c>
      <c r="Y17" s="164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89"/>
      <c r="AN17" s="89"/>
    </row>
    <row r="18" spans="2:41">
      <c r="R18" s="166"/>
      <c r="S18" s="166"/>
      <c r="T18" s="166"/>
      <c r="U18" s="166"/>
      <c r="V18" s="166"/>
      <c r="W18" s="166"/>
      <c r="X18" s="166"/>
      <c r="Y18" s="167" t="s">
        <v>258</v>
      </c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89"/>
      <c r="AN18" s="89"/>
    </row>
    <row r="19" spans="2:41">
      <c r="B19" s="130"/>
      <c r="G19" s="8">
        <v>3291</v>
      </c>
      <c r="H19" s="2">
        <f>H7/F7</f>
        <v>12.92</v>
      </c>
      <c r="R19" s="166"/>
      <c r="S19" s="166"/>
      <c r="T19" s="166"/>
      <c r="U19" s="166"/>
      <c r="V19" s="166"/>
      <c r="W19" s="166"/>
      <c r="X19" s="166"/>
      <c r="Y19" s="166"/>
      <c r="Z19" s="164" t="s">
        <v>231</v>
      </c>
      <c r="AA19" s="167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89"/>
      <c r="AN19" s="89"/>
      <c r="AO19" s="163"/>
    </row>
    <row r="20" spans="2:41">
      <c r="B20" s="131"/>
      <c r="H20" s="2" t="s">
        <v>569</v>
      </c>
      <c r="R20" s="166"/>
      <c r="S20" s="166"/>
      <c r="T20" s="166"/>
      <c r="U20" s="166"/>
      <c r="V20" s="166"/>
      <c r="W20" s="166"/>
      <c r="X20" s="166"/>
      <c r="Y20" s="166"/>
      <c r="Z20" s="167"/>
      <c r="AA20" s="167" t="s">
        <v>259</v>
      </c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89"/>
      <c r="AN20" s="89"/>
      <c r="AO20" s="163"/>
    </row>
    <row r="21" spans="2:41"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4" t="s">
        <v>232</v>
      </c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89"/>
      <c r="AN21" s="167"/>
    </row>
    <row r="22" spans="2:41">
      <c r="G22" s="8">
        <v>3292</v>
      </c>
      <c r="H22" s="2">
        <f>H8/F8</f>
        <v>12.92</v>
      </c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7" t="s">
        <v>233</v>
      </c>
      <c r="AD22" s="166"/>
      <c r="AE22" s="166"/>
      <c r="AF22" s="166"/>
      <c r="AG22" s="166"/>
      <c r="AH22" s="166"/>
      <c r="AI22" s="166"/>
      <c r="AJ22" s="166"/>
      <c r="AK22" s="166"/>
      <c r="AL22" s="166"/>
      <c r="AM22" s="89"/>
      <c r="AN22" s="89"/>
    </row>
    <row r="23" spans="2:41">
      <c r="H23" s="2" t="s">
        <v>569</v>
      </c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4" t="s">
        <v>276</v>
      </c>
      <c r="AE23" s="168"/>
      <c r="AF23" s="168"/>
      <c r="AG23" s="168"/>
      <c r="AH23" s="168"/>
      <c r="AI23" s="168"/>
      <c r="AJ23" s="168"/>
      <c r="AK23" s="168"/>
      <c r="AL23" s="168"/>
      <c r="AM23" s="167"/>
    </row>
    <row r="24" spans="2:41">
      <c r="R24" s="89"/>
      <c r="S24" s="89"/>
      <c r="T24" s="89"/>
      <c r="U24" s="89"/>
      <c r="V24" s="166"/>
      <c r="W24" s="166"/>
      <c r="X24" s="166"/>
      <c r="Y24" s="166"/>
      <c r="Z24" s="166"/>
      <c r="AA24" s="166"/>
      <c r="AB24" s="166"/>
      <c r="AC24" s="166"/>
      <c r="AD24" s="166"/>
      <c r="AE24" s="164" t="s">
        <v>277</v>
      </c>
      <c r="AF24" s="167"/>
      <c r="AG24" s="167"/>
      <c r="AH24" s="167"/>
      <c r="AI24" s="167"/>
      <c r="AJ24" s="167"/>
      <c r="AK24" s="167"/>
      <c r="AL24" s="167"/>
      <c r="AM24" s="89"/>
    </row>
    <row r="25" spans="2:41">
      <c r="R25" s="2"/>
      <c r="S25" s="2"/>
      <c r="T25" s="2"/>
      <c r="U25" s="2"/>
      <c r="AF25" s="167" t="s">
        <v>278</v>
      </c>
      <c r="AG25" s="168"/>
      <c r="AH25" s="168"/>
      <c r="AI25" s="168"/>
      <c r="AJ25" s="168"/>
      <c r="AK25" s="168"/>
    </row>
    <row r="26" spans="2:41">
      <c r="AF26" s="166"/>
      <c r="AG26" s="272" t="s">
        <v>279</v>
      </c>
      <c r="AH26" s="272"/>
      <c r="AI26" s="272"/>
      <c r="AJ26" s="272"/>
      <c r="AK26" s="272"/>
      <c r="AL26" s="272"/>
    </row>
    <row r="27" spans="2:41">
      <c r="AG27" s="166"/>
      <c r="AH27" s="164" t="s">
        <v>469</v>
      </c>
      <c r="AI27" s="166"/>
      <c r="AJ27" s="166"/>
      <c r="AK27" s="166"/>
      <c r="AL27" s="167"/>
    </row>
    <row r="28" spans="2:41">
      <c r="AI28" s="167" t="s">
        <v>466</v>
      </c>
      <c r="AJ28" s="167"/>
      <c r="AK28" s="167"/>
    </row>
    <row r="29" spans="2:41">
      <c r="AJ29" s="164" t="s">
        <v>467</v>
      </c>
      <c r="AK29" s="166"/>
    </row>
    <row r="30" spans="2:41">
      <c r="AK30" s="167" t="s">
        <v>468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N33" sqref="N33"/>
    </sheetView>
  </sheetViews>
  <sheetFormatPr defaultRowHeight="11.25"/>
  <cols>
    <col min="1" max="1" width="7.5703125" style="8" bestFit="1" customWidth="1"/>
    <col min="2" max="2" width="51.7109375" style="92" bestFit="1" customWidth="1"/>
    <col min="3" max="3" width="11.7109375" style="3" customWidth="1"/>
    <col min="4" max="4" width="8.140625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67" customFormat="1" ht="15.75" customHeight="1">
      <c r="A1" s="619" t="s">
        <v>31</v>
      </c>
      <c r="B1" s="620"/>
      <c r="C1" s="620"/>
      <c r="D1" s="621"/>
      <c r="E1" s="632" t="s">
        <v>492</v>
      </c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 t="s">
        <v>69</v>
      </c>
      <c r="S1" s="641" t="s">
        <v>161</v>
      </c>
      <c r="T1" s="619" t="s">
        <v>13</v>
      </c>
      <c r="U1" s="620"/>
      <c r="V1" s="620"/>
      <c r="W1" s="620"/>
      <c r="X1" s="620"/>
      <c r="Y1" s="620"/>
      <c r="Z1" s="620"/>
      <c r="AA1" s="620"/>
      <c r="AB1" s="620"/>
      <c r="AC1" s="621"/>
      <c r="AD1" s="631" t="s">
        <v>14</v>
      </c>
      <c r="AE1" s="631"/>
      <c r="AF1" s="631"/>
      <c r="AG1" s="631"/>
      <c r="AH1" s="631"/>
      <c r="AI1" s="631"/>
      <c r="AJ1" s="631"/>
      <c r="AK1" s="631"/>
      <c r="AL1" s="631"/>
      <c r="AM1" s="619" t="s">
        <v>15</v>
      </c>
      <c r="AN1" s="620"/>
      <c r="AO1" s="620"/>
      <c r="AP1" s="620"/>
      <c r="AQ1" s="620"/>
      <c r="AR1" s="620"/>
      <c r="AS1" s="620"/>
      <c r="AT1" s="620"/>
      <c r="AU1" s="620"/>
      <c r="AV1" s="621"/>
      <c r="AW1" s="622" t="s">
        <v>16</v>
      </c>
      <c r="AX1" s="622"/>
      <c r="AY1" s="622"/>
      <c r="AZ1" s="622"/>
      <c r="BA1" s="622"/>
      <c r="BB1" s="622"/>
      <c r="BC1" s="622"/>
      <c r="BD1" s="622"/>
      <c r="BE1" s="623" t="s">
        <v>17</v>
      </c>
      <c r="BF1" s="624"/>
      <c r="BG1" s="624"/>
      <c r="BH1" s="624"/>
      <c r="BI1" s="625"/>
    </row>
    <row r="2" spans="1:61" s="4" customFormat="1" ht="34.5" thickBot="1">
      <c r="A2" s="81" t="s">
        <v>19</v>
      </c>
      <c r="B2" s="91" t="s">
        <v>0</v>
      </c>
      <c r="C2" s="68" t="s">
        <v>11</v>
      </c>
      <c r="D2" s="69" t="s">
        <v>12</v>
      </c>
      <c r="E2" s="56" t="s">
        <v>70</v>
      </c>
      <c r="F2" s="42" t="s">
        <v>71</v>
      </c>
      <c r="G2" s="42" t="s">
        <v>252</v>
      </c>
      <c r="H2" s="42" t="s">
        <v>72</v>
      </c>
      <c r="I2" s="638" t="s">
        <v>29</v>
      </c>
      <c r="J2" s="639"/>
      <c r="K2" s="640"/>
      <c r="L2" s="42" t="s">
        <v>153</v>
      </c>
      <c r="M2" s="42" t="s">
        <v>154</v>
      </c>
      <c r="N2" s="42" t="s">
        <v>90</v>
      </c>
      <c r="O2" s="42" t="s">
        <v>160</v>
      </c>
      <c r="P2" s="96" t="s">
        <v>96</v>
      </c>
      <c r="Q2" s="115" t="s">
        <v>95</v>
      </c>
      <c r="R2" s="635"/>
      <c r="S2" s="642"/>
      <c r="T2" s="56" t="s">
        <v>32</v>
      </c>
      <c r="U2" s="56" t="s">
        <v>19</v>
      </c>
      <c r="V2" s="42" t="s">
        <v>20</v>
      </c>
      <c r="W2" s="10" t="s">
        <v>21</v>
      </c>
      <c r="X2" s="10" t="s">
        <v>22</v>
      </c>
      <c r="Y2" s="42" t="s">
        <v>23</v>
      </c>
      <c r="Z2" s="42" t="s">
        <v>24</v>
      </c>
      <c r="AA2" s="42" t="s">
        <v>25</v>
      </c>
      <c r="AB2" s="626" t="s">
        <v>29</v>
      </c>
      <c r="AC2" s="627"/>
      <c r="AD2" s="56" t="s">
        <v>28</v>
      </c>
      <c r="AE2" s="56" t="s">
        <v>19</v>
      </c>
      <c r="AF2" s="42" t="s">
        <v>20</v>
      </c>
      <c r="AG2" s="10" t="s">
        <v>27</v>
      </c>
      <c r="AH2" s="10" t="s">
        <v>19</v>
      </c>
      <c r="AI2" s="73" t="s">
        <v>73</v>
      </c>
      <c r="AJ2" s="73" t="s">
        <v>74</v>
      </c>
      <c r="AK2" s="636" t="s">
        <v>29</v>
      </c>
      <c r="AL2" s="637"/>
      <c r="AM2" s="56" t="s">
        <v>18</v>
      </c>
      <c r="AN2" s="56" t="s">
        <v>19</v>
      </c>
      <c r="AO2" s="42" t="s">
        <v>20</v>
      </c>
      <c r="AP2" s="10" t="s">
        <v>21</v>
      </c>
      <c r="AQ2" s="10" t="s">
        <v>22</v>
      </c>
      <c r="AR2" s="42" t="s">
        <v>23</v>
      </c>
      <c r="AS2" s="42" t="s">
        <v>24</v>
      </c>
      <c r="AT2" s="42" t="s">
        <v>25</v>
      </c>
      <c r="AU2" s="626" t="s">
        <v>29</v>
      </c>
      <c r="AV2" s="627"/>
      <c r="AW2" s="56" t="s">
        <v>18</v>
      </c>
      <c r="AX2" s="42" t="s">
        <v>19</v>
      </c>
      <c r="AY2" s="42" t="s">
        <v>20</v>
      </c>
      <c r="AZ2" s="42" t="s">
        <v>26</v>
      </c>
      <c r="BA2" s="10" t="s">
        <v>27</v>
      </c>
      <c r="BB2" s="10" t="s">
        <v>19</v>
      </c>
      <c r="BC2" s="42" t="s">
        <v>28</v>
      </c>
      <c r="BD2" s="43" t="s">
        <v>29</v>
      </c>
      <c r="BE2" s="57" t="s">
        <v>30</v>
      </c>
      <c r="BF2" s="57" t="s">
        <v>19</v>
      </c>
      <c r="BG2" s="58" t="s">
        <v>18</v>
      </c>
      <c r="BH2" s="626" t="s">
        <v>29</v>
      </c>
      <c r="BI2" s="627"/>
    </row>
    <row r="3" spans="1:61" s="192" customFormat="1">
      <c r="A3" s="381" t="str">
        <f>'1-συμβολαια'!A3</f>
        <v>1ο</v>
      </c>
      <c r="B3" s="338" t="str">
        <f>'1-συμβολαια'!C3</f>
        <v>κληρονομιάς ΑΠΟΔΟΧΗ</v>
      </c>
      <c r="C3" s="273" t="str">
        <f>'4-πολλυπρ'!D3</f>
        <v>219-113 = πατήρ</v>
      </c>
      <c r="D3" s="273" t="str">
        <f>'4-πολλυπρ'!I3</f>
        <v>219-113 = υιός 1ος</v>
      </c>
      <c r="E3" s="273">
        <v>3</v>
      </c>
      <c r="F3" s="339">
        <f t="shared" ref="F3" si="0">E3*3.23</f>
        <v>9.69</v>
      </c>
      <c r="G3" s="339">
        <v>3.23</v>
      </c>
      <c r="H3" s="339">
        <f t="shared" ref="H3" si="1">F3+G3</f>
        <v>12.92</v>
      </c>
      <c r="I3" s="279" t="s">
        <v>506</v>
      </c>
      <c r="J3" s="361" t="s">
        <v>159</v>
      </c>
      <c r="K3" s="361" t="s">
        <v>253</v>
      </c>
      <c r="L3" s="339">
        <v>5.87</v>
      </c>
      <c r="M3" s="339">
        <v>5.87</v>
      </c>
      <c r="N3" s="339">
        <v>1.98</v>
      </c>
      <c r="O3" s="339">
        <f t="shared" ref="O3" si="2">L3+M3</f>
        <v>11.74</v>
      </c>
      <c r="P3" s="273"/>
      <c r="Q3" s="273"/>
      <c r="R3" s="273"/>
      <c r="S3" s="273"/>
      <c r="T3" s="399"/>
      <c r="U3" s="337"/>
      <c r="V3" s="342" t="s">
        <v>408</v>
      </c>
      <c r="W3" s="342"/>
      <c r="X3" s="342" t="s">
        <v>9</v>
      </c>
      <c r="Y3" s="400"/>
      <c r="Z3" s="342"/>
      <c r="AA3" s="342"/>
      <c r="AB3" s="342"/>
      <c r="AC3" s="337"/>
      <c r="AD3" s="399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42" t="s">
        <v>408</v>
      </c>
      <c r="AP3" s="337"/>
      <c r="AQ3" s="342" t="s">
        <v>9</v>
      </c>
      <c r="AR3" s="337"/>
      <c r="AS3" s="337"/>
      <c r="AT3" s="337"/>
      <c r="AU3" s="337"/>
      <c r="AV3" s="399"/>
      <c r="AW3" s="337"/>
      <c r="AX3" s="337"/>
      <c r="AY3" s="337"/>
      <c r="AZ3" s="400"/>
      <c r="BA3" s="400"/>
      <c r="BB3" s="400"/>
      <c r="BC3" s="400"/>
      <c r="BD3" s="400"/>
      <c r="BE3" s="337"/>
      <c r="BF3" s="337"/>
      <c r="BG3" s="399"/>
      <c r="BH3" s="400"/>
      <c r="BI3" s="400"/>
    </row>
    <row r="4" spans="1:61" s="192" customFormat="1">
      <c r="A4" s="381">
        <f>'1-συμβολαια'!A4</f>
        <v>0</v>
      </c>
      <c r="B4" s="338" t="str">
        <f>'1-συμβολαια'!C4</f>
        <v>χρησικτησία αγροτεμαχίων {0,7 &amp; 1,8στρ} = 19?? πατρός ΔΩΡΕΑ άτυπη</v>
      </c>
      <c r="C4" s="273" t="str">
        <f>'4-πολλυπρ'!D4</f>
        <v>παππούς</v>
      </c>
      <c r="D4" s="273" t="str">
        <f>'4-πολλυπρ'!I4</f>
        <v>219-113 = πατήρ</v>
      </c>
      <c r="E4" s="273"/>
      <c r="F4" s="339"/>
      <c r="G4" s="339"/>
      <c r="H4" s="339"/>
      <c r="I4" s="279"/>
      <c r="J4" s="361"/>
      <c r="K4" s="361"/>
      <c r="L4" s="339"/>
      <c r="M4" s="339"/>
      <c r="N4" s="339"/>
      <c r="O4" s="339"/>
      <c r="P4" s="273"/>
      <c r="Q4" s="273"/>
      <c r="R4" s="273"/>
      <c r="S4" s="273"/>
      <c r="T4" s="399"/>
      <c r="U4" s="337"/>
      <c r="V4" s="342" t="s">
        <v>408</v>
      </c>
      <c r="W4" s="342"/>
      <c r="X4" s="342" t="s">
        <v>9</v>
      </c>
      <c r="Y4" s="400"/>
      <c r="Z4" s="342"/>
      <c r="AA4" s="342"/>
      <c r="AB4" s="342"/>
      <c r="AC4" s="337"/>
      <c r="AD4" s="399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42" t="s">
        <v>408</v>
      </c>
      <c r="AP4" s="337"/>
      <c r="AQ4" s="342" t="s">
        <v>9</v>
      </c>
      <c r="AR4" s="337"/>
      <c r="AS4" s="337"/>
      <c r="AT4" s="337"/>
      <c r="AU4" s="337"/>
      <c r="AV4" s="399"/>
      <c r="AW4" s="337"/>
      <c r="AX4" s="337"/>
      <c r="AY4" s="337"/>
      <c r="AZ4" s="400"/>
      <c r="BA4" s="400"/>
      <c r="BB4" s="400"/>
      <c r="BC4" s="400"/>
      <c r="BD4" s="400"/>
      <c r="BE4" s="337"/>
      <c r="BF4" s="337"/>
      <c r="BG4" s="399"/>
      <c r="BH4" s="400"/>
      <c r="BI4" s="400"/>
    </row>
    <row r="5" spans="1:61" s="5" customFormat="1" ht="12" thickBot="1">
      <c r="A5" s="467">
        <f>'1-συμβολαια'!A5</f>
        <v>0</v>
      </c>
      <c r="B5" s="468" t="str">
        <f>'1-συμβολαια'!C5</f>
        <v>χρησικτησία οικοπέδου = νικολουδηΣαββατουλα ΑΝΤΑΛΑΓΗ άτυπη</v>
      </c>
      <c r="C5" s="469" t="str">
        <f>'4-πολλυπρ'!D5</f>
        <v>;;;???</v>
      </c>
      <c r="D5" s="469" t="str">
        <f>'4-πολλυπρ'!I5</f>
        <v>219-113 = πατήρ</v>
      </c>
      <c r="E5" s="469"/>
      <c r="F5" s="415"/>
      <c r="G5" s="415"/>
      <c r="H5" s="415"/>
      <c r="I5" s="470"/>
      <c r="J5" s="417"/>
      <c r="K5" s="417"/>
      <c r="L5" s="415"/>
      <c r="M5" s="415"/>
      <c r="N5" s="415"/>
      <c r="O5" s="415"/>
      <c r="P5" s="469"/>
      <c r="Q5" s="469"/>
      <c r="R5" s="273"/>
      <c r="S5" s="273"/>
      <c r="T5" s="341"/>
      <c r="U5" s="76"/>
      <c r="V5" s="342" t="s">
        <v>408</v>
      </c>
      <c r="W5" s="76"/>
      <c r="X5" s="342" t="s">
        <v>9</v>
      </c>
      <c r="Y5" s="343"/>
      <c r="Z5" s="76"/>
      <c r="AA5" s="76"/>
      <c r="AB5" s="76"/>
      <c r="AC5" s="76"/>
      <c r="AD5" s="341"/>
      <c r="AE5" s="76"/>
      <c r="AF5" s="76"/>
      <c r="AG5" s="76"/>
      <c r="AH5" s="76"/>
      <c r="AI5" s="278"/>
      <c r="AJ5" s="278"/>
      <c r="AK5" s="278"/>
      <c r="AL5" s="76"/>
      <c r="AM5" s="76"/>
      <c r="AN5" s="76"/>
      <c r="AO5" s="342" t="s">
        <v>408</v>
      </c>
      <c r="AP5" s="76"/>
      <c r="AQ5" s="342" t="s">
        <v>9</v>
      </c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341"/>
      <c r="BH5" s="76"/>
      <c r="BI5" s="76"/>
    </row>
    <row r="6" spans="1:61" s="5" customFormat="1">
      <c r="A6" s="466" t="str">
        <f>'1-συμβολαια'!A6</f>
        <v>2ο</v>
      </c>
      <c r="B6" s="338" t="str">
        <f>'1-συμβολαια'!C6</f>
        <v>γονική</v>
      </c>
      <c r="C6" s="340" t="str">
        <f>'4-πολλυπρ'!D6</f>
        <v>219-113 = μήτηρ</v>
      </c>
      <c r="D6" s="340" t="str">
        <f>'4-πολλυπρ'!I6</f>
        <v>219-113 = υιός 1ος</v>
      </c>
      <c r="E6" s="273">
        <v>3</v>
      </c>
      <c r="F6" s="339">
        <f t="shared" ref="F6:F8" si="3">E6*3.23</f>
        <v>9.69</v>
      </c>
      <c r="G6" s="339">
        <v>3.23</v>
      </c>
      <c r="H6" s="339">
        <f t="shared" ref="H6:H8" si="4">F6+G6</f>
        <v>12.92</v>
      </c>
      <c r="I6" s="279" t="s">
        <v>506</v>
      </c>
      <c r="J6" s="361" t="s">
        <v>159</v>
      </c>
      <c r="K6" s="361" t="s">
        <v>253</v>
      </c>
      <c r="L6" s="339">
        <v>5.87</v>
      </c>
      <c r="M6" s="339">
        <v>5.87</v>
      </c>
      <c r="N6" s="339">
        <v>1.98</v>
      </c>
      <c r="O6" s="339"/>
      <c r="P6" s="340"/>
      <c r="Q6" s="340"/>
      <c r="R6" s="273"/>
      <c r="S6" s="273"/>
      <c r="T6" s="341"/>
      <c r="U6" s="76"/>
      <c r="V6" s="342" t="s">
        <v>408</v>
      </c>
      <c r="W6" s="76"/>
      <c r="X6" s="342" t="s">
        <v>9</v>
      </c>
      <c r="Y6" s="343"/>
      <c r="Z6" s="76"/>
      <c r="AA6" s="76"/>
      <c r="AB6" s="76"/>
      <c r="AC6" s="76"/>
      <c r="AD6" s="341"/>
      <c r="AE6" s="76"/>
      <c r="AF6" s="76"/>
      <c r="AG6" s="76"/>
      <c r="AH6" s="76"/>
      <c r="AI6" s="278"/>
      <c r="AJ6" s="278"/>
      <c r="AK6" s="278"/>
      <c r="AL6" s="76"/>
      <c r="AM6" s="76"/>
      <c r="AN6" s="76"/>
      <c r="AO6" s="342" t="s">
        <v>408</v>
      </c>
      <c r="AP6" s="76"/>
      <c r="AQ6" s="342" t="s">
        <v>9</v>
      </c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341"/>
      <c r="BH6" s="76"/>
      <c r="BI6" s="76"/>
    </row>
    <row r="7" spans="1:61" s="5" customFormat="1">
      <c r="A7" s="337" t="str">
        <f>'1-συμβολαια'!A7</f>
        <v>3ο</v>
      </c>
      <c r="B7" s="338" t="str">
        <f>'1-συμβολαια'!C7</f>
        <v>γονική</v>
      </c>
      <c r="C7" s="273" t="str">
        <f>'4-πολλυπρ'!D7</f>
        <v>219-113 = μήτηρ</v>
      </c>
      <c r="D7" s="273" t="str">
        <f>'4-πολλυπρ'!I7</f>
        <v>219-113 = υιός 2ος</v>
      </c>
      <c r="E7" s="273">
        <v>2</v>
      </c>
      <c r="F7" s="339">
        <f t="shared" si="3"/>
        <v>6.46</v>
      </c>
      <c r="G7" s="339">
        <v>3.23</v>
      </c>
      <c r="H7" s="339">
        <f t="shared" si="4"/>
        <v>9.69</v>
      </c>
      <c r="I7" s="279" t="s">
        <v>506</v>
      </c>
      <c r="J7" s="361" t="s">
        <v>159</v>
      </c>
      <c r="K7" s="361" t="s">
        <v>253</v>
      </c>
      <c r="L7" s="339">
        <v>5.87</v>
      </c>
      <c r="M7" s="339">
        <v>5.87</v>
      </c>
      <c r="N7" s="339">
        <v>1.98</v>
      </c>
      <c r="O7" s="339"/>
      <c r="P7" s="273"/>
      <c r="Q7" s="273"/>
      <c r="R7" s="273"/>
      <c r="S7" s="273"/>
      <c r="T7" s="341"/>
      <c r="U7" s="76"/>
      <c r="V7" s="342" t="s">
        <v>408</v>
      </c>
      <c r="W7" s="76"/>
      <c r="X7" s="342" t="s">
        <v>9</v>
      </c>
      <c r="Y7" s="343"/>
      <c r="Z7" s="76"/>
      <c r="AA7" s="76"/>
      <c r="AB7" s="76"/>
      <c r="AC7" s="76"/>
      <c r="AD7" s="341"/>
      <c r="AE7" s="76"/>
      <c r="AF7" s="76"/>
      <c r="AG7" s="76"/>
      <c r="AH7" s="76"/>
      <c r="AI7" s="278"/>
      <c r="AJ7" s="278"/>
      <c r="AK7" s="278"/>
      <c r="AL7" s="76"/>
      <c r="AM7" s="76"/>
      <c r="AN7" s="76"/>
      <c r="AO7" s="342" t="s">
        <v>408</v>
      </c>
      <c r="AP7" s="76"/>
      <c r="AQ7" s="342" t="s">
        <v>9</v>
      </c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341"/>
      <c r="BH7" s="76"/>
      <c r="BI7" s="76"/>
    </row>
    <row r="8" spans="1:61" s="5" customFormat="1">
      <c r="A8" s="337" t="str">
        <f>'1-συμβολαια'!A8</f>
        <v>4ο</v>
      </c>
      <c r="B8" s="338" t="str">
        <f>'1-συμβολαια'!C8</f>
        <v>δωρεά</v>
      </c>
      <c r="C8" s="273" t="str">
        <f>'4-πολλυπρ'!D8</f>
        <v>219-113 = υιός 2ος</v>
      </c>
      <c r="D8" s="273" t="str">
        <f>'4-πολλυπρ'!I8</f>
        <v>219-113 = υιός 1ος</v>
      </c>
      <c r="E8" s="273">
        <v>2</v>
      </c>
      <c r="F8" s="339">
        <f t="shared" si="3"/>
        <v>6.46</v>
      </c>
      <c r="G8" s="339">
        <v>3.23</v>
      </c>
      <c r="H8" s="339">
        <f t="shared" si="4"/>
        <v>9.69</v>
      </c>
      <c r="I8" s="279" t="s">
        <v>506</v>
      </c>
      <c r="J8" s="361" t="s">
        <v>159</v>
      </c>
      <c r="K8" s="361" t="s">
        <v>253</v>
      </c>
      <c r="L8" s="339">
        <v>5.87</v>
      </c>
      <c r="M8" s="339">
        <v>5.87</v>
      </c>
      <c r="N8" s="339">
        <v>1.98</v>
      </c>
      <c r="O8" s="339"/>
      <c r="P8" s="273"/>
      <c r="Q8" s="273"/>
      <c r="R8" s="273"/>
      <c r="S8" s="273"/>
      <c r="T8" s="341"/>
      <c r="U8" s="76"/>
      <c r="V8" s="342" t="s">
        <v>408</v>
      </c>
      <c r="W8" s="76"/>
      <c r="X8" s="342" t="s">
        <v>9</v>
      </c>
      <c r="Y8" s="343"/>
      <c r="Z8" s="76"/>
      <c r="AA8" s="76"/>
      <c r="AB8" s="76"/>
      <c r="AC8" s="76"/>
      <c r="AD8" s="341"/>
      <c r="AE8" s="76"/>
      <c r="AF8" s="76"/>
      <c r="AG8" s="76"/>
      <c r="AH8" s="76"/>
      <c r="AI8" s="278"/>
      <c r="AJ8" s="278"/>
      <c r="AK8" s="278"/>
      <c r="AL8" s="76"/>
      <c r="AM8" s="76"/>
      <c r="AN8" s="76"/>
      <c r="AO8" s="342" t="s">
        <v>408</v>
      </c>
      <c r="AP8" s="76"/>
      <c r="AQ8" s="342" t="s">
        <v>9</v>
      </c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341"/>
      <c r="BH8" s="76"/>
      <c r="BI8" s="76"/>
    </row>
    <row r="9" spans="1:61">
      <c r="A9" s="628" t="s">
        <v>35</v>
      </c>
      <c r="B9" s="629"/>
      <c r="C9" s="629"/>
      <c r="D9" s="630"/>
      <c r="E9" s="70">
        <f>SUM(E3:E8)</f>
        <v>10</v>
      </c>
      <c r="F9" s="70">
        <f>SUM(F3:F8)</f>
        <v>32.299999999999997</v>
      </c>
      <c r="G9" s="70">
        <f>SUM(G3:G8)</f>
        <v>12.92</v>
      </c>
      <c r="H9" s="70">
        <f>SUM(H3:H8)</f>
        <v>45.22</v>
      </c>
      <c r="I9" s="70"/>
      <c r="J9" s="70"/>
      <c r="K9" s="70"/>
      <c r="L9" s="70">
        <f t="shared" ref="L9:R9" si="5">SUM(L3:L8)</f>
        <v>23.48</v>
      </c>
      <c r="M9" s="70">
        <f t="shared" si="5"/>
        <v>23.48</v>
      </c>
      <c r="N9" s="70">
        <f t="shared" si="5"/>
        <v>7.92</v>
      </c>
      <c r="O9" s="70">
        <f t="shared" si="5"/>
        <v>11.74</v>
      </c>
      <c r="P9" s="70">
        <f t="shared" si="5"/>
        <v>0</v>
      </c>
      <c r="Q9" s="70">
        <f t="shared" si="5"/>
        <v>0</v>
      </c>
      <c r="R9" s="70">
        <f t="shared" si="5"/>
        <v>0</v>
      </c>
      <c r="S9" s="70"/>
      <c r="T9" s="133"/>
      <c r="U9" s="70">
        <f>SUM(U3:U8)</f>
        <v>0</v>
      </c>
      <c r="V9" s="70"/>
      <c r="W9" s="70">
        <f>SUM(W3:W8)</f>
        <v>0</v>
      </c>
      <c r="X9" s="70"/>
      <c r="Y9" s="70">
        <f>SUM(Y3:Y8)</f>
        <v>0</v>
      </c>
      <c r="Z9" s="70">
        <f>SUM(Z3:Z8)</f>
        <v>0</v>
      </c>
      <c r="AA9" s="70">
        <f>SUM(AA3:AA8)</f>
        <v>0</v>
      </c>
      <c r="AB9" s="70">
        <f>SUM(AB3:AB8)</f>
        <v>0</v>
      </c>
      <c r="AC9" s="70">
        <f>SUM(AC3:AC8)</f>
        <v>0</v>
      </c>
      <c r="AD9" s="133"/>
      <c r="AE9" s="70"/>
      <c r="AF9" s="70"/>
      <c r="AG9" s="70"/>
      <c r="AH9" s="70"/>
      <c r="AI9" s="74">
        <f>SUM(AI3:AI8)</f>
        <v>0</v>
      </c>
      <c r="AJ9" s="74">
        <f>SUM(AJ3:AJ8)</f>
        <v>0</v>
      </c>
      <c r="AK9" s="74"/>
      <c r="AL9" s="70">
        <f>SUM(AL3:AL8)</f>
        <v>0</v>
      </c>
      <c r="AM9" s="70">
        <f>SUM(AM3:AM8)</f>
        <v>0</v>
      </c>
      <c r="AN9" s="70">
        <f>SUM(AN3:AN8)</f>
        <v>0</v>
      </c>
      <c r="AO9" s="70"/>
      <c r="AP9" s="70">
        <f t="shared" ref="AP9:BI9" si="6">SUM(AP3:AP8)</f>
        <v>0</v>
      </c>
      <c r="AQ9" s="70">
        <f t="shared" si="6"/>
        <v>0</v>
      </c>
      <c r="AR9" s="70">
        <f t="shared" si="6"/>
        <v>0</v>
      </c>
      <c r="AS9" s="70">
        <f t="shared" si="6"/>
        <v>0</v>
      </c>
      <c r="AT9" s="70">
        <f t="shared" si="6"/>
        <v>0</v>
      </c>
      <c r="AU9" s="70">
        <f t="shared" si="6"/>
        <v>0</v>
      </c>
      <c r="AV9" s="70">
        <f t="shared" si="6"/>
        <v>0</v>
      </c>
      <c r="AW9" s="70">
        <f t="shared" si="6"/>
        <v>0</v>
      </c>
      <c r="AX9" s="70">
        <f t="shared" si="6"/>
        <v>0</v>
      </c>
      <c r="AY9" s="70">
        <f t="shared" si="6"/>
        <v>0</v>
      </c>
      <c r="AZ9" s="70">
        <f t="shared" si="6"/>
        <v>0</v>
      </c>
      <c r="BA9" s="70">
        <f t="shared" si="6"/>
        <v>0</v>
      </c>
      <c r="BB9" s="70">
        <f t="shared" si="6"/>
        <v>0</v>
      </c>
      <c r="BC9" s="70">
        <f t="shared" si="6"/>
        <v>0</v>
      </c>
      <c r="BD9" s="70">
        <f t="shared" si="6"/>
        <v>0</v>
      </c>
      <c r="BE9" s="70">
        <f t="shared" si="6"/>
        <v>0</v>
      </c>
      <c r="BF9" s="70">
        <f t="shared" si="6"/>
        <v>0</v>
      </c>
      <c r="BG9" s="70">
        <f t="shared" si="6"/>
        <v>0</v>
      </c>
      <c r="BH9" s="70">
        <f t="shared" si="6"/>
        <v>0</v>
      </c>
      <c r="BI9" s="70">
        <f t="shared" si="6"/>
        <v>0</v>
      </c>
    </row>
    <row r="10" spans="1:61">
      <c r="L10" s="135" t="s">
        <v>494</v>
      </c>
    </row>
    <row r="11" spans="1:61">
      <c r="G11" s="135"/>
      <c r="H11" s="318" t="s">
        <v>98</v>
      </c>
      <c r="I11" s="135"/>
      <c r="J11" s="135"/>
      <c r="K11" s="135"/>
      <c r="L11" s="135"/>
      <c r="M11" s="135" t="s">
        <v>494</v>
      </c>
      <c r="N11" s="117"/>
      <c r="S11" s="179" t="s">
        <v>161</v>
      </c>
      <c r="Z11" s="2"/>
      <c r="AB11" s="117" t="s">
        <v>99</v>
      </c>
      <c r="AI11" s="221" t="s">
        <v>100</v>
      </c>
    </row>
    <row r="12" spans="1:61">
      <c r="F12" s="3"/>
      <c r="G12" s="3"/>
      <c r="H12" s="3"/>
      <c r="I12" s="155" t="s">
        <v>155</v>
      </c>
      <c r="J12" s="119"/>
      <c r="K12" s="119"/>
      <c r="M12" s="135"/>
      <c r="N12" s="3"/>
      <c r="O12" s="3"/>
      <c r="P12" s="155" t="s">
        <v>162</v>
      </c>
      <c r="S12" s="9"/>
    </row>
    <row r="13" spans="1:61">
      <c r="E13" s="118"/>
      <c r="F13" s="3"/>
      <c r="G13" s="3"/>
      <c r="H13" s="3"/>
      <c r="I13" s="119" t="s">
        <v>156</v>
      </c>
      <c r="J13" s="119"/>
      <c r="K13" s="119"/>
      <c r="M13" s="3"/>
      <c r="N13" s="3"/>
      <c r="O13" s="3"/>
      <c r="Q13" s="119" t="s">
        <v>163</v>
      </c>
      <c r="S13" s="9"/>
    </row>
    <row r="14" spans="1:61">
      <c r="I14" s="119"/>
      <c r="J14" s="155" t="s">
        <v>157</v>
      </c>
      <c r="K14" s="119"/>
      <c r="N14" s="150" t="s">
        <v>493</v>
      </c>
      <c r="S14" s="9"/>
    </row>
    <row r="15" spans="1:61">
      <c r="J15" s="119" t="s">
        <v>158</v>
      </c>
      <c r="K15" s="119"/>
      <c r="S15" s="9"/>
    </row>
    <row r="16" spans="1:61">
      <c r="K16" s="155" t="s">
        <v>260</v>
      </c>
      <c r="S16" s="9"/>
    </row>
    <row r="17" spans="11:19">
      <c r="K17" s="119" t="s">
        <v>261</v>
      </c>
      <c r="S17" s="9"/>
    </row>
    <row r="18" spans="11:19">
      <c r="K18" s="119"/>
      <c r="S18" s="9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K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56"/>
  <sheetViews>
    <sheetView workbookViewId="0">
      <pane ySplit="2" topLeftCell="A3" activePane="bottomLeft" state="frozen"/>
      <selection pane="bottomLeft" activeCell="A15" sqref="A15:B34"/>
    </sheetView>
  </sheetViews>
  <sheetFormatPr defaultRowHeight="11.25"/>
  <cols>
    <col min="1" max="1" width="10.5703125" style="8" bestFit="1" customWidth="1"/>
    <col min="2" max="2" width="51.7109375" style="92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15" style="84" customWidth="1"/>
    <col min="23" max="23" width="7.42578125" style="84" customWidth="1"/>
    <col min="24" max="24" width="11.42578125" style="84" bestFit="1" customWidth="1"/>
    <col min="25" max="25" width="13" style="84" customWidth="1"/>
    <col min="26" max="16384" width="9.140625" style="3"/>
  </cols>
  <sheetData>
    <row r="1" spans="1:25" s="4" customFormat="1" ht="15.75" customHeight="1">
      <c r="A1" s="648" t="s">
        <v>31</v>
      </c>
      <c r="B1" s="649"/>
      <c r="C1" s="649"/>
      <c r="D1" s="650"/>
      <c r="E1" s="651" t="s">
        <v>166</v>
      </c>
      <c r="F1" s="652"/>
      <c r="G1" s="652"/>
      <c r="H1" s="652"/>
      <c r="I1" s="643" t="s">
        <v>160</v>
      </c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4" t="s">
        <v>29</v>
      </c>
      <c r="W1" s="645"/>
      <c r="X1" s="645"/>
      <c r="Y1" s="645"/>
    </row>
    <row r="2" spans="1:25" s="4" customFormat="1" ht="23.25" thickBot="1">
      <c r="A2" s="10" t="s">
        <v>19</v>
      </c>
      <c r="B2" s="147" t="s">
        <v>0</v>
      </c>
      <c r="C2" s="56" t="s">
        <v>11</v>
      </c>
      <c r="D2" s="148" t="s">
        <v>12</v>
      </c>
      <c r="E2" s="42" t="s">
        <v>495</v>
      </c>
      <c r="F2" s="653" t="s">
        <v>29</v>
      </c>
      <c r="G2" s="654"/>
      <c r="H2" s="655"/>
      <c r="I2" s="42" t="s">
        <v>87</v>
      </c>
      <c r="J2" s="56" t="s">
        <v>88</v>
      </c>
      <c r="K2" s="56" t="s">
        <v>90</v>
      </c>
      <c r="L2" s="42" t="s">
        <v>234</v>
      </c>
      <c r="M2" s="42" t="s">
        <v>235</v>
      </c>
      <c r="N2" s="477" t="s">
        <v>236</v>
      </c>
      <c r="O2" s="477" t="s">
        <v>552</v>
      </c>
      <c r="P2" s="477" t="s">
        <v>36</v>
      </c>
      <c r="Q2" s="477" t="s">
        <v>553</v>
      </c>
      <c r="R2" s="477"/>
      <c r="S2" s="477" t="s">
        <v>554</v>
      </c>
      <c r="T2" s="477" t="s">
        <v>555</v>
      </c>
      <c r="U2" s="56" t="s">
        <v>47</v>
      </c>
      <c r="V2" s="646"/>
      <c r="W2" s="647"/>
      <c r="X2" s="647"/>
      <c r="Y2" s="647"/>
    </row>
    <row r="3" spans="1:25" s="192" customFormat="1">
      <c r="A3" s="381" t="str">
        <f>'1-συμβολαια'!A3</f>
        <v>1ο</v>
      </c>
      <c r="B3" s="338" t="str">
        <f>'1-συμβολαια'!C3</f>
        <v>κληρονομιάς ΑΠΟΔΟΧΗ</v>
      </c>
      <c r="C3" s="273" t="str">
        <f>'4-πολλυπρ'!D3</f>
        <v>219-113 = πατήρ</v>
      </c>
      <c r="D3" s="273" t="str">
        <f>'4-πολλυπρ'!I3</f>
        <v>219-113 = υιός 1ος</v>
      </c>
      <c r="E3" s="339">
        <f>6.46*3</f>
        <v>19.38</v>
      </c>
      <c r="F3" s="361" t="s">
        <v>545</v>
      </c>
      <c r="G3" s="361" t="s">
        <v>546</v>
      </c>
      <c r="H3" s="339"/>
      <c r="I3" s="339">
        <v>5.87</v>
      </c>
      <c r="J3" s="339">
        <v>5.87</v>
      </c>
      <c r="K3" s="339">
        <v>1.98</v>
      </c>
      <c r="L3" s="339">
        <f>16.75*3</f>
        <v>50.25</v>
      </c>
      <c r="M3" s="339"/>
      <c r="N3" s="339"/>
      <c r="O3" s="339">
        <f>16.15*3</f>
        <v>48.449999999999996</v>
      </c>
      <c r="P3" s="339">
        <f t="shared" ref="P3:Q3" si="0">16.15*3</f>
        <v>48.449999999999996</v>
      </c>
      <c r="Q3" s="339">
        <f t="shared" si="0"/>
        <v>48.449999999999996</v>
      </c>
      <c r="R3" s="339"/>
      <c r="S3" s="339">
        <f>3*1.47</f>
        <v>4.41</v>
      </c>
      <c r="T3" s="339">
        <f>13*2.23</f>
        <v>28.99</v>
      </c>
      <c r="U3" s="339">
        <f>SUM(I3:T3)-K3</f>
        <v>240.73999999999998</v>
      </c>
      <c r="V3" s="345"/>
      <c r="W3" s="345"/>
      <c r="X3" s="362"/>
      <c r="Y3" s="280"/>
    </row>
    <row r="4" spans="1:25" s="192" customFormat="1">
      <c r="A4" s="381">
        <f>'1-συμβολαια'!A4</f>
        <v>0</v>
      </c>
      <c r="B4" s="338" t="str">
        <f>'1-συμβολαια'!C4</f>
        <v>χρησικτησία αγροτεμαχίων {0,7 &amp; 1,8στρ} = 19?? πατρός ΔΩΡΕΑ άτυπη</v>
      </c>
      <c r="C4" s="273" t="str">
        <f>'4-πολλυπρ'!D4</f>
        <v>παππούς</v>
      </c>
      <c r="D4" s="273" t="str">
        <f>'4-πολλυπρ'!I4</f>
        <v>219-113 = πατήρ</v>
      </c>
      <c r="E4" s="339">
        <v>6.46</v>
      </c>
      <c r="F4" s="361" t="s">
        <v>545</v>
      </c>
      <c r="G4" s="361" t="s">
        <v>546</v>
      </c>
      <c r="H4" s="339"/>
      <c r="I4" s="339"/>
      <c r="J4" s="339"/>
      <c r="K4" s="339">
        <v>1.98</v>
      </c>
      <c r="L4" s="339">
        <v>12.92</v>
      </c>
      <c r="M4" s="339"/>
      <c r="N4" s="339"/>
      <c r="O4" s="339"/>
      <c r="P4" s="339"/>
      <c r="Q4" s="339"/>
      <c r="R4" s="339"/>
      <c r="S4" s="339">
        <f>2*1.47</f>
        <v>2.94</v>
      </c>
      <c r="T4" s="339">
        <f>4*2.23</f>
        <v>8.92</v>
      </c>
      <c r="U4" s="339">
        <f t="shared" ref="U4:U8" si="1">SUM(I4:T4)-K4</f>
        <v>24.779999999999998</v>
      </c>
      <c r="V4" s="345"/>
      <c r="W4" s="345"/>
      <c r="X4" s="362"/>
      <c r="Y4" s="280"/>
    </row>
    <row r="5" spans="1:25" s="5" customFormat="1" ht="12" thickBot="1">
      <c r="A5" s="467">
        <f>'1-συμβολαια'!A5</f>
        <v>0</v>
      </c>
      <c r="B5" s="468" t="str">
        <f>'1-συμβολαια'!C5</f>
        <v>χρησικτησία οικοπέδου = νικολουδηΣαββατουλα ΑΝΤΑΛΑΓΗ άτυπη</v>
      </c>
      <c r="C5" s="469" t="str">
        <f>'4-πολλυπρ'!D5</f>
        <v>;;;???</v>
      </c>
      <c r="D5" s="469" t="str">
        <f>'4-πολλυπρ'!I5</f>
        <v>219-113 = πατήρ</v>
      </c>
      <c r="E5" s="415">
        <v>6.46</v>
      </c>
      <c r="F5" s="417" t="s">
        <v>545</v>
      </c>
      <c r="G5" s="417" t="s">
        <v>546</v>
      </c>
      <c r="H5" s="415"/>
      <c r="I5" s="415"/>
      <c r="J5" s="415"/>
      <c r="K5" s="415">
        <v>1.98</v>
      </c>
      <c r="L5" s="415"/>
      <c r="M5" s="415"/>
      <c r="N5" s="415">
        <v>16.149999999999999</v>
      </c>
      <c r="O5" s="415">
        <v>16.149999999999999</v>
      </c>
      <c r="P5" s="415">
        <v>16.149999999999999</v>
      </c>
      <c r="Q5" s="415">
        <v>16.149999999999999</v>
      </c>
      <c r="R5" s="415"/>
      <c r="S5" s="415">
        <v>1.47</v>
      </c>
      <c r="T5" s="415">
        <f>3*2.23</f>
        <v>6.6899999999999995</v>
      </c>
      <c r="U5" s="415">
        <f t="shared" si="1"/>
        <v>72.759999999999991</v>
      </c>
      <c r="V5" s="432"/>
      <c r="W5" s="345"/>
      <c r="X5" s="362"/>
      <c r="Y5" s="276"/>
    </row>
    <row r="6" spans="1:25" s="5" customFormat="1">
      <c r="A6" s="466" t="str">
        <f>'1-συμβολαια'!A6</f>
        <v>2ο</v>
      </c>
      <c r="B6" s="338" t="str">
        <f>'1-συμβολαια'!C6</f>
        <v>γονική</v>
      </c>
      <c r="C6" s="340" t="str">
        <f>'4-πολλυπρ'!D6</f>
        <v>219-113 = μήτηρ</v>
      </c>
      <c r="D6" s="340" t="str">
        <f>'4-πολλυπρ'!I6</f>
        <v>219-113 = υιός 1ος</v>
      </c>
      <c r="E6" s="339">
        <f>6.46*4</f>
        <v>25.84</v>
      </c>
      <c r="F6" s="361" t="s">
        <v>545</v>
      </c>
      <c r="G6" s="361" t="s">
        <v>546</v>
      </c>
      <c r="H6" s="339"/>
      <c r="I6" s="339">
        <v>5.87</v>
      </c>
      <c r="J6" s="339">
        <v>5.87</v>
      </c>
      <c r="K6" s="339">
        <v>1.98</v>
      </c>
      <c r="L6" s="339">
        <f>16.75*3</f>
        <v>50.25</v>
      </c>
      <c r="M6" s="339"/>
      <c r="N6" s="339"/>
      <c r="O6" s="339">
        <v>16.149999999999999</v>
      </c>
      <c r="P6" s="339">
        <v>16.5</v>
      </c>
      <c r="Q6" s="339">
        <v>16.149999999999999</v>
      </c>
      <c r="R6" s="339"/>
      <c r="S6" s="339">
        <f>7*1.47</f>
        <v>10.29</v>
      </c>
      <c r="T6" s="339">
        <f>7*2.23</f>
        <v>15.61</v>
      </c>
      <c r="U6" s="339">
        <f t="shared" si="1"/>
        <v>136.69000000000003</v>
      </c>
      <c r="V6" s="358"/>
      <c r="W6" s="345"/>
      <c r="X6" s="362"/>
      <c r="Y6" s="276"/>
    </row>
    <row r="7" spans="1:25" s="5" customFormat="1">
      <c r="A7" s="337" t="str">
        <f>'1-συμβολαια'!A7</f>
        <v>3ο</v>
      </c>
      <c r="B7" s="338" t="str">
        <f>'1-συμβολαια'!C7</f>
        <v>γονική</v>
      </c>
      <c r="C7" s="273" t="str">
        <f>'4-πολλυπρ'!D7</f>
        <v>219-113 = μήτηρ</v>
      </c>
      <c r="D7" s="273" t="str">
        <f>'4-πολλυπρ'!I7</f>
        <v>219-113 = υιός 2ος</v>
      </c>
      <c r="E7" s="339">
        <f t="shared" ref="E7" si="2">6.46*3</f>
        <v>19.38</v>
      </c>
      <c r="F7" s="361" t="s">
        <v>545</v>
      </c>
      <c r="G7" s="361" t="s">
        <v>546</v>
      </c>
      <c r="H7" s="339"/>
      <c r="I7" s="339">
        <v>5.87</v>
      </c>
      <c r="J7" s="339">
        <v>5.87</v>
      </c>
      <c r="K7" s="339">
        <v>1.98</v>
      </c>
      <c r="L7" s="339">
        <f>16.75*2</f>
        <v>33.5</v>
      </c>
      <c r="M7" s="339"/>
      <c r="N7" s="339"/>
      <c r="O7" s="339">
        <v>16.149999999999999</v>
      </c>
      <c r="P7" s="339">
        <v>16.149999999999999</v>
      </c>
      <c r="Q7" s="339">
        <v>16.149999999999999</v>
      </c>
      <c r="R7" s="339"/>
      <c r="S7" s="339">
        <f>6*1.47</f>
        <v>8.82</v>
      </c>
      <c r="T7" s="339">
        <f>6*2.23</f>
        <v>13.379999999999999</v>
      </c>
      <c r="U7" s="339">
        <f t="shared" si="1"/>
        <v>115.88999999999997</v>
      </c>
      <c r="V7" s="345"/>
      <c r="W7" s="345"/>
      <c r="X7" s="362"/>
      <c r="Y7" s="276"/>
    </row>
    <row r="8" spans="1:25" s="5" customFormat="1">
      <c r="A8" s="337" t="str">
        <f>'1-συμβολαια'!A8</f>
        <v>4ο</v>
      </c>
      <c r="B8" s="338" t="str">
        <f>'1-συμβολαια'!C8</f>
        <v>δωρεά</v>
      </c>
      <c r="C8" s="273" t="str">
        <f>'4-πολλυπρ'!D8</f>
        <v>219-113 = υιός 2ος</v>
      </c>
      <c r="D8" s="273" t="str">
        <f>'4-πολλυπρ'!I8</f>
        <v>219-113 = υιός 1ος</v>
      </c>
      <c r="E8" s="339">
        <f>6.46*2</f>
        <v>12.92</v>
      </c>
      <c r="F8" s="361" t="s">
        <v>545</v>
      </c>
      <c r="G8" s="361" t="s">
        <v>546</v>
      </c>
      <c r="H8" s="339"/>
      <c r="I8" s="339">
        <v>5.87</v>
      </c>
      <c r="J8" s="339">
        <v>5.87</v>
      </c>
      <c r="K8" s="339">
        <v>1.98</v>
      </c>
      <c r="L8" s="339">
        <f>16.75*2</f>
        <v>33.5</v>
      </c>
      <c r="M8" s="339"/>
      <c r="N8" s="339"/>
      <c r="O8" s="339"/>
      <c r="P8" s="339"/>
      <c r="Q8" s="339"/>
      <c r="R8" s="339"/>
      <c r="S8" s="339">
        <f>2*1.47</f>
        <v>2.94</v>
      </c>
      <c r="T8" s="339">
        <f>4*2.23</f>
        <v>8.92</v>
      </c>
      <c r="U8" s="339">
        <f t="shared" si="1"/>
        <v>57.1</v>
      </c>
      <c r="V8" s="345"/>
      <c r="W8" s="345"/>
      <c r="X8" s="362"/>
      <c r="Y8" s="276"/>
    </row>
    <row r="9" spans="1:25">
      <c r="A9" s="628" t="s">
        <v>35</v>
      </c>
      <c r="B9" s="629"/>
      <c r="C9" s="629"/>
      <c r="D9" s="630"/>
      <c r="E9" s="70">
        <f>SUM(E3:E8)</f>
        <v>90.44</v>
      </c>
      <c r="F9" s="70"/>
      <c r="G9" s="70"/>
      <c r="H9" s="70"/>
      <c r="I9" s="70">
        <f t="shared" ref="I9:V9" si="3">SUM(I3:I8)</f>
        <v>23.48</v>
      </c>
      <c r="J9" s="70">
        <f t="shared" si="3"/>
        <v>23.48</v>
      </c>
      <c r="K9" s="70">
        <f t="shared" si="3"/>
        <v>11.88</v>
      </c>
      <c r="L9" s="70">
        <f t="shared" si="3"/>
        <v>180.42000000000002</v>
      </c>
      <c r="M9" s="70">
        <f t="shared" si="3"/>
        <v>0</v>
      </c>
      <c r="N9" s="70">
        <f t="shared" si="3"/>
        <v>16.149999999999999</v>
      </c>
      <c r="O9" s="70">
        <f t="shared" si="3"/>
        <v>96.9</v>
      </c>
      <c r="P9" s="70">
        <f t="shared" si="3"/>
        <v>97.25</v>
      </c>
      <c r="Q9" s="70">
        <f t="shared" si="3"/>
        <v>96.9</v>
      </c>
      <c r="R9" s="70">
        <f t="shared" si="3"/>
        <v>0</v>
      </c>
      <c r="S9" s="70">
        <f t="shared" si="3"/>
        <v>30.87</v>
      </c>
      <c r="T9" s="70">
        <f t="shared" si="3"/>
        <v>82.509999999999991</v>
      </c>
      <c r="U9" s="70">
        <f t="shared" si="3"/>
        <v>647.96</v>
      </c>
      <c r="V9" s="85">
        <f t="shared" si="3"/>
        <v>0</v>
      </c>
      <c r="W9" s="138"/>
      <c r="X9" s="3"/>
      <c r="Y9" s="3"/>
    </row>
    <row r="11" spans="1:25" ht="15.75" customHeight="1">
      <c r="I11" s="135" t="s">
        <v>494</v>
      </c>
      <c r="L11" s="132" t="s">
        <v>496</v>
      </c>
      <c r="W11" s="149"/>
      <c r="X11" s="89"/>
      <c r="Y11" s="149"/>
    </row>
    <row r="12" spans="1:25">
      <c r="F12" s="155" t="s">
        <v>164</v>
      </c>
      <c r="G12" s="119"/>
      <c r="H12" s="84"/>
      <c r="L12" s="170" t="s">
        <v>204</v>
      </c>
      <c r="W12" s="2"/>
    </row>
    <row r="13" spans="1:25">
      <c r="F13" s="84"/>
      <c r="G13" s="119" t="s">
        <v>165</v>
      </c>
      <c r="M13" s="169" t="s">
        <v>205</v>
      </c>
      <c r="V13" s="2"/>
      <c r="W13" s="2"/>
    </row>
    <row r="14" spans="1:25" ht="12.75">
      <c r="N14" s="474" t="s">
        <v>206</v>
      </c>
      <c r="O14" s="475"/>
      <c r="P14" s="475"/>
      <c r="Q14" s="475"/>
      <c r="R14" s="475"/>
      <c r="S14" s="475"/>
      <c r="T14" s="475"/>
      <c r="V14" s="2"/>
      <c r="W14" s="2"/>
    </row>
    <row r="15" spans="1:25" ht="12.75">
      <c r="A15" s="80" t="s">
        <v>573</v>
      </c>
      <c r="B15" s="510" t="s">
        <v>559</v>
      </c>
      <c r="N15" s="475"/>
      <c r="O15" s="476" t="s">
        <v>547</v>
      </c>
      <c r="P15" s="475"/>
      <c r="Q15" s="475"/>
      <c r="R15" s="475"/>
      <c r="S15" s="475"/>
      <c r="T15" s="475"/>
      <c r="V15" s="2"/>
      <c r="W15" s="2"/>
    </row>
    <row r="16" spans="1:25" ht="12.75">
      <c r="A16" s="80"/>
      <c r="B16" s="401" t="s">
        <v>577</v>
      </c>
      <c r="N16" s="475"/>
      <c r="O16" s="475"/>
      <c r="P16" s="476" t="s">
        <v>548</v>
      </c>
      <c r="Q16" s="475"/>
      <c r="R16" s="475"/>
      <c r="S16" s="475"/>
      <c r="T16" s="475"/>
    </row>
    <row r="17" spans="1:20" ht="12.75">
      <c r="A17" s="80"/>
      <c r="B17" s="401" t="s">
        <v>578</v>
      </c>
      <c r="N17" s="475"/>
      <c r="O17" s="475"/>
      <c r="P17" s="475"/>
      <c r="Q17" s="476" t="s">
        <v>549</v>
      </c>
      <c r="R17" s="475"/>
      <c r="S17" s="475"/>
      <c r="T17" s="475"/>
    </row>
    <row r="18" spans="1:20" ht="12.75">
      <c r="A18" s="80"/>
      <c r="B18" s="401" t="s">
        <v>560</v>
      </c>
      <c r="N18" s="475"/>
      <c r="O18" s="475"/>
      <c r="P18" s="475"/>
      <c r="Q18" s="475"/>
      <c r="R18" s="475"/>
      <c r="S18" s="475" t="s">
        <v>550</v>
      </c>
      <c r="T18" s="475"/>
    </row>
    <row r="19" spans="1:20" ht="12.75">
      <c r="A19" s="80"/>
      <c r="N19" s="475"/>
      <c r="O19" s="475"/>
      <c r="P19" s="475"/>
      <c r="Q19" s="475"/>
      <c r="R19" s="475"/>
      <c r="S19" s="475"/>
      <c r="T19" s="475" t="s">
        <v>551</v>
      </c>
    </row>
    <row r="20" spans="1:20">
      <c r="A20" s="80"/>
    </row>
    <row r="21" spans="1:20">
      <c r="A21" s="80"/>
    </row>
    <row r="22" spans="1:20">
      <c r="A22" s="80" t="s">
        <v>574</v>
      </c>
      <c r="B22" s="3" t="s">
        <v>579</v>
      </c>
    </row>
    <row r="23" spans="1:20">
      <c r="A23" s="80"/>
      <c r="B23" s="510" t="s">
        <v>580</v>
      </c>
    </row>
    <row r="24" spans="1:20">
      <c r="A24" s="80"/>
      <c r="B24" s="510" t="s">
        <v>581</v>
      </c>
    </row>
    <row r="25" spans="1:20">
      <c r="A25" s="80"/>
      <c r="B25" s="510" t="s">
        <v>567</v>
      </c>
    </row>
    <row r="26" spans="1:20">
      <c r="A26" s="80"/>
      <c r="B26" s="3"/>
    </row>
    <row r="27" spans="1:20">
      <c r="A27" s="80"/>
      <c r="B27" s="3"/>
    </row>
    <row r="28" spans="1:20">
      <c r="A28" s="80" t="s">
        <v>575</v>
      </c>
      <c r="B28" s="3" t="s">
        <v>579</v>
      </c>
    </row>
    <row r="29" spans="1:20">
      <c r="A29" s="80"/>
      <c r="B29" s="523" t="s">
        <v>567</v>
      </c>
    </row>
    <row r="30" spans="1:20">
      <c r="A30" s="80"/>
      <c r="B30" s="3" t="s">
        <v>582</v>
      </c>
    </row>
    <row r="31" spans="1:20">
      <c r="A31" s="80"/>
      <c r="B31" s="3"/>
    </row>
    <row r="32" spans="1:20">
      <c r="A32" s="80"/>
      <c r="B32" s="3"/>
    </row>
    <row r="33" spans="1:2">
      <c r="A33" s="80" t="s">
        <v>576</v>
      </c>
      <c r="B33" s="510" t="s">
        <v>583</v>
      </c>
    </row>
    <row r="34" spans="1:2">
      <c r="B34" s="510" t="s">
        <v>584</v>
      </c>
    </row>
    <row r="35" spans="1:2">
      <c r="B35" s="3"/>
    </row>
    <row r="36" spans="1:2">
      <c r="B36" s="3"/>
    </row>
    <row r="37" spans="1:2">
      <c r="B37" s="3"/>
    </row>
    <row r="38" spans="1:2">
      <c r="B38" s="3"/>
    </row>
    <row r="39" spans="1:2">
      <c r="B39" s="3"/>
    </row>
    <row r="40" spans="1:2">
      <c r="B40" s="3"/>
    </row>
    <row r="41" spans="1:2">
      <c r="B41" s="3"/>
    </row>
    <row r="42" spans="1:2">
      <c r="B42" s="3"/>
    </row>
    <row r="43" spans="1:2">
      <c r="B43" s="3"/>
    </row>
    <row r="44" spans="1:2">
      <c r="B44" s="3"/>
    </row>
    <row r="45" spans="1:2">
      <c r="B45" s="3"/>
    </row>
    <row r="46" spans="1:2">
      <c r="B46" s="3"/>
    </row>
    <row r="47" spans="1:2">
      <c r="B47" s="3"/>
    </row>
    <row r="48" spans="1:2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</sheetData>
  <mergeCells count="6">
    <mergeCell ref="I1:U1"/>
    <mergeCell ref="V1:Y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topLeftCell="N1"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4.42578125" style="3" bestFit="1" customWidth="1"/>
    <col min="2" max="2" width="56.2851562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9.140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59" t="s">
        <v>326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0"/>
      <c r="X1" s="660"/>
      <c r="Y1" s="660"/>
      <c r="Z1" s="660"/>
      <c r="AA1" s="660"/>
      <c r="AB1" s="660"/>
      <c r="AC1" s="660"/>
      <c r="AD1" s="660"/>
      <c r="AE1" s="661" t="s">
        <v>47</v>
      </c>
      <c r="AF1" s="663" t="s">
        <v>9</v>
      </c>
      <c r="AG1" s="665" t="s">
        <v>522</v>
      </c>
      <c r="AH1" s="667" t="s">
        <v>336</v>
      </c>
      <c r="AI1" s="669" t="s">
        <v>83</v>
      </c>
      <c r="AJ1" s="670"/>
      <c r="AK1" s="670"/>
      <c r="AL1" s="671"/>
    </row>
    <row r="2" spans="1:38" ht="12" thickBot="1">
      <c r="A2" s="195"/>
      <c r="B2" s="196" t="s">
        <v>335</v>
      </c>
      <c r="C2" s="196" t="s">
        <v>84</v>
      </c>
      <c r="D2" s="197" t="s">
        <v>327</v>
      </c>
      <c r="E2" s="173" t="s">
        <v>31</v>
      </c>
      <c r="F2" s="173" t="s">
        <v>328</v>
      </c>
      <c r="G2" s="173" t="s">
        <v>329</v>
      </c>
      <c r="H2" s="173" t="s">
        <v>330</v>
      </c>
      <c r="I2" s="173" t="s">
        <v>331</v>
      </c>
      <c r="J2" s="173" t="s">
        <v>332</v>
      </c>
      <c r="K2" s="626" t="s">
        <v>29</v>
      </c>
      <c r="L2" s="627"/>
      <c r="M2" s="183" t="s">
        <v>333</v>
      </c>
      <c r="N2" s="183" t="s">
        <v>31</v>
      </c>
      <c r="O2" s="183" t="s">
        <v>328</v>
      </c>
      <c r="P2" s="183" t="s">
        <v>329</v>
      </c>
      <c r="Q2" s="183" t="s">
        <v>330</v>
      </c>
      <c r="R2" s="183" t="s">
        <v>331</v>
      </c>
      <c r="S2" s="183" t="s">
        <v>332</v>
      </c>
      <c r="T2" s="636" t="s">
        <v>29</v>
      </c>
      <c r="U2" s="637"/>
      <c r="V2" s="173" t="s">
        <v>334</v>
      </c>
      <c r="W2" s="173" t="s">
        <v>31</v>
      </c>
      <c r="X2" s="173" t="s">
        <v>328</v>
      </c>
      <c r="Y2" s="173" t="s">
        <v>329</v>
      </c>
      <c r="Z2" s="173" t="s">
        <v>330</v>
      </c>
      <c r="AA2" s="173" t="s">
        <v>331</v>
      </c>
      <c r="AB2" s="173" t="s">
        <v>332</v>
      </c>
      <c r="AC2" s="626" t="s">
        <v>29</v>
      </c>
      <c r="AD2" s="627"/>
      <c r="AE2" s="662"/>
      <c r="AF2" s="664"/>
      <c r="AG2" s="666"/>
      <c r="AH2" s="668"/>
      <c r="AI2" s="672"/>
      <c r="AJ2" s="673"/>
      <c r="AK2" s="673"/>
      <c r="AL2" s="674"/>
    </row>
    <row r="3" spans="1:38" s="5" customFormat="1">
      <c r="A3" s="382" t="str">
        <f>'1-συμβολαια'!A3</f>
        <v>1ο</v>
      </c>
      <c r="B3" s="76" t="str">
        <f>'1-συμβολαια'!C3</f>
        <v>κληρονομιάς ΑΠΟΔΟΧΗ</v>
      </c>
      <c r="C3" s="343">
        <f>'1-συμβολαια'!D3</f>
        <v>0</v>
      </c>
      <c r="D3" s="343"/>
      <c r="E3" s="76"/>
      <c r="F3" s="76"/>
      <c r="G3" s="76"/>
      <c r="H3" s="76"/>
      <c r="I3" s="76"/>
      <c r="J3" s="76"/>
      <c r="K3" s="76"/>
      <c r="L3" s="76"/>
      <c r="M3" s="343"/>
      <c r="N3" s="76"/>
      <c r="O3" s="76"/>
      <c r="P3" s="76"/>
      <c r="Q3" s="76"/>
      <c r="R3" s="76"/>
      <c r="S3" s="76"/>
      <c r="T3" s="76"/>
      <c r="U3" s="76"/>
      <c r="V3" s="343"/>
      <c r="W3" s="76"/>
      <c r="X3" s="76"/>
      <c r="Y3" s="76"/>
      <c r="Z3" s="76"/>
      <c r="AA3" s="76"/>
      <c r="AB3" s="76"/>
      <c r="AC3" s="76"/>
      <c r="AD3" s="76"/>
      <c r="AE3" s="333">
        <f t="shared" ref="AE3:AE8" si="0">D3+M3+V3</f>
        <v>0</v>
      </c>
      <c r="AF3" s="333">
        <f t="shared" ref="AF3:AF7" si="1">E3+N3+W3</f>
        <v>0</v>
      </c>
      <c r="AG3" s="333">
        <f t="shared" ref="AG3:AG8" si="2">AE3-AF3</f>
        <v>0</v>
      </c>
      <c r="AH3" s="76"/>
      <c r="AI3" s="76"/>
      <c r="AJ3" s="76"/>
      <c r="AK3" s="76"/>
      <c r="AL3" s="76"/>
    </row>
    <row r="4" spans="1:38" s="5" customFormat="1">
      <c r="A4" s="382"/>
      <c r="B4" s="76" t="str">
        <f>'1-συμβολαια'!C4</f>
        <v>χρησικτησία αγροτεμαχίων {0,7 &amp; 1,8στρ} = 19?? πατρός ΔΩΡΕΑ άτυπη</v>
      </c>
      <c r="C4" s="343">
        <f>'1-συμβολαια'!D4</f>
        <v>1111</v>
      </c>
      <c r="D4" s="343"/>
      <c r="E4" s="76"/>
      <c r="F4" s="76"/>
      <c r="G4" s="76"/>
      <c r="H4" s="76"/>
      <c r="I4" s="76"/>
      <c r="J4" s="76"/>
      <c r="K4" s="76"/>
      <c r="L4" s="76"/>
      <c r="M4" s="343">
        <f>C4*0.65%</f>
        <v>7.2215000000000007</v>
      </c>
      <c r="N4" s="76"/>
      <c r="O4" s="76"/>
      <c r="P4" s="76"/>
      <c r="Q4" s="76"/>
      <c r="R4" s="76"/>
      <c r="S4" s="76"/>
      <c r="T4" s="76"/>
      <c r="U4" s="76"/>
      <c r="V4" s="343">
        <f>C4*0.125%</f>
        <v>1.3887499999999999</v>
      </c>
      <c r="W4" s="76"/>
      <c r="X4" s="76"/>
      <c r="Y4" s="76"/>
      <c r="Z4" s="76"/>
      <c r="AA4" s="76"/>
      <c r="AB4" s="76"/>
      <c r="AC4" s="76"/>
      <c r="AD4" s="76"/>
      <c r="AE4" s="333">
        <f t="shared" si="0"/>
        <v>8.6102500000000006</v>
      </c>
      <c r="AF4" s="333">
        <f t="shared" si="1"/>
        <v>0</v>
      </c>
      <c r="AG4" s="333">
        <f t="shared" si="2"/>
        <v>8.6102500000000006</v>
      </c>
      <c r="AH4" s="76"/>
      <c r="AI4" s="76"/>
      <c r="AJ4" s="76"/>
      <c r="AK4" s="76"/>
      <c r="AL4" s="76"/>
    </row>
    <row r="5" spans="1:38" s="5" customFormat="1" ht="12" thickBot="1">
      <c r="A5" s="472"/>
      <c r="B5" s="473" t="str">
        <f>'1-συμβολαια'!C5</f>
        <v>χρησικτησία οικοπέδου = νικολουδηΣαββατουλα ΑΝΤΑΛΑΓΗ άτυπη</v>
      </c>
      <c r="C5" s="416">
        <f>'1-συμβολαια'!D5</f>
        <v>22222</v>
      </c>
      <c r="D5" s="416"/>
      <c r="E5" s="473"/>
      <c r="F5" s="473"/>
      <c r="G5" s="473"/>
      <c r="H5" s="473"/>
      <c r="I5" s="473"/>
      <c r="J5" s="473"/>
      <c r="K5" s="473"/>
      <c r="L5" s="473"/>
      <c r="M5" s="416"/>
      <c r="N5" s="473"/>
      <c r="O5" s="473"/>
      <c r="P5" s="473"/>
      <c r="Q5" s="473"/>
      <c r="R5" s="473"/>
      <c r="S5" s="473"/>
      <c r="T5" s="473"/>
      <c r="U5" s="473"/>
      <c r="V5" s="416"/>
      <c r="W5" s="473"/>
      <c r="X5" s="473"/>
      <c r="Y5" s="473"/>
      <c r="Z5" s="473"/>
      <c r="AA5" s="473"/>
      <c r="AB5" s="473"/>
      <c r="AC5" s="473"/>
      <c r="AD5" s="473"/>
      <c r="AE5" s="416">
        <f t="shared" si="0"/>
        <v>0</v>
      </c>
      <c r="AF5" s="416">
        <f t="shared" si="1"/>
        <v>0</v>
      </c>
      <c r="AG5" s="416">
        <f t="shared" si="2"/>
        <v>0</v>
      </c>
      <c r="AH5" s="473"/>
      <c r="AI5" s="473"/>
      <c r="AJ5" s="473"/>
      <c r="AK5" s="473"/>
      <c r="AL5" s="473"/>
    </row>
    <row r="6" spans="1:38" s="5" customFormat="1">
      <c r="A6" s="471"/>
      <c r="B6" s="471" t="str">
        <f>'1-συμβολαια'!C6</f>
        <v>γονική</v>
      </c>
      <c r="C6" s="333">
        <f>'1-συμβολαια'!D6</f>
        <v>5454.92</v>
      </c>
      <c r="D6" s="333"/>
      <c r="E6" s="471"/>
      <c r="F6" s="471"/>
      <c r="G6" s="471"/>
      <c r="H6" s="471"/>
      <c r="I6" s="471"/>
      <c r="J6" s="471"/>
      <c r="K6" s="471"/>
      <c r="L6" s="471"/>
      <c r="M6" s="343">
        <f t="shared" ref="M6:M8" si="3">C6*0.65%</f>
        <v>35.456980000000001</v>
      </c>
      <c r="N6" s="76"/>
      <c r="O6" s="76"/>
      <c r="P6" s="76"/>
      <c r="Q6" s="76"/>
      <c r="R6" s="76"/>
      <c r="S6" s="76"/>
      <c r="T6" s="76"/>
      <c r="U6" s="76"/>
      <c r="V6" s="343">
        <f t="shared" ref="V6:V8" si="4">C6*0.125%</f>
        <v>6.8186499999999999</v>
      </c>
      <c r="W6" s="471"/>
      <c r="X6" s="471"/>
      <c r="Y6" s="471"/>
      <c r="Z6" s="471"/>
      <c r="AA6" s="471"/>
      <c r="AB6" s="471"/>
      <c r="AC6" s="471"/>
      <c r="AD6" s="471"/>
      <c r="AE6" s="333">
        <f t="shared" si="0"/>
        <v>42.27563</v>
      </c>
      <c r="AF6" s="333">
        <f t="shared" si="1"/>
        <v>0</v>
      </c>
      <c r="AG6" s="333">
        <f t="shared" si="2"/>
        <v>42.27563</v>
      </c>
      <c r="AH6" s="471"/>
      <c r="AI6" s="471"/>
      <c r="AJ6" s="471"/>
      <c r="AK6" s="471"/>
      <c r="AL6" s="471"/>
    </row>
    <row r="7" spans="1:38" s="5" customFormat="1">
      <c r="A7" s="76"/>
      <c r="B7" s="76" t="str">
        <f>'1-συμβολαια'!C7</f>
        <v>γονική</v>
      </c>
      <c r="C7" s="343">
        <f>'1-συμβολαια'!D7</f>
        <v>4027.53</v>
      </c>
      <c r="D7" s="343"/>
      <c r="E7" s="76"/>
      <c r="F7" s="76"/>
      <c r="G7" s="76"/>
      <c r="H7" s="76"/>
      <c r="I7" s="76"/>
      <c r="J7" s="76"/>
      <c r="K7" s="76"/>
      <c r="L7" s="76"/>
      <c r="M7" s="343">
        <f t="shared" si="3"/>
        <v>26.178945000000002</v>
      </c>
      <c r="N7" s="76"/>
      <c r="O7" s="76"/>
      <c r="P7" s="76"/>
      <c r="Q7" s="76"/>
      <c r="R7" s="76"/>
      <c r="S7" s="76"/>
      <c r="T7" s="76"/>
      <c r="U7" s="76"/>
      <c r="V7" s="343">
        <f t="shared" si="4"/>
        <v>5.0344125000000002</v>
      </c>
      <c r="W7" s="76"/>
      <c r="X7" s="76"/>
      <c r="Y7" s="76"/>
      <c r="Z7" s="76"/>
      <c r="AA7" s="76"/>
      <c r="AB7" s="76"/>
      <c r="AC7" s="76"/>
      <c r="AD7" s="76"/>
      <c r="AE7" s="333">
        <f t="shared" si="0"/>
        <v>31.213357500000001</v>
      </c>
      <c r="AF7" s="333">
        <f t="shared" si="1"/>
        <v>0</v>
      </c>
      <c r="AG7" s="333">
        <f t="shared" si="2"/>
        <v>31.213357500000001</v>
      </c>
      <c r="AH7" s="76"/>
      <c r="AI7" s="76"/>
      <c r="AJ7" s="76"/>
      <c r="AK7" s="76"/>
      <c r="AL7" s="76"/>
    </row>
    <row r="8" spans="1:38" s="5" customFormat="1">
      <c r="A8" s="76"/>
      <c r="B8" s="76" t="str">
        <f>'1-συμβολαια'!C8</f>
        <v>δωρεά</v>
      </c>
      <c r="C8" s="343">
        <f>'1-συμβολαια'!D8</f>
        <v>3068.08</v>
      </c>
      <c r="D8" s="343"/>
      <c r="E8" s="76"/>
      <c r="F8" s="76"/>
      <c r="G8" s="76"/>
      <c r="H8" s="76"/>
      <c r="I8" s="76"/>
      <c r="J8" s="76"/>
      <c r="K8" s="76"/>
      <c r="L8" s="76"/>
      <c r="M8" s="343">
        <f t="shared" si="3"/>
        <v>19.942520000000002</v>
      </c>
      <c r="N8" s="76"/>
      <c r="O8" s="76"/>
      <c r="P8" s="76"/>
      <c r="Q8" s="76"/>
      <c r="R8" s="76"/>
      <c r="S8" s="76"/>
      <c r="T8" s="76"/>
      <c r="U8" s="76"/>
      <c r="V8" s="343">
        <f t="shared" si="4"/>
        <v>3.8351000000000002</v>
      </c>
      <c r="W8" s="76"/>
      <c r="X8" s="76"/>
      <c r="Y8" s="76"/>
      <c r="Z8" s="76"/>
      <c r="AA8" s="76"/>
      <c r="AB8" s="76"/>
      <c r="AC8" s="76"/>
      <c r="AD8" s="76"/>
      <c r="AE8" s="333">
        <f t="shared" si="0"/>
        <v>23.777620000000002</v>
      </c>
      <c r="AF8" s="333">
        <v>23.45</v>
      </c>
      <c r="AG8" s="333">
        <f t="shared" si="2"/>
        <v>0.32762000000000313</v>
      </c>
      <c r="AH8" s="76"/>
      <c r="AI8" s="76"/>
      <c r="AJ8" s="76"/>
      <c r="AK8" s="76"/>
      <c r="AL8" s="76"/>
    </row>
    <row r="9" spans="1:38">
      <c r="A9" s="656" t="str">
        <f>'1-συμβολαια'!A9</f>
        <v>σύνολο</v>
      </c>
      <c r="B9" s="657"/>
      <c r="C9" s="658"/>
      <c r="D9" s="314">
        <f>SUM(D3:D8)</f>
        <v>0</v>
      </c>
      <c r="E9" s="194"/>
      <c r="F9" s="194"/>
      <c r="G9" s="194"/>
      <c r="H9" s="194"/>
      <c r="I9" s="194"/>
      <c r="J9" s="194"/>
      <c r="K9" s="194"/>
      <c r="L9" s="194"/>
      <c r="M9" s="314">
        <f>SUM(M3:M8)</f>
        <v>88.799945000000008</v>
      </c>
      <c r="N9" s="194"/>
      <c r="O9" s="194"/>
      <c r="P9" s="194"/>
      <c r="Q9" s="194"/>
      <c r="R9" s="194"/>
      <c r="S9" s="194"/>
      <c r="T9" s="194"/>
      <c r="U9" s="194"/>
      <c r="V9" s="314">
        <f>SUM(V3:V8)</f>
        <v>17.076912499999999</v>
      </c>
      <c r="W9" s="194"/>
      <c r="X9" s="194"/>
      <c r="Y9" s="194"/>
      <c r="Z9" s="194"/>
      <c r="AA9" s="194"/>
      <c r="AB9" s="194"/>
      <c r="AC9" s="194"/>
      <c r="AD9" s="194"/>
      <c r="AE9" s="314">
        <f>SUM(AE3:AE8)</f>
        <v>105.8768575</v>
      </c>
      <c r="AF9" s="314">
        <f>SUM(AF3:AF8)</f>
        <v>23.45</v>
      </c>
      <c r="AG9" s="314">
        <f>SUM(AG3:AG8)</f>
        <v>82.426857500000011</v>
      </c>
      <c r="AH9" s="194">
        <f>SUM(AH3:AH8)</f>
        <v>0</v>
      </c>
      <c r="AI9" s="194"/>
      <c r="AJ9" s="194"/>
      <c r="AK9" s="194"/>
      <c r="AL9" s="194"/>
    </row>
    <row r="11" spans="1:38">
      <c r="E11" s="2"/>
      <c r="F11" s="2"/>
      <c r="G11" s="2"/>
      <c r="H11" s="163" t="s">
        <v>337</v>
      </c>
      <c r="I11" s="2"/>
      <c r="J11" s="2"/>
      <c r="K11" s="2"/>
      <c r="L11" s="2"/>
      <c r="M11" s="2"/>
      <c r="N11" s="2"/>
      <c r="O11" s="2"/>
      <c r="P11" s="2"/>
      <c r="Q11" s="163" t="s">
        <v>337</v>
      </c>
      <c r="R11" s="2"/>
      <c r="S11" s="2"/>
      <c r="T11" s="2"/>
      <c r="U11" s="2"/>
      <c r="V11" s="2"/>
      <c r="W11" s="2"/>
      <c r="X11" s="2"/>
      <c r="Y11" s="2"/>
      <c r="Z11" s="163" t="s">
        <v>337</v>
      </c>
      <c r="AA11" s="2"/>
      <c r="AB11" s="2"/>
      <c r="AC11" s="2"/>
      <c r="AD11" s="2"/>
      <c r="AE11" s="2"/>
    </row>
    <row r="12" spans="1:38">
      <c r="E12" s="2"/>
      <c r="F12" s="198" t="s">
        <v>338</v>
      </c>
      <c r="G12" s="198"/>
      <c r="H12" s="198"/>
      <c r="I12" s="198"/>
      <c r="J12" s="198"/>
      <c r="K12" s="198"/>
      <c r="L12" s="198"/>
      <c r="M12" s="198"/>
      <c r="N12" s="198"/>
      <c r="O12" s="198" t="s">
        <v>338</v>
      </c>
      <c r="P12" s="2"/>
      <c r="Q12" s="2"/>
      <c r="R12" s="2"/>
      <c r="S12" s="2"/>
      <c r="T12" s="2"/>
      <c r="U12" s="2"/>
      <c r="V12" s="2"/>
      <c r="W12" s="2"/>
      <c r="X12" s="198" t="s">
        <v>338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7" t="s">
        <v>339</v>
      </c>
      <c r="K13" s="163"/>
      <c r="L13" s="2"/>
      <c r="M13" s="2"/>
      <c r="N13" s="2"/>
      <c r="O13" s="2"/>
      <c r="P13" s="2"/>
      <c r="Q13" s="4"/>
      <c r="R13" s="167" t="s">
        <v>340</v>
      </c>
      <c r="S13" s="167"/>
      <c r="T13" s="167"/>
      <c r="U13" s="167"/>
      <c r="V13" s="4"/>
      <c r="W13" s="4"/>
      <c r="X13" s="4"/>
      <c r="Y13" s="4"/>
      <c r="Z13" s="4"/>
      <c r="AA13" s="167" t="s">
        <v>340</v>
      </c>
      <c r="AB13" s="167"/>
      <c r="AC13" s="167"/>
      <c r="AD13" s="163"/>
      <c r="AE13" s="2"/>
    </row>
    <row r="14" spans="1:38">
      <c r="E14" s="2"/>
      <c r="F14" s="2"/>
      <c r="G14" s="2"/>
      <c r="H14" s="2"/>
      <c r="I14" s="167" t="s">
        <v>340</v>
      </c>
      <c r="J14" s="4"/>
      <c r="K14" s="2"/>
      <c r="L14" s="2"/>
      <c r="M14" s="2"/>
      <c r="N14" s="2"/>
      <c r="O14" s="2"/>
      <c r="P14" s="2"/>
      <c r="Q14" s="4"/>
      <c r="R14" s="4"/>
      <c r="S14" s="167" t="s">
        <v>339</v>
      </c>
      <c r="T14" s="167"/>
      <c r="U14" s="4"/>
      <c r="V14" s="4"/>
      <c r="W14" s="4"/>
      <c r="X14" s="4"/>
      <c r="Y14" s="4"/>
      <c r="Z14" s="4"/>
      <c r="AA14" s="4"/>
      <c r="AB14" s="167" t="s">
        <v>339</v>
      </c>
      <c r="AC14" s="167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199" t="s">
        <v>341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00" t="s">
        <v>342</v>
      </c>
      <c r="R16" s="2"/>
      <c r="S16" s="2"/>
      <c r="T16" s="2"/>
      <c r="U16" s="2"/>
      <c r="V16" s="2"/>
      <c r="W16" s="2"/>
      <c r="X16" s="2"/>
      <c r="Y16" s="2"/>
      <c r="Z16" s="201" t="s">
        <v>343</v>
      </c>
      <c r="AA16" s="2"/>
      <c r="AB16" s="2"/>
      <c r="AC16" s="2"/>
      <c r="AD16" s="2"/>
      <c r="AE16" s="2"/>
    </row>
    <row r="17" spans="5:31">
      <c r="E17" s="202" t="s">
        <v>344</v>
      </c>
      <c r="F17" s="2"/>
      <c r="G17" s="2"/>
      <c r="H17" s="2"/>
      <c r="I17" s="2"/>
      <c r="J17" s="2"/>
      <c r="K17" s="2"/>
      <c r="L17" s="2"/>
      <c r="M17" s="8"/>
      <c r="N17" s="2"/>
      <c r="O17" s="163"/>
      <c r="P17" s="163"/>
      <c r="Q17" s="163"/>
      <c r="R17" s="163"/>
      <c r="S17" s="203" t="s">
        <v>345</v>
      </c>
      <c r="T17" s="163"/>
      <c r="U17" s="163"/>
      <c r="V17" s="163"/>
      <c r="W17" s="2"/>
      <c r="X17" s="2"/>
      <c r="Y17" s="2"/>
      <c r="Z17" s="2"/>
      <c r="AA17" s="204" t="s">
        <v>346</v>
      </c>
      <c r="AB17" s="2"/>
      <c r="AC17" s="2"/>
      <c r="AD17" s="2"/>
      <c r="AE17" s="2"/>
    </row>
    <row r="18" spans="5:31">
      <c r="E18" s="2"/>
      <c r="F18" s="202" t="s">
        <v>347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05" t="s">
        <v>348</v>
      </c>
      <c r="T18" s="2"/>
      <c r="U18" s="2"/>
      <c r="V18" s="2"/>
      <c r="W18" s="2"/>
      <c r="X18" s="2"/>
      <c r="Y18" s="2"/>
      <c r="Z18" s="2"/>
      <c r="AA18" s="2"/>
      <c r="AB18" s="205" t="s">
        <v>348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63"/>
      <c r="Q19" s="163"/>
      <c r="R19" s="163"/>
      <c r="S19" s="163"/>
      <c r="T19" s="163"/>
      <c r="U19" s="163"/>
      <c r="V19" s="163"/>
      <c r="W19" s="163"/>
      <c r="X19" s="163"/>
      <c r="Y19" s="2"/>
      <c r="Z19" s="2"/>
      <c r="AA19" s="2"/>
      <c r="AB19" s="203" t="s">
        <v>345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2026-02-01T06:37:15Z</dcterms:modified>
</cp:coreProperties>
</file>