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8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Y12" i="5"/>
  <c r="Y7"/>
  <c r="P22"/>
  <c r="O22"/>
  <c r="N22"/>
  <c r="L22"/>
  <c r="K22"/>
  <c r="J22"/>
  <c r="AJ20" i="24"/>
  <c r="T21" i="20"/>
  <c r="S21"/>
  <c r="T20"/>
  <c r="S20"/>
  <c r="O21"/>
  <c r="O20"/>
  <c r="P21"/>
  <c r="P20"/>
  <c r="Y47" i="5" l="1"/>
  <c r="AA59" l="1"/>
  <c r="AA56"/>
  <c r="AA53"/>
  <c r="AA52"/>
  <c r="Y59"/>
  <c r="Y56"/>
  <c r="Y53"/>
  <c r="Y52"/>
  <c r="N20" i="1"/>
  <c r="L151"/>
  <c r="K151"/>
  <c r="I151"/>
  <c r="H151"/>
  <c r="G151"/>
  <c r="N19"/>
  <c r="F19" i="12"/>
  <c r="K138" i="1"/>
  <c r="I138"/>
  <c r="H138"/>
  <c r="G138"/>
  <c r="G139" s="1"/>
  <c r="N18"/>
  <c r="G123"/>
  <c r="G124" s="1"/>
  <c r="K123"/>
  <c r="I123"/>
  <c r="H123"/>
  <c r="F18" i="12"/>
  <c r="BO14" i="24"/>
  <c r="BF14"/>
  <c r="AZ14"/>
  <c r="AX14"/>
  <c r="J14"/>
  <c r="M151" i="1" l="1"/>
  <c r="N106"/>
  <c r="AA14" i="16"/>
  <c r="Z14"/>
  <c r="R14"/>
  <c r="N14" i="1"/>
  <c r="G14" i="12"/>
  <c r="N13" i="1"/>
  <c r="D41" i="13"/>
  <c r="G13" i="12"/>
  <c r="F13"/>
  <c r="A14" i="14"/>
  <c r="B14"/>
  <c r="A15"/>
  <c r="B15"/>
  <c r="A16"/>
  <c r="B16"/>
  <c r="M106" i="1"/>
  <c r="L106"/>
  <c r="K106"/>
  <c r="I106"/>
  <c r="H106"/>
  <c r="G106"/>
  <c r="O106" l="1"/>
  <c r="AF29" i="5"/>
  <c r="AF30"/>
  <c r="AF31"/>
  <c r="AF32"/>
  <c r="AF53" s="1"/>
  <c r="AF33"/>
  <c r="AF34"/>
  <c r="AF35"/>
  <c r="AF36"/>
  <c r="AF37"/>
  <c r="AF38"/>
  <c r="AF39"/>
  <c r="AF40"/>
  <c r="AF41"/>
  <c r="AF42"/>
  <c r="AF43"/>
  <c r="AF44"/>
  <c r="AF45"/>
  <c r="AF46"/>
  <c r="B13"/>
  <c r="B14"/>
  <c r="B18"/>
  <c r="B19"/>
  <c r="B20"/>
  <c r="B7"/>
  <c r="B11"/>
  <c r="B12"/>
  <c r="AZ11" i="24"/>
  <c r="AZ7"/>
  <c r="AZ3"/>
  <c r="AX11"/>
  <c r="AX7"/>
  <c r="AX3"/>
  <c r="J7"/>
  <c r="A7" i="27"/>
  <c r="A11"/>
  <c r="A12"/>
  <c r="A13"/>
  <c r="A14"/>
  <c r="A18"/>
  <c r="A19"/>
  <c r="A20"/>
  <c r="T3" i="20"/>
  <c r="T4"/>
  <c r="T7"/>
  <c r="T8"/>
  <c r="T12"/>
  <c r="T11"/>
  <c r="T10"/>
  <c r="T9"/>
  <c r="T6"/>
  <c r="T5"/>
  <c r="S11"/>
  <c r="S7"/>
  <c r="S6"/>
  <c r="S10"/>
  <c r="S9"/>
  <c r="S5"/>
  <c r="S8"/>
  <c r="S4"/>
  <c r="S3"/>
  <c r="Q11"/>
  <c r="Q8"/>
  <c r="Q7"/>
  <c r="Q4"/>
  <c r="Q3"/>
  <c r="P7"/>
  <c r="P3"/>
  <c r="P8"/>
  <c r="P11"/>
  <c r="P4"/>
  <c r="O11"/>
  <c r="O8"/>
  <c r="O7"/>
  <c r="O4"/>
  <c r="O3"/>
  <c r="N10"/>
  <c r="N9"/>
  <c r="N6"/>
  <c r="N5"/>
  <c r="N7"/>
  <c r="N3"/>
  <c r="N11" i="4"/>
  <c r="G11"/>
  <c r="E11"/>
  <c r="F11" s="1"/>
  <c r="F12"/>
  <c r="N11" i="1"/>
  <c r="N7"/>
  <c r="N65"/>
  <c r="M65"/>
  <c r="L65"/>
  <c r="K65"/>
  <c r="N3"/>
  <c r="N52"/>
  <c r="M52"/>
  <c r="T32" i="13"/>
  <c r="T31"/>
  <c r="AZ12" i="24"/>
  <c r="AX12"/>
  <c r="AF47" i="5" l="1"/>
  <c r="AF59"/>
  <c r="AF56"/>
  <c r="O65" i="1"/>
  <c r="J3" i="24"/>
  <c r="AF12" i="26"/>
  <c r="S12" i="20"/>
  <c r="P12"/>
  <c r="O12"/>
  <c r="N20" i="4"/>
  <c r="N19"/>
  <c r="N18"/>
  <c r="N14"/>
  <c r="N10"/>
  <c r="N9"/>
  <c r="N8"/>
  <c r="N7"/>
  <c r="N6"/>
  <c r="N5"/>
  <c r="N4"/>
  <c r="N3"/>
  <c r="N12"/>
  <c r="G12" i="12"/>
  <c r="L92" i="1"/>
  <c r="J92"/>
  <c r="I92"/>
  <c r="H92"/>
  <c r="G92"/>
  <c r="G11" i="12" l="1"/>
  <c r="F11"/>
  <c r="F12"/>
  <c r="K79" i="1"/>
  <c r="I79"/>
  <c r="H79"/>
  <c r="G7" i="12"/>
  <c r="F7"/>
  <c r="I65" i="1"/>
  <c r="H65"/>
  <c r="G65"/>
  <c r="G3" i="12"/>
  <c r="F3"/>
  <c r="V22" i="5"/>
  <c r="AF21"/>
  <c r="AC21"/>
  <c r="E21"/>
  <c r="D21"/>
  <c r="C21"/>
  <c r="A21"/>
  <c r="AF20"/>
  <c r="AC20"/>
  <c r="E20"/>
  <c r="D20"/>
  <c r="C20"/>
  <c r="A20"/>
  <c r="AF19"/>
  <c r="AC19"/>
  <c r="E19"/>
  <c r="D19"/>
  <c r="C19"/>
  <c r="A19"/>
  <c r="AF18"/>
  <c r="AC18"/>
  <c r="E18"/>
  <c r="D18"/>
  <c r="C18"/>
  <c r="A18"/>
  <c r="AF17"/>
  <c r="AC17"/>
  <c r="E17"/>
  <c r="D17"/>
  <c r="C17"/>
  <c r="A17"/>
  <c r="AF16"/>
  <c r="AC16"/>
  <c r="E16"/>
  <c r="D16"/>
  <c r="C16"/>
  <c r="A16"/>
  <c r="C24" i="28"/>
  <c r="B24"/>
  <c r="A24"/>
  <c r="C23"/>
  <c r="B23"/>
  <c r="A23"/>
  <c r="C22"/>
  <c r="B22"/>
  <c r="A22"/>
  <c r="C21"/>
  <c r="B21"/>
  <c r="A21"/>
  <c r="C20"/>
  <c r="B20"/>
  <c r="A20"/>
  <c r="C19"/>
  <c r="B19"/>
  <c r="A19"/>
  <c r="C18"/>
  <c r="B18"/>
  <c r="A18"/>
  <c r="C17"/>
  <c r="B17"/>
  <c r="A17"/>
  <c r="C16"/>
  <c r="B16"/>
  <c r="A16"/>
  <c r="L24" i="10"/>
  <c r="J24"/>
  <c r="H24"/>
  <c r="G24"/>
  <c r="E24"/>
  <c r="C24"/>
  <c r="A24"/>
  <c r="L23"/>
  <c r="J23"/>
  <c r="H23"/>
  <c r="G23"/>
  <c r="E23"/>
  <c r="C23"/>
  <c r="A23"/>
  <c r="L22"/>
  <c r="J22"/>
  <c r="H22"/>
  <c r="G22"/>
  <c r="E22"/>
  <c r="C22"/>
  <c r="A22"/>
  <c r="L21"/>
  <c r="J21"/>
  <c r="H21"/>
  <c r="G21"/>
  <c r="E21"/>
  <c r="C21"/>
  <c r="A21"/>
  <c r="L20"/>
  <c r="J20"/>
  <c r="H20"/>
  <c r="G20"/>
  <c r="E20"/>
  <c r="C20"/>
  <c r="A20"/>
  <c r="L19"/>
  <c r="J19"/>
  <c r="H19"/>
  <c r="G19"/>
  <c r="E19"/>
  <c r="C19"/>
  <c r="A19"/>
  <c r="L18"/>
  <c r="J18"/>
  <c r="H18"/>
  <c r="G18"/>
  <c r="E18"/>
  <c r="C18"/>
  <c r="A18"/>
  <c r="L17"/>
  <c r="J17"/>
  <c r="H17"/>
  <c r="G17"/>
  <c r="E17"/>
  <c r="C17"/>
  <c r="A17"/>
  <c r="L16"/>
  <c r="J16"/>
  <c r="H16"/>
  <c r="G16"/>
  <c r="E16"/>
  <c r="C16"/>
  <c r="A16"/>
  <c r="A16" i="22"/>
  <c r="A17"/>
  <c r="A18"/>
  <c r="A19"/>
  <c r="A20"/>
  <c r="A21"/>
  <c r="A22"/>
  <c r="A23"/>
  <c r="A24"/>
  <c r="A16" i="8"/>
  <c r="A17"/>
  <c r="A18"/>
  <c r="A19"/>
  <c r="A20"/>
  <c r="A21"/>
  <c r="A22"/>
  <c r="A23"/>
  <c r="A24"/>
  <c r="J7" i="9"/>
  <c r="J11"/>
  <c r="N12" i="1"/>
  <c r="J12" i="9" s="1"/>
  <c r="J13"/>
  <c r="J14"/>
  <c r="J15"/>
  <c r="J16"/>
  <c r="J18"/>
  <c r="J19"/>
  <c r="J20"/>
  <c r="J21"/>
  <c r="J5"/>
  <c r="J8"/>
  <c r="J9"/>
  <c r="C21"/>
  <c r="B21"/>
  <c r="A21"/>
  <c r="C20"/>
  <c r="B20"/>
  <c r="A20"/>
  <c r="C19"/>
  <c r="B19"/>
  <c r="A19"/>
  <c r="C18"/>
  <c r="B18"/>
  <c r="A18"/>
  <c r="C17"/>
  <c r="B17"/>
  <c r="A17"/>
  <c r="C16"/>
  <c r="B16"/>
  <c r="A16"/>
  <c r="BP22" i="24"/>
  <c r="BQ22"/>
  <c r="J6" i="9"/>
  <c r="J10"/>
  <c r="I17" i="1"/>
  <c r="J11"/>
  <c r="J12"/>
  <c r="J13"/>
  <c r="J14"/>
  <c r="J15"/>
  <c r="J16"/>
  <c r="J17"/>
  <c r="J18"/>
  <c r="J19"/>
  <c r="J20"/>
  <c r="J21"/>
  <c r="I13"/>
  <c r="F17"/>
  <c r="F18"/>
  <c r="F19"/>
  <c r="BY21" i="24"/>
  <c r="BS21"/>
  <c r="BG21"/>
  <c r="BC21"/>
  <c r="AW21"/>
  <c r="AF21"/>
  <c r="I21"/>
  <c r="F21"/>
  <c r="B21"/>
  <c r="A21"/>
  <c r="BY20"/>
  <c r="BS20"/>
  <c r="BG20"/>
  <c r="BC20"/>
  <c r="AF20"/>
  <c r="I20"/>
  <c r="F20"/>
  <c r="E20"/>
  <c r="D20"/>
  <c r="B20"/>
  <c r="A20"/>
  <c r="BY19"/>
  <c r="BS19"/>
  <c r="BG19"/>
  <c r="AF19"/>
  <c r="I19"/>
  <c r="F19"/>
  <c r="B19"/>
  <c r="A19"/>
  <c r="BY18"/>
  <c r="BG18"/>
  <c r="AW18"/>
  <c r="AF18"/>
  <c r="I18"/>
  <c r="F18"/>
  <c r="E18"/>
  <c r="B18"/>
  <c r="A18"/>
  <c r="BY17"/>
  <c r="BS17"/>
  <c r="BG17"/>
  <c r="BC17"/>
  <c r="AW17"/>
  <c r="AF17"/>
  <c r="I17"/>
  <c r="F17"/>
  <c r="B17"/>
  <c r="A17"/>
  <c r="BY16"/>
  <c r="BS16"/>
  <c r="BG16"/>
  <c r="BC16"/>
  <c r="AF16"/>
  <c r="I16"/>
  <c r="H16"/>
  <c r="F16"/>
  <c r="B16"/>
  <c r="A16"/>
  <c r="B21" i="23"/>
  <c r="A21"/>
  <c r="B20"/>
  <c r="A20"/>
  <c r="B19"/>
  <c r="A19"/>
  <c r="B18"/>
  <c r="A18"/>
  <c r="B17"/>
  <c r="A17"/>
  <c r="B16"/>
  <c r="A16"/>
  <c r="C21" i="15"/>
  <c r="B21"/>
  <c r="A21"/>
  <c r="C20"/>
  <c r="B20"/>
  <c r="A20"/>
  <c r="C19"/>
  <c r="B19"/>
  <c r="A19"/>
  <c r="C18"/>
  <c r="B18"/>
  <c r="A18"/>
  <c r="C17"/>
  <c r="B17"/>
  <c r="A17"/>
  <c r="C16"/>
  <c r="B16"/>
  <c r="A16"/>
  <c r="H21" i="27"/>
  <c r="D21"/>
  <c r="C21"/>
  <c r="B21"/>
  <c r="H20"/>
  <c r="D20"/>
  <c r="C20"/>
  <c r="B20"/>
  <c r="D19"/>
  <c r="C19"/>
  <c r="B19"/>
  <c r="D18"/>
  <c r="C18"/>
  <c r="B18"/>
  <c r="C17"/>
  <c r="B17"/>
  <c r="H16"/>
  <c r="D16"/>
  <c r="C16"/>
  <c r="B16"/>
  <c r="A4" i="26"/>
  <c r="A5"/>
  <c r="A6"/>
  <c r="A7"/>
  <c r="A8"/>
  <c r="A9"/>
  <c r="A10"/>
  <c r="A11"/>
  <c r="A12"/>
  <c r="A13"/>
  <c r="A14"/>
  <c r="A15"/>
  <c r="A16"/>
  <c r="A17"/>
  <c r="A18"/>
  <c r="C21"/>
  <c r="M21" s="1"/>
  <c r="B21"/>
  <c r="A21"/>
  <c r="C20"/>
  <c r="V20" s="1"/>
  <c r="F20" i="27" s="1"/>
  <c r="B20" i="26"/>
  <c r="A20"/>
  <c r="C19"/>
  <c r="V19" s="1"/>
  <c r="F19" i="27" s="1"/>
  <c r="B19" i="26"/>
  <c r="A19"/>
  <c r="C18"/>
  <c r="M18" s="1"/>
  <c r="E18" i="27" s="1"/>
  <c r="B18" i="26"/>
  <c r="C17"/>
  <c r="B17"/>
  <c r="C16"/>
  <c r="V16" s="1"/>
  <c r="F16" i="27" s="1"/>
  <c r="B16" i="26"/>
  <c r="C15"/>
  <c r="V15" s="1"/>
  <c r="B15"/>
  <c r="C14"/>
  <c r="D14" s="1"/>
  <c r="B14"/>
  <c r="V21" i="20"/>
  <c r="H21" i="24" s="1"/>
  <c r="D21" i="20"/>
  <c r="C21"/>
  <c r="B21"/>
  <c r="A21"/>
  <c r="V20"/>
  <c r="H20" i="24" s="1"/>
  <c r="D20" i="20"/>
  <c r="C20"/>
  <c r="B20"/>
  <c r="A20"/>
  <c r="D19"/>
  <c r="C19"/>
  <c r="B19"/>
  <c r="A19"/>
  <c r="D18"/>
  <c r="C18"/>
  <c r="B18"/>
  <c r="A18"/>
  <c r="V17"/>
  <c r="H17" i="24" s="1"/>
  <c r="D17" i="20"/>
  <c r="C17"/>
  <c r="B17"/>
  <c r="A17"/>
  <c r="V16"/>
  <c r="D16"/>
  <c r="C16"/>
  <c r="B16"/>
  <c r="A16"/>
  <c r="F6" i="4"/>
  <c r="F7"/>
  <c r="F8"/>
  <c r="F9"/>
  <c r="F10"/>
  <c r="F14"/>
  <c r="F15"/>
  <c r="F16"/>
  <c r="H16" s="1"/>
  <c r="I16" i="1" s="1"/>
  <c r="F18" i="4"/>
  <c r="H18" s="1"/>
  <c r="I18" i="1" s="1"/>
  <c r="P21" i="4"/>
  <c r="E21" i="24" s="1"/>
  <c r="I21" i="1"/>
  <c r="F21" i="4"/>
  <c r="D21"/>
  <c r="C21"/>
  <c r="B21"/>
  <c r="A21"/>
  <c r="P20"/>
  <c r="F20"/>
  <c r="H20" s="1"/>
  <c r="I20" i="1" s="1"/>
  <c r="D20" i="4"/>
  <c r="C20"/>
  <c r="B20"/>
  <c r="A20"/>
  <c r="P19"/>
  <c r="E19" i="24" s="1"/>
  <c r="F19" i="4"/>
  <c r="H19" s="1"/>
  <c r="I19" i="1" s="1"/>
  <c r="D19" i="4"/>
  <c r="C19"/>
  <c r="B19"/>
  <c r="A19"/>
  <c r="P18"/>
  <c r="D18"/>
  <c r="C18"/>
  <c r="B18"/>
  <c r="A18"/>
  <c r="P17"/>
  <c r="E17" i="24" s="1"/>
  <c r="D17" i="4"/>
  <c r="C17"/>
  <c r="B17"/>
  <c r="A17"/>
  <c r="P16"/>
  <c r="E16" i="24" s="1"/>
  <c r="D16" i="4"/>
  <c r="C16"/>
  <c r="B16"/>
  <c r="A16"/>
  <c r="AN21" i="16"/>
  <c r="C21" i="24" s="1"/>
  <c r="AM21" i="16"/>
  <c r="D21" i="24" s="1"/>
  <c r="E21" i="16"/>
  <c r="I21" s="1"/>
  <c r="P21" s="1"/>
  <c r="N21" s="1"/>
  <c r="D21"/>
  <c r="H21" s="1"/>
  <c r="C21"/>
  <c r="B21"/>
  <c r="A21"/>
  <c r="AN20"/>
  <c r="C20" i="24" s="1"/>
  <c r="AM20" i="16"/>
  <c r="E20"/>
  <c r="I20" s="1"/>
  <c r="D20"/>
  <c r="H20" s="1"/>
  <c r="I43" s="1"/>
  <c r="C20"/>
  <c r="B20"/>
  <c r="A20"/>
  <c r="AN19"/>
  <c r="C19" i="24" s="1"/>
  <c r="AM19" i="16"/>
  <c r="D19" i="24" s="1"/>
  <c r="E19" i="16"/>
  <c r="I19" s="1"/>
  <c r="D19"/>
  <c r="H19" s="1"/>
  <c r="C19"/>
  <c r="B19"/>
  <c r="A19"/>
  <c r="AN18"/>
  <c r="C18" i="24" s="1"/>
  <c r="AM18" i="16"/>
  <c r="D18" i="24" s="1"/>
  <c r="E18" i="16"/>
  <c r="I18" s="1"/>
  <c r="D18"/>
  <c r="H18" s="1"/>
  <c r="C18"/>
  <c r="B18"/>
  <c r="A18"/>
  <c r="AN17"/>
  <c r="C17" i="24" s="1"/>
  <c r="AM17" i="16"/>
  <c r="D17" i="24" s="1"/>
  <c r="I17" i="16"/>
  <c r="P17" s="1"/>
  <c r="N17" s="1"/>
  <c r="E17"/>
  <c r="D17"/>
  <c r="H17" s="1"/>
  <c r="C17"/>
  <c r="B17"/>
  <c r="A17"/>
  <c r="AN16"/>
  <c r="C16" i="24" s="1"/>
  <c r="AM16" i="16"/>
  <c r="D16" i="24" s="1"/>
  <c r="E16" i="16"/>
  <c r="I16" s="1"/>
  <c r="D16"/>
  <c r="H16" s="1"/>
  <c r="C16"/>
  <c r="B16"/>
  <c r="A16"/>
  <c r="B21" i="14"/>
  <c r="A21"/>
  <c r="B20"/>
  <c r="A20"/>
  <c r="B19"/>
  <c r="A19"/>
  <c r="B18"/>
  <c r="A18"/>
  <c r="B17"/>
  <c r="A17"/>
  <c r="F21" i="12"/>
  <c r="F21" i="1" s="1"/>
  <c r="C21" i="12"/>
  <c r="B21"/>
  <c r="A21"/>
  <c r="G20"/>
  <c r="F20"/>
  <c r="F20" i="1" s="1"/>
  <c r="C20" i="12"/>
  <c r="B20"/>
  <c r="A20"/>
  <c r="C19"/>
  <c r="B19"/>
  <c r="A19"/>
  <c r="C18"/>
  <c r="B18"/>
  <c r="A18"/>
  <c r="F17"/>
  <c r="C17"/>
  <c r="B17"/>
  <c r="A17"/>
  <c r="F16"/>
  <c r="F16" i="1" s="1"/>
  <c r="C16" i="12"/>
  <c r="B16"/>
  <c r="A16"/>
  <c r="N21" i="13"/>
  <c r="J21"/>
  <c r="C21"/>
  <c r="G21" s="1"/>
  <c r="H21" s="1"/>
  <c r="B21"/>
  <c r="A21"/>
  <c r="N20"/>
  <c r="J20"/>
  <c r="C20"/>
  <c r="G20" s="1"/>
  <c r="H20" s="1"/>
  <c r="B20"/>
  <c r="A20"/>
  <c r="N19"/>
  <c r="J19"/>
  <c r="H19" i="27" s="1"/>
  <c r="C19" i="13"/>
  <c r="G19" s="1"/>
  <c r="H19" s="1"/>
  <c r="B19"/>
  <c r="A19"/>
  <c r="N18"/>
  <c r="J18"/>
  <c r="H18" i="27" s="1"/>
  <c r="C18" i="13"/>
  <c r="G18" s="1"/>
  <c r="H18" s="1"/>
  <c r="B18"/>
  <c r="A18"/>
  <c r="N17"/>
  <c r="J17"/>
  <c r="H17" i="27" s="1"/>
  <c r="C17" i="13"/>
  <c r="G17" s="1"/>
  <c r="H17" s="1"/>
  <c r="B17"/>
  <c r="A17"/>
  <c r="N16"/>
  <c r="J16"/>
  <c r="C16"/>
  <c r="G16" s="1"/>
  <c r="H16" s="1"/>
  <c r="B16"/>
  <c r="A16"/>
  <c r="A3" i="25"/>
  <c r="A4"/>
  <c r="A5"/>
  <c r="A6"/>
  <c r="A7"/>
  <c r="A8"/>
  <c r="A9"/>
  <c r="A10"/>
  <c r="A11"/>
  <c r="A12"/>
  <c r="A13"/>
  <c r="A14"/>
  <c r="A15"/>
  <c r="A16"/>
  <c r="A17"/>
  <c r="A18"/>
  <c r="A19"/>
  <c r="A20"/>
  <c r="C20"/>
  <c r="B20"/>
  <c r="C19"/>
  <c r="B19"/>
  <c r="C18"/>
  <c r="B18"/>
  <c r="C17"/>
  <c r="B17"/>
  <c r="C16"/>
  <c r="B16"/>
  <c r="C15"/>
  <c r="B15"/>
  <c r="CA21" i="24" l="1"/>
  <c r="P21" i="9" s="1"/>
  <c r="P18" i="14"/>
  <c r="G18" i="1" s="1"/>
  <c r="K18" i="16"/>
  <c r="I39"/>
  <c r="J19"/>
  <c r="I41"/>
  <c r="F17" i="27"/>
  <c r="D17" i="26"/>
  <c r="D17" i="27" s="1"/>
  <c r="M16" i="26"/>
  <c r="AE16" s="1"/>
  <c r="AG16" s="1"/>
  <c r="I16" i="5" s="1"/>
  <c r="AE14" i="26"/>
  <c r="AG14" s="1"/>
  <c r="CA19" i="24"/>
  <c r="P19" i="9" s="1"/>
  <c r="CA20" i="24"/>
  <c r="P20" i="9" s="1"/>
  <c r="E17" i="27"/>
  <c r="V21" i="26"/>
  <c r="F21" i="27" s="1"/>
  <c r="E21"/>
  <c r="BZ17" i="24"/>
  <c r="Q17" i="9" s="1"/>
  <c r="AW16" i="24"/>
  <c r="BZ16" s="1"/>
  <c r="Q16" i="9" s="1"/>
  <c r="BC18" i="24"/>
  <c r="CA16"/>
  <c r="P16" i="9" s="1"/>
  <c r="G16" i="5" s="1"/>
  <c r="CA17" i="24"/>
  <c r="P17" i="9" s="1"/>
  <c r="G17" i="5" s="1"/>
  <c r="BC19" i="24"/>
  <c r="AW20"/>
  <c r="BZ20" s="1"/>
  <c r="Q20" i="9" s="1"/>
  <c r="CA18" i="24"/>
  <c r="P18" i="9" s="1"/>
  <c r="BS18" i="24"/>
  <c r="AW19"/>
  <c r="BZ21"/>
  <c r="Q21" i="9" s="1"/>
  <c r="V18" i="26"/>
  <c r="F18" i="27" s="1"/>
  <c r="M20" i="26"/>
  <c r="M15"/>
  <c r="AE15" s="1"/>
  <c r="AG15" s="1"/>
  <c r="M19"/>
  <c r="V19" i="20"/>
  <c r="H19" i="24" s="1"/>
  <c r="V18" i="20"/>
  <c r="H18" i="24" s="1"/>
  <c r="P19" i="14"/>
  <c r="G19" i="1" s="1"/>
  <c r="P17" i="14"/>
  <c r="G17" i="1" s="1"/>
  <c r="P21" i="14"/>
  <c r="G21" i="1" s="1"/>
  <c r="P20" i="14"/>
  <c r="G20" i="1" s="1"/>
  <c r="L16" i="16"/>
  <c r="J16"/>
  <c r="K16"/>
  <c r="J20"/>
  <c r="K20"/>
  <c r="L20"/>
  <c r="L17"/>
  <c r="J17"/>
  <c r="K17"/>
  <c r="L21"/>
  <c r="J21"/>
  <c r="K21"/>
  <c r="P16"/>
  <c r="N16" s="1"/>
  <c r="P19"/>
  <c r="N19" s="1"/>
  <c r="P20"/>
  <c r="N20" s="1"/>
  <c r="P18"/>
  <c r="N18" s="1"/>
  <c r="J18"/>
  <c r="L19"/>
  <c r="L18"/>
  <c r="K19"/>
  <c r="L17" i="13"/>
  <c r="K17"/>
  <c r="L19"/>
  <c r="K19"/>
  <c r="L21"/>
  <c r="K21"/>
  <c r="L16"/>
  <c r="K16"/>
  <c r="L18"/>
  <c r="K18"/>
  <c r="L20"/>
  <c r="K20"/>
  <c r="I16"/>
  <c r="I17"/>
  <c r="I18"/>
  <c r="I19"/>
  <c r="I20"/>
  <c r="I21"/>
  <c r="BZ19" i="24" l="1"/>
  <c r="Q19" i="9" s="1"/>
  <c r="G21" i="5"/>
  <c r="G18"/>
  <c r="G19"/>
  <c r="G20"/>
  <c r="O21" i="16"/>
  <c r="Q21" s="1"/>
  <c r="R21" i="10" s="1"/>
  <c r="P21" s="1"/>
  <c r="O20" i="16"/>
  <c r="M20" s="1"/>
  <c r="H20" i="1" s="1"/>
  <c r="O19" i="16"/>
  <c r="M19" s="1"/>
  <c r="H19" i="1" s="1"/>
  <c r="E16" i="27"/>
  <c r="O16" i="9"/>
  <c r="I14" i="5"/>
  <c r="O14" i="9"/>
  <c r="O15"/>
  <c r="I15" i="5"/>
  <c r="S20"/>
  <c r="S17"/>
  <c r="S19"/>
  <c r="S16"/>
  <c r="S21"/>
  <c r="BZ18" i="24"/>
  <c r="Q18" i="9" s="1"/>
  <c r="AE17" i="26"/>
  <c r="AG17" s="1"/>
  <c r="AE21"/>
  <c r="AG21" s="1"/>
  <c r="V18" i="27"/>
  <c r="G18"/>
  <c r="J18"/>
  <c r="X18"/>
  <c r="J19"/>
  <c r="X19"/>
  <c r="AE19" i="26"/>
  <c r="AG19" s="1"/>
  <c r="E19" i="27"/>
  <c r="V19"/>
  <c r="G19"/>
  <c r="W18"/>
  <c r="I18"/>
  <c r="W19"/>
  <c r="I19"/>
  <c r="AE20" i="26"/>
  <c r="AG20" s="1"/>
  <c r="E20" i="27"/>
  <c r="V20"/>
  <c r="G20"/>
  <c r="V16"/>
  <c r="G16"/>
  <c r="J20"/>
  <c r="X20"/>
  <c r="J16"/>
  <c r="X16"/>
  <c r="X21"/>
  <c r="J21"/>
  <c r="X17"/>
  <c r="J17"/>
  <c r="G21"/>
  <c r="V21"/>
  <c r="V17"/>
  <c r="G17"/>
  <c r="I20"/>
  <c r="W20"/>
  <c r="I16"/>
  <c r="W16"/>
  <c r="I21"/>
  <c r="W21"/>
  <c r="I17"/>
  <c r="W17"/>
  <c r="AE18" i="26"/>
  <c r="AG18" s="1"/>
  <c r="R23" i="10"/>
  <c r="P23" s="1"/>
  <c r="M21" i="16"/>
  <c r="H21" i="1" s="1"/>
  <c r="O21" i="13"/>
  <c r="O17"/>
  <c r="O18" i="16"/>
  <c r="Q18" s="1"/>
  <c r="R18" i="10" s="1"/>
  <c r="P18" s="1"/>
  <c r="O17" i="16"/>
  <c r="O20" i="13"/>
  <c r="O16"/>
  <c r="Q19" i="16"/>
  <c r="R19" i="10" s="1"/>
  <c r="P19" s="1"/>
  <c r="R22"/>
  <c r="P22" s="1"/>
  <c r="O16" i="16"/>
  <c r="M18"/>
  <c r="H18" i="1" s="1"/>
  <c r="O18" i="13"/>
  <c r="O19"/>
  <c r="Q20" i="16" l="1"/>
  <c r="R20" i="10" s="1"/>
  <c r="P20" s="1"/>
  <c r="M19" i="13"/>
  <c r="E19" i="1" s="1"/>
  <c r="L19" s="1"/>
  <c r="AB19" i="5" s="1"/>
  <c r="AD19" s="1"/>
  <c r="W19" s="1"/>
  <c r="K19" i="9"/>
  <c r="N19" s="1"/>
  <c r="F19" i="5" s="1"/>
  <c r="H19" s="1"/>
  <c r="O21" i="9"/>
  <c r="I21" i="5"/>
  <c r="I20"/>
  <c r="O20" i="9"/>
  <c r="I19" i="5"/>
  <c r="O19" i="9"/>
  <c r="M18" i="13"/>
  <c r="E18" i="1" s="1"/>
  <c r="L18" s="1"/>
  <c r="AB18" i="5" s="1"/>
  <c r="AD18" s="1"/>
  <c r="X18" s="1"/>
  <c r="K18" i="9"/>
  <c r="N18" s="1"/>
  <c r="F18" i="5" s="1"/>
  <c r="H18" s="1"/>
  <c r="M20" i="13"/>
  <c r="E20" i="1" s="1"/>
  <c r="L20" s="1"/>
  <c r="K20" i="9"/>
  <c r="N20" s="1"/>
  <c r="F20" i="5" s="1"/>
  <c r="H20" s="1"/>
  <c r="M21" i="13"/>
  <c r="E21" i="1" s="1"/>
  <c r="L21" s="1"/>
  <c r="AB21" i="5" s="1"/>
  <c r="AD21" s="1"/>
  <c r="X21" s="1"/>
  <c r="K21" i="9"/>
  <c r="N21" s="1"/>
  <c r="F21" i="5" s="1"/>
  <c r="H21" s="1"/>
  <c r="I18"/>
  <c r="O18" i="9"/>
  <c r="M16" i="13"/>
  <c r="E16" i="1" s="1"/>
  <c r="K16" i="9"/>
  <c r="N16" s="1"/>
  <c r="F16" i="5" s="1"/>
  <c r="H16" s="1"/>
  <c r="M17" i="13"/>
  <c r="E17" i="1" s="1"/>
  <c r="K17" i="9"/>
  <c r="N17" s="1"/>
  <c r="F17" i="5" s="1"/>
  <c r="H17" s="1"/>
  <c r="I17"/>
  <c r="O17" i="9"/>
  <c r="S18" i="5"/>
  <c r="Q17" i="16"/>
  <c r="R17" i="10" s="1"/>
  <c r="P17" s="1"/>
  <c r="M17" i="16"/>
  <c r="H17" i="1" s="1"/>
  <c r="Q16" i="16"/>
  <c r="R16" i="10" s="1"/>
  <c r="P16" s="1"/>
  <c r="M16" i="16"/>
  <c r="H16" i="1" s="1"/>
  <c r="R24" i="10"/>
  <c r="P24" s="1"/>
  <c r="AB20" i="5" l="1"/>
  <c r="AD20" s="1"/>
  <c r="X20" s="1"/>
  <c r="W21"/>
  <c r="X19"/>
  <c r="W18"/>
  <c r="C21" i="23"/>
  <c r="E21" s="1"/>
  <c r="O21" i="1"/>
  <c r="M21" i="9" s="1"/>
  <c r="R21" i="5" s="1"/>
  <c r="X46" s="1"/>
  <c r="Z46" s="1"/>
  <c r="E18" i="23"/>
  <c r="O18" i="1"/>
  <c r="M18" i="9" s="1"/>
  <c r="R18" i="5" s="1"/>
  <c r="X43" s="1"/>
  <c r="Z43" s="1"/>
  <c r="O20" i="1"/>
  <c r="M20" i="9" s="1"/>
  <c r="R20" i="5" s="1"/>
  <c r="X45" s="1"/>
  <c r="E20" i="23"/>
  <c r="E19"/>
  <c r="O19" i="1"/>
  <c r="M19" i="9" s="1"/>
  <c r="R19" i="5" s="1"/>
  <c r="X44" s="1"/>
  <c r="Z44" s="1"/>
  <c r="J4" i="1"/>
  <c r="J5"/>
  <c r="J6"/>
  <c r="J7"/>
  <c r="J8"/>
  <c r="J9"/>
  <c r="J10"/>
  <c r="AF28" i="5"/>
  <c r="AF52" s="1"/>
  <c r="Z45" l="1"/>
  <c r="W20"/>
  <c r="AA47"/>
  <c r="E4" l="1"/>
  <c r="E5"/>
  <c r="E6"/>
  <c r="E7"/>
  <c r="E8"/>
  <c r="E9"/>
  <c r="E10"/>
  <c r="E11"/>
  <c r="E12"/>
  <c r="E13"/>
  <c r="E14"/>
  <c r="E15"/>
  <c r="E3"/>
  <c r="BC15" i="24"/>
  <c r="AW15"/>
  <c r="BY15"/>
  <c r="BG15"/>
  <c r="AF15"/>
  <c r="I15"/>
  <c r="F15"/>
  <c r="B15"/>
  <c r="A15"/>
  <c r="B15" i="23"/>
  <c r="A15"/>
  <c r="V6" i="20"/>
  <c r="V10"/>
  <c r="V14"/>
  <c r="V5"/>
  <c r="V8"/>
  <c r="V9"/>
  <c r="V12"/>
  <c r="V13"/>
  <c r="O22"/>
  <c r="P22"/>
  <c r="Q22"/>
  <c r="R22"/>
  <c r="V7"/>
  <c r="V11"/>
  <c r="V15"/>
  <c r="H15" i="24" s="1"/>
  <c r="BS15" l="1"/>
  <c r="S22" i="20"/>
  <c r="V4"/>
  <c r="T22"/>
  <c r="V3"/>
  <c r="C15" i="28" l="1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L15" i="10"/>
  <c r="J15"/>
  <c r="H15"/>
  <c r="G15"/>
  <c r="E15"/>
  <c r="C15"/>
  <c r="A15"/>
  <c r="L14"/>
  <c r="J14"/>
  <c r="H14"/>
  <c r="G14"/>
  <c r="E14"/>
  <c r="C14"/>
  <c r="A14"/>
  <c r="L13"/>
  <c r="J13"/>
  <c r="H13"/>
  <c r="G13"/>
  <c r="E13"/>
  <c r="C13"/>
  <c r="A13"/>
  <c r="L12"/>
  <c r="J12"/>
  <c r="H12"/>
  <c r="G12"/>
  <c r="E12"/>
  <c r="C12"/>
  <c r="A12"/>
  <c r="L11"/>
  <c r="J11"/>
  <c r="H11"/>
  <c r="G11"/>
  <c r="E11"/>
  <c r="C11"/>
  <c r="A11"/>
  <c r="L10"/>
  <c r="J10"/>
  <c r="H10"/>
  <c r="G10"/>
  <c r="E10"/>
  <c r="C10"/>
  <c r="A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A15" i="22"/>
  <c r="A4"/>
  <c r="A5"/>
  <c r="A6"/>
  <c r="A7"/>
  <c r="A8"/>
  <c r="A9"/>
  <c r="A10"/>
  <c r="A11"/>
  <c r="A12"/>
  <c r="A13"/>
  <c r="A14"/>
  <c r="A15" i="8"/>
  <c r="A4"/>
  <c r="A5"/>
  <c r="A6"/>
  <c r="A7"/>
  <c r="A8"/>
  <c r="A9"/>
  <c r="A10"/>
  <c r="A11"/>
  <c r="A12"/>
  <c r="A13"/>
  <c r="A14"/>
  <c r="BY14" i="24"/>
  <c r="BS14"/>
  <c r="BG14"/>
  <c r="BC14"/>
  <c r="AW14"/>
  <c r="AF14"/>
  <c r="I14"/>
  <c r="H14"/>
  <c r="F14"/>
  <c r="B14"/>
  <c r="A14"/>
  <c r="BY13"/>
  <c r="BS13"/>
  <c r="BG13"/>
  <c r="BC13"/>
  <c r="AW13"/>
  <c r="AF13"/>
  <c r="I13"/>
  <c r="H13"/>
  <c r="F13"/>
  <c r="B13"/>
  <c r="A13"/>
  <c r="BY12"/>
  <c r="BS12"/>
  <c r="BG12"/>
  <c r="BC12"/>
  <c r="AW12"/>
  <c r="AF12"/>
  <c r="I12"/>
  <c r="H12"/>
  <c r="F12"/>
  <c r="B12"/>
  <c r="A12"/>
  <c r="BY11"/>
  <c r="BS11"/>
  <c r="BG11"/>
  <c r="BC11"/>
  <c r="AW11"/>
  <c r="AF11"/>
  <c r="I11"/>
  <c r="H11"/>
  <c r="F11"/>
  <c r="B11"/>
  <c r="A11"/>
  <c r="BY10"/>
  <c r="BS10"/>
  <c r="BG10"/>
  <c r="BC10"/>
  <c r="AW10"/>
  <c r="AF10"/>
  <c r="I10"/>
  <c r="H10"/>
  <c r="F10"/>
  <c r="E10"/>
  <c r="B10"/>
  <c r="A10"/>
  <c r="BY9"/>
  <c r="BS9"/>
  <c r="BG9"/>
  <c r="BC9"/>
  <c r="AW9"/>
  <c r="AF9"/>
  <c r="I9"/>
  <c r="H9"/>
  <c r="F9"/>
  <c r="E9"/>
  <c r="B9"/>
  <c r="A9"/>
  <c r="BY8"/>
  <c r="BS8"/>
  <c r="BG8"/>
  <c r="BC8"/>
  <c r="AW8"/>
  <c r="AF8"/>
  <c r="I8"/>
  <c r="H8"/>
  <c r="F8"/>
  <c r="B8"/>
  <c r="A8"/>
  <c r="BY7"/>
  <c r="BS7"/>
  <c r="BG7"/>
  <c r="BC7"/>
  <c r="AW7"/>
  <c r="AF7"/>
  <c r="I7"/>
  <c r="H7"/>
  <c r="F7"/>
  <c r="B7"/>
  <c r="A7"/>
  <c r="BY6"/>
  <c r="BS6"/>
  <c r="BG6"/>
  <c r="BC6"/>
  <c r="AW6"/>
  <c r="AF6"/>
  <c r="I6"/>
  <c r="H6"/>
  <c r="F6"/>
  <c r="B6"/>
  <c r="A6"/>
  <c r="BY5"/>
  <c r="BS5"/>
  <c r="BG5"/>
  <c r="BC5"/>
  <c r="AW5"/>
  <c r="AF5"/>
  <c r="I5"/>
  <c r="H5"/>
  <c r="F5"/>
  <c r="B5"/>
  <c r="A5"/>
  <c r="BY4"/>
  <c r="BS4"/>
  <c r="BG4"/>
  <c r="BC4"/>
  <c r="AW4"/>
  <c r="AF4"/>
  <c r="I4"/>
  <c r="H4"/>
  <c r="F4"/>
  <c r="D4"/>
  <c r="C4"/>
  <c r="B4"/>
  <c r="A4"/>
  <c r="B14" i="23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C15" i="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F15" i="27"/>
  <c r="E15"/>
  <c r="D15"/>
  <c r="C15"/>
  <c r="B15"/>
  <c r="D14"/>
  <c r="C14"/>
  <c r="B14"/>
  <c r="D13"/>
  <c r="C13"/>
  <c r="B13"/>
  <c r="D12"/>
  <c r="C12"/>
  <c r="B12"/>
  <c r="D11"/>
  <c r="C11"/>
  <c r="B11"/>
  <c r="D10"/>
  <c r="C10"/>
  <c r="B10"/>
  <c r="D9"/>
  <c r="C9"/>
  <c r="B9"/>
  <c r="D8"/>
  <c r="C8"/>
  <c r="B8"/>
  <c r="D7"/>
  <c r="C7"/>
  <c r="B7"/>
  <c r="D6"/>
  <c r="C6"/>
  <c r="B6"/>
  <c r="D5"/>
  <c r="C5"/>
  <c r="B5"/>
  <c r="D4"/>
  <c r="C4"/>
  <c r="B4"/>
  <c r="D15" i="20"/>
  <c r="C15"/>
  <c r="B15"/>
  <c r="A15"/>
  <c r="C14"/>
  <c r="B14"/>
  <c r="A14"/>
  <c r="D13"/>
  <c r="C13"/>
  <c r="B13"/>
  <c r="A13"/>
  <c r="D12"/>
  <c r="C12"/>
  <c r="B12"/>
  <c r="A12"/>
  <c r="D11"/>
  <c r="C11"/>
  <c r="B11"/>
  <c r="A11"/>
  <c r="D10"/>
  <c r="C10"/>
  <c r="B10"/>
  <c r="A10"/>
  <c r="D9"/>
  <c r="C9"/>
  <c r="B9"/>
  <c r="A9"/>
  <c r="D8"/>
  <c r="C8"/>
  <c r="B8"/>
  <c r="A8"/>
  <c r="D7"/>
  <c r="C7"/>
  <c r="B7"/>
  <c r="A7"/>
  <c r="D6"/>
  <c r="C6"/>
  <c r="B6"/>
  <c r="A6"/>
  <c r="D5"/>
  <c r="C5"/>
  <c r="B5"/>
  <c r="A5"/>
  <c r="D4"/>
  <c r="C4"/>
  <c r="B4"/>
  <c r="A4"/>
  <c r="P15" i="4"/>
  <c r="E15" i="24" s="1"/>
  <c r="H15" i="4"/>
  <c r="I15" i="1" s="1"/>
  <c r="D15" i="4"/>
  <c r="C15"/>
  <c r="B15"/>
  <c r="A15"/>
  <c r="D4"/>
  <c r="D5"/>
  <c r="D6"/>
  <c r="D7"/>
  <c r="D8"/>
  <c r="D9"/>
  <c r="D10"/>
  <c r="D11"/>
  <c r="D12"/>
  <c r="D13"/>
  <c r="D14"/>
  <c r="D3"/>
  <c r="P14"/>
  <c r="E14" i="24" s="1"/>
  <c r="H14" i="4"/>
  <c r="I14" i="1" s="1"/>
  <c r="C14" i="4"/>
  <c r="B14"/>
  <c r="A14"/>
  <c r="P13"/>
  <c r="E13" i="24" s="1"/>
  <c r="C13" i="4"/>
  <c r="B13"/>
  <c r="A13"/>
  <c r="P12"/>
  <c r="E12" i="24" s="1"/>
  <c r="H12" i="4"/>
  <c r="I12" i="1" s="1"/>
  <c r="C12" i="4"/>
  <c r="B12"/>
  <c r="A12"/>
  <c r="P11"/>
  <c r="E11" i="24" s="1"/>
  <c r="H11" i="4"/>
  <c r="I11" i="1" s="1"/>
  <c r="C11" i="4"/>
  <c r="B11"/>
  <c r="A11"/>
  <c r="P10"/>
  <c r="H10"/>
  <c r="I10" i="1" s="1"/>
  <c r="C10" i="4"/>
  <c r="B10"/>
  <c r="A10"/>
  <c r="P9"/>
  <c r="H9"/>
  <c r="I9" i="1" s="1"/>
  <c r="C9" i="4"/>
  <c r="B9"/>
  <c r="A9"/>
  <c r="P8"/>
  <c r="E8" i="24" s="1"/>
  <c r="H8" i="4"/>
  <c r="I8" i="1" s="1"/>
  <c r="C8" i="4"/>
  <c r="B8"/>
  <c r="A8"/>
  <c r="P7"/>
  <c r="E7" i="24" s="1"/>
  <c r="H7" i="4"/>
  <c r="I7" i="1" s="1"/>
  <c r="C7" i="4"/>
  <c r="B7"/>
  <c r="A7"/>
  <c r="P6"/>
  <c r="E6" i="24" s="1"/>
  <c r="H6" i="4"/>
  <c r="I6" i="1" s="1"/>
  <c r="C6" i="4"/>
  <c r="B6"/>
  <c r="A6"/>
  <c r="P5"/>
  <c r="E5" i="24" s="1"/>
  <c r="F5" i="4"/>
  <c r="H5" s="1"/>
  <c r="I5" i="1" s="1"/>
  <c r="C5" i="4"/>
  <c r="B5"/>
  <c r="A5"/>
  <c r="P4"/>
  <c r="E4" i="24" s="1"/>
  <c r="F4" i="4"/>
  <c r="H4" s="1"/>
  <c r="I4" i="1" s="1"/>
  <c r="C4" i="4"/>
  <c r="B4"/>
  <c r="A4"/>
  <c r="C3" i="25"/>
  <c r="B3"/>
  <c r="BZ4" i="24" l="1"/>
  <c r="Q4" i="9" s="1"/>
  <c r="S4" i="5" s="1"/>
  <c r="CA4" i="24"/>
  <c r="P4" i="9" s="1"/>
  <c r="L52" i="1"/>
  <c r="K52"/>
  <c r="I52"/>
  <c r="H52"/>
  <c r="G52"/>
  <c r="AC4" i="5"/>
  <c r="AC5"/>
  <c r="AC6"/>
  <c r="AC7"/>
  <c r="AC8"/>
  <c r="AC9"/>
  <c r="AC10"/>
  <c r="AC11"/>
  <c r="T11" s="1"/>
  <c r="AC12"/>
  <c r="AC13"/>
  <c r="AC14"/>
  <c r="AC15"/>
  <c r="AC3"/>
  <c r="AF15"/>
  <c r="D15"/>
  <c r="C15"/>
  <c r="A15"/>
  <c r="AF14"/>
  <c r="D14"/>
  <c r="C14"/>
  <c r="A14"/>
  <c r="AF13"/>
  <c r="D13"/>
  <c r="C13"/>
  <c r="A13"/>
  <c r="AF12"/>
  <c r="D12"/>
  <c r="C12"/>
  <c r="A12"/>
  <c r="AF11"/>
  <c r="D11"/>
  <c r="C11"/>
  <c r="A11"/>
  <c r="AF10"/>
  <c r="D10"/>
  <c r="C10"/>
  <c r="A10"/>
  <c r="AF9"/>
  <c r="D9"/>
  <c r="C9"/>
  <c r="A9"/>
  <c r="AF8"/>
  <c r="D8"/>
  <c r="C8"/>
  <c r="A8"/>
  <c r="AF7"/>
  <c r="D7"/>
  <c r="C7"/>
  <c r="A7"/>
  <c r="AF6"/>
  <c r="D6"/>
  <c r="C6"/>
  <c r="A6"/>
  <c r="AF5"/>
  <c r="D5"/>
  <c r="C5"/>
  <c r="A5"/>
  <c r="AF4"/>
  <c r="D4"/>
  <c r="C4"/>
  <c r="A4"/>
  <c r="G4" l="1"/>
  <c r="O52" i="1"/>
  <c r="C8" i="9"/>
  <c r="B8"/>
  <c r="A8"/>
  <c r="C8" i="26"/>
  <c r="V8" s="1"/>
  <c r="F8" i="27" s="1"/>
  <c r="B8" i="26"/>
  <c r="AN8" i="16"/>
  <c r="C8" i="24" s="1"/>
  <c r="BZ8" s="1"/>
  <c r="Q8" i="9" s="1"/>
  <c r="S8" i="5" s="1"/>
  <c r="AM8" i="16"/>
  <c r="D8" i="24" s="1"/>
  <c r="CA8" s="1"/>
  <c r="P8" i="9" s="1"/>
  <c r="G8" i="5" s="1"/>
  <c r="E8" i="16"/>
  <c r="I8" s="1"/>
  <c r="P8" s="1"/>
  <c r="N8" s="1"/>
  <c r="D8"/>
  <c r="H8" s="1"/>
  <c r="C8"/>
  <c r="B8"/>
  <c r="A8"/>
  <c r="B8" i="14"/>
  <c r="A8"/>
  <c r="F8" i="12"/>
  <c r="F8" i="1" s="1"/>
  <c r="C8" i="12"/>
  <c r="B8"/>
  <c r="A8"/>
  <c r="N8" i="13"/>
  <c r="J8"/>
  <c r="H8" i="27" s="1"/>
  <c r="C8" i="13"/>
  <c r="G8" s="1"/>
  <c r="B8"/>
  <c r="A8"/>
  <c r="C7" i="25"/>
  <c r="B7"/>
  <c r="M8" i="26" l="1"/>
  <c r="E8" i="27" s="1"/>
  <c r="I8" i="13"/>
  <c r="H8"/>
  <c r="K8" s="1"/>
  <c r="K8" i="16"/>
  <c r="L8"/>
  <c r="J8"/>
  <c r="C15" i="9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7"/>
  <c r="B7"/>
  <c r="A7"/>
  <c r="C6"/>
  <c r="B6"/>
  <c r="A6"/>
  <c r="C5"/>
  <c r="B5"/>
  <c r="A5"/>
  <c r="C4"/>
  <c r="B4"/>
  <c r="A4"/>
  <c r="C13" i="26"/>
  <c r="M13" s="1"/>
  <c r="E13" i="27" s="1"/>
  <c r="B13" i="26"/>
  <c r="C12"/>
  <c r="B12"/>
  <c r="C11"/>
  <c r="M11" s="1"/>
  <c r="E11" i="27" s="1"/>
  <c r="B11" i="26"/>
  <c r="C10"/>
  <c r="B10"/>
  <c r="C9"/>
  <c r="M9" s="1"/>
  <c r="E9" i="27" s="1"/>
  <c r="B9" i="26"/>
  <c r="C7"/>
  <c r="V7" s="1"/>
  <c r="F7" i="27" s="1"/>
  <c r="B7" i="26"/>
  <c r="C6"/>
  <c r="B6"/>
  <c r="C5"/>
  <c r="B5"/>
  <c r="C4"/>
  <c r="M4" s="1"/>
  <c r="E4" i="27" s="1"/>
  <c r="B4" i="26"/>
  <c r="N15" i="13"/>
  <c r="J15"/>
  <c r="H15" i="27" s="1"/>
  <c r="C15" i="13"/>
  <c r="G15" s="1"/>
  <c r="B15"/>
  <c r="A15"/>
  <c r="N14"/>
  <c r="J14"/>
  <c r="H14" i="27" s="1"/>
  <c r="C14" i="13"/>
  <c r="G14" s="1"/>
  <c r="B14"/>
  <c r="A14"/>
  <c r="N13"/>
  <c r="J13"/>
  <c r="H13" i="27" s="1"/>
  <c r="C13" i="13"/>
  <c r="G13" s="1"/>
  <c r="B13"/>
  <c r="A13"/>
  <c r="N12"/>
  <c r="J12"/>
  <c r="H12" i="27" s="1"/>
  <c r="C12" i="13"/>
  <c r="G12" s="1"/>
  <c r="B12"/>
  <c r="A12"/>
  <c r="N11"/>
  <c r="J11"/>
  <c r="H11" i="27" s="1"/>
  <c r="C11" i="13"/>
  <c r="G11" s="1"/>
  <c r="H11" s="1"/>
  <c r="B11"/>
  <c r="A11"/>
  <c r="N10"/>
  <c r="J10"/>
  <c r="H10" i="27" s="1"/>
  <c r="C10" i="13"/>
  <c r="G10" s="1"/>
  <c r="B10"/>
  <c r="A10"/>
  <c r="N9"/>
  <c r="J9"/>
  <c r="H9" i="27" s="1"/>
  <c r="C9" i="13"/>
  <c r="G9" s="1"/>
  <c r="H9" s="1"/>
  <c r="K9" s="1"/>
  <c r="B9"/>
  <c r="A9"/>
  <c r="N7"/>
  <c r="J7"/>
  <c r="H7" i="27" s="1"/>
  <c r="C7" i="13"/>
  <c r="G7" s="1"/>
  <c r="H7" s="1"/>
  <c r="K7" s="1"/>
  <c r="B7"/>
  <c r="A7"/>
  <c r="N6"/>
  <c r="J6"/>
  <c r="H6" i="27" s="1"/>
  <c r="C6" i="13"/>
  <c r="G6" s="1"/>
  <c r="B6"/>
  <c r="A6"/>
  <c r="N5"/>
  <c r="J5"/>
  <c r="H5" i="27" s="1"/>
  <c r="C5" i="13"/>
  <c r="G5" s="1"/>
  <c r="B5"/>
  <c r="A5"/>
  <c r="N4"/>
  <c r="J4"/>
  <c r="H4" i="27" s="1"/>
  <c r="C4" i="13"/>
  <c r="G4" s="1"/>
  <c r="B4"/>
  <c r="A4"/>
  <c r="AN15" i="16"/>
  <c r="C15" i="24" s="1"/>
  <c r="BZ15" s="1"/>
  <c r="Q15" i="9" s="1"/>
  <c r="AM15" i="16"/>
  <c r="D15" i="24" s="1"/>
  <c r="CA15" s="1"/>
  <c r="P15" i="9" s="1"/>
  <c r="G15" i="5" s="1"/>
  <c r="E15" i="16"/>
  <c r="I15" s="1"/>
  <c r="D15"/>
  <c r="H15" s="1"/>
  <c r="C15"/>
  <c r="B15"/>
  <c r="A15"/>
  <c r="AN14"/>
  <c r="C14" i="24" s="1"/>
  <c r="BZ14" s="1"/>
  <c r="Q14" i="9" s="1"/>
  <c r="AM14" i="16"/>
  <c r="D14" i="24" s="1"/>
  <c r="CA14" s="1"/>
  <c r="P14" i="9" s="1"/>
  <c r="G14" i="5" s="1"/>
  <c r="E14" i="16"/>
  <c r="I14" s="1"/>
  <c r="D14"/>
  <c r="H14" s="1"/>
  <c r="C14"/>
  <c r="B14"/>
  <c r="A14"/>
  <c r="AN13"/>
  <c r="C13" i="24" s="1"/>
  <c r="BZ13" s="1"/>
  <c r="Q13" i="9" s="1"/>
  <c r="S13" i="5" s="1"/>
  <c r="AM13" i="16"/>
  <c r="D13" i="24" s="1"/>
  <c r="CA13" s="1"/>
  <c r="P13" i="9" s="1"/>
  <c r="G13" i="5" s="1"/>
  <c r="E13" i="16"/>
  <c r="I13" s="1"/>
  <c r="P13" s="1"/>
  <c r="N13" s="1"/>
  <c r="D13"/>
  <c r="H13" s="1"/>
  <c r="I35" s="1"/>
  <c r="C13"/>
  <c r="B13"/>
  <c r="A13"/>
  <c r="AN12"/>
  <c r="C12" i="24" s="1"/>
  <c r="BZ12" s="1"/>
  <c r="Q12" i="9" s="1"/>
  <c r="S12" i="5" s="1"/>
  <c r="AM12" i="16"/>
  <c r="D12" i="24" s="1"/>
  <c r="CA12" s="1"/>
  <c r="P12" i="9" s="1"/>
  <c r="G12" i="5" s="1"/>
  <c r="E12" i="16"/>
  <c r="I12" s="1"/>
  <c r="D12"/>
  <c r="H12" s="1"/>
  <c r="I33" s="1"/>
  <c r="C12"/>
  <c r="B12"/>
  <c r="A12"/>
  <c r="AN11"/>
  <c r="C11" i="24" s="1"/>
  <c r="BZ11" s="1"/>
  <c r="Q11" i="9" s="1"/>
  <c r="S11" i="5" s="1"/>
  <c r="AM11" i="16"/>
  <c r="D11" i="24" s="1"/>
  <c r="CA11" s="1"/>
  <c r="P11" i="9" s="1"/>
  <c r="G11" i="5" s="1"/>
  <c r="E11" i="16"/>
  <c r="I11" s="1"/>
  <c r="D11"/>
  <c r="H11" s="1"/>
  <c r="I30" s="1"/>
  <c r="C11"/>
  <c r="B11"/>
  <c r="A11"/>
  <c r="AN10"/>
  <c r="C10" i="24" s="1"/>
  <c r="BZ10" s="1"/>
  <c r="Q10" i="9" s="1"/>
  <c r="S10" i="5" s="1"/>
  <c r="AM10" i="16"/>
  <c r="D10" i="24" s="1"/>
  <c r="CA10" s="1"/>
  <c r="P10" i="9" s="1"/>
  <c r="G10" i="5" s="1"/>
  <c r="E10" i="16"/>
  <c r="I10" s="1"/>
  <c r="D10"/>
  <c r="H10" s="1"/>
  <c r="C10"/>
  <c r="B10"/>
  <c r="A10"/>
  <c r="AN9"/>
  <c r="C9" i="24" s="1"/>
  <c r="BZ9" s="1"/>
  <c r="Q9" i="9" s="1"/>
  <c r="S9" i="5" s="1"/>
  <c r="AM9" i="16"/>
  <c r="D9" i="24" s="1"/>
  <c r="CA9" s="1"/>
  <c r="P9" i="9" s="1"/>
  <c r="G9" i="5" s="1"/>
  <c r="E9" i="16"/>
  <c r="I9" s="1"/>
  <c r="P9" s="1"/>
  <c r="N9" s="1"/>
  <c r="D9"/>
  <c r="H9" s="1"/>
  <c r="C9"/>
  <c r="B9"/>
  <c r="A9"/>
  <c r="AN7"/>
  <c r="C7" i="24" s="1"/>
  <c r="BZ7" s="1"/>
  <c r="Q7" i="9" s="1"/>
  <c r="S7" i="5" s="1"/>
  <c r="AM7" i="16"/>
  <c r="D7" i="24" s="1"/>
  <c r="CA7" s="1"/>
  <c r="P7" i="9" s="1"/>
  <c r="G7" i="5" s="1"/>
  <c r="E7" i="16"/>
  <c r="I7" s="1"/>
  <c r="D7"/>
  <c r="H7" s="1"/>
  <c r="I28" s="1"/>
  <c r="C7"/>
  <c r="B7"/>
  <c r="A7"/>
  <c r="AN6"/>
  <c r="C6" i="24" s="1"/>
  <c r="BZ6" s="1"/>
  <c r="Q6" i="9" s="1"/>
  <c r="S6" i="5" s="1"/>
  <c r="AM6" i="16"/>
  <c r="D6" i="24" s="1"/>
  <c r="CA6" s="1"/>
  <c r="P6" i="9" s="1"/>
  <c r="E6" i="16"/>
  <c r="I6" s="1"/>
  <c r="D6"/>
  <c r="H6" s="1"/>
  <c r="C6"/>
  <c r="B6"/>
  <c r="A6"/>
  <c r="AN5"/>
  <c r="C5" i="24" s="1"/>
  <c r="BZ5" s="1"/>
  <c r="Q5" i="9" s="1"/>
  <c r="S5" i="5" s="1"/>
  <c r="AM5" i="16"/>
  <c r="D5" i="24" s="1"/>
  <c r="CA5" s="1"/>
  <c r="P5" i="9" s="1"/>
  <c r="E5" i="16"/>
  <c r="I5" s="1"/>
  <c r="D5"/>
  <c r="H5" s="1"/>
  <c r="C5"/>
  <c r="B5"/>
  <c r="A5"/>
  <c r="E4"/>
  <c r="I4" s="1"/>
  <c r="P4" s="1"/>
  <c r="N4" s="1"/>
  <c r="D4"/>
  <c r="H4" s="1"/>
  <c r="C4"/>
  <c r="B4"/>
  <c r="A4"/>
  <c r="F15" i="12"/>
  <c r="F15" i="1" s="1"/>
  <c r="C15" i="12"/>
  <c r="B15"/>
  <c r="A15"/>
  <c r="F14"/>
  <c r="F14" i="1" s="1"/>
  <c r="C14" i="12"/>
  <c r="B14"/>
  <c r="A14"/>
  <c r="F13" i="1"/>
  <c r="C13" i="12"/>
  <c r="B13"/>
  <c r="A13"/>
  <c r="F12" i="1"/>
  <c r="C12" i="12"/>
  <c r="B12"/>
  <c r="A12"/>
  <c r="F11" i="1"/>
  <c r="C11" i="12"/>
  <c r="B11"/>
  <c r="A11"/>
  <c r="F10"/>
  <c r="F10" i="1" s="1"/>
  <c r="C10" i="12"/>
  <c r="B10"/>
  <c r="A10"/>
  <c r="F9"/>
  <c r="F9" i="1" s="1"/>
  <c r="C9" i="12"/>
  <c r="B9"/>
  <c r="A9"/>
  <c r="C7"/>
  <c r="B7"/>
  <c r="A7"/>
  <c r="F6"/>
  <c r="F6" i="1" s="1"/>
  <c r="C6" i="12"/>
  <c r="B6"/>
  <c r="A6"/>
  <c r="F5"/>
  <c r="F5" i="1" s="1"/>
  <c r="C5" i="12"/>
  <c r="B5"/>
  <c r="A5"/>
  <c r="F4"/>
  <c r="F4" i="1" s="1"/>
  <c r="C4" i="12"/>
  <c r="B4"/>
  <c r="A4"/>
  <c r="B4" i="14"/>
  <c r="A4"/>
  <c r="J4" i="9"/>
  <c r="B13" i="14"/>
  <c r="A13"/>
  <c r="B12"/>
  <c r="A12"/>
  <c r="B11"/>
  <c r="A11"/>
  <c r="B10"/>
  <c r="A10"/>
  <c r="B9"/>
  <c r="A9"/>
  <c r="B7"/>
  <c r="A7"/>
  <c r="B6"/>
  <c r="A6"/>
  <c r="B5"/>
  <c r="A5"/>
  <c r="J14" i="16" l="1"/>
  <c r="I37"/>
  <c r="P16" i="14"/>
  <c r="G16" i="1" s="1"/>
  <c r="G5" i="5"/>
  <c r="G6"/>
  <c r="S14"/>
  <c r="S15"/>
  <c r="L8" i="13"/>
  <c r="J8" i="27" s="1"/>
  <c r="F7" i="1"/>
  <c r="P8" i="14"/>
  <c r="G8" i="1" s="1"/>
  <c r="P13" i="14"/>
  <c r="G13" i="1" s="1"/>
  <c r="P4" i="14"/>
  <c r="G4" i="1" s="1"/>
  <c r="O8" i="16"/>
  <c r="Q8" s="1"/>
  <c r="R8" i="10" s="1"/>
  <c r="P8" s="1"/>
  <c r="J10" i="16"/>
  <c r="J5"/>
  <c r="AE8" i="26"/>
  <c r="AG8" s="1"/>
  <c r="V11"/>
  <c r="F11" i="27" s="1"/>
  <c r="V8"/>
  <c r="G8"/>
  <c r="I9"/>
  <c r="W9"/>
  <c r="I8"/>
  <c r="W8"/>
  <c r="I7"/>
  <c r="W7"/>
  <c r="P14" i="14"/>
  <c r="G14" i="1" s="1"/>
  <c r="P12" i="14"/>
  <c r="G12" i="1" s="1"/>
  <c r="M7" i="26"/>
  <c r="P10" i="14"/>
  <c r="G10" i="1" s="1"/>
  <c r="P9" i="14"/>
  <c r="G9" i="1" s="1"/>
  <c r="P7" i="14"/>
  <c r="G7" i="1" s="1"/>
  <c r="I6" i="13"/>
  <c r="H6"/>
  <c r="L6" s="1"/>
  <c r="I15"/>
  <c r="H15"/>
  <c r="L15" s="1"/>
  <c r="I5"/>
  <c r="H5"/>
  <c r="L5" s="1"/>
  <c r="I10"/>
  <c r="H10"/>
  <c r="L10" s="1"/>
  <c r="I11"/>
  <c r="H13"/>
  <c r="K13" s="1"/>
  <c r="I13"/>
  <c r="I4"/>
  <c r="H4"/>
  <c r="K4" s="1"/>
  <c r="H12"/>
  <c r="K12" s="1"/>
  <c r="I12"/>
  <c r="H14"/>
  <c r="K14" s="1"/>
  <c r="I14"/>
  <c r="V12" i="26"/>
  <c r="F12" i="27" s="1"/>
  <c r="V6" i="26"/>
  <c r="F6" i="27" s="1"/>
  <c r="M12" i="26"/>
  <c r="E12" i="27" s="1"/>
  <c r="M6" i="26"/>
  <c r="V10"/>
  <c r="F10" i="27" s="1"/>
  <c r="V4" i="26"/>
  <c r="M5"/>
  <c r="V9"/>
  <c r="M10"/>
  <c r="V13"/>
  <c r="E14" i="27"/>
  <c r="V5" i="26"/>
  <c r="F5" i="27" s="1"/>
  <c r="F14"/>
  <c r="I7" i="13"/>
  <c r="I9"/>
  <c r="L11"/>
  <c r="L7"/>
  <c r="K11"/>
  <c r="P5" i="14"/>
  <c r="G5" i="1" s="1"/>
  <c r="P6" i="14"/>
  <c r="G6" i="1" s="1"/>
  <c r="P11" i="14"/>
  <c r="G11" i="1" s="1"/>
  <c r="P15" i="14"/>
  <c r="G15" i="1" s="1"/>
  <c r="L9" i="13"/>
  <c r="P6" i="16"/>
  <c r="N6" s="1"/>
  <c r="P7"/>
  <c r="N7" s="1"/>
  <c r="P11"/>
  <c r="N11" s="1"/>
  <c r="P12"/>
  <c r="N12" s="1"/>
  <c r="P15"/>
  <c r="N15" s="1"/>
  <c r="L7"/>
  <c r="J7"/>
  <c r="K7"/>
  <c r="L12"/>
  <c r="K12"/>
  <c r="J12"/>
  <c r="K4"/>
  <c r="L4"/>
  <c r="J4"/>
  <c r="K9"/>
  <c r="J9"/>
  <c r="L9"/>
  <c r="K13"/>
  <c r="L13"/>
  <c r="J13"/>
  <c r="L6"/>
  <c r="L15"/>
  <c r="L5"/>
  <c r="P5"/>
  <c r="N5" s="1"/>
  <c r="K6"/>
  <c r="L10"/>
  <c r="P10"/>
  <c r="N10" s="1"/>
  <c r="K11"/>
  <c r="L14"/>
  <c r="P14"/>
  <c r="N14" s="1"/>
  <c r="K15"/>
  <c r="K5"/>
  <c r="J6"/>
  <c r="O6" s="1"/>
  <c r="K10"/>
  <c r="J11"/>
  <c r="K14"/>
  <c r="J15"/>
  <c r="L11"/>
  <c r="X8" i="27" l="1"/>
  <c r="I8" i="5"/>
  <c r="O8" i="9"/>
  <c r="O8" i="13"/>
  <c r="O10" i="16"/>
  <c r="M10" s="1"/>
  <c r="H10" i="1" s="1"/>
  <c r="M8" i="16"/>
  <c r="H8" i="1" s="1"/>
  <c r="O14" i="16"/>
  <c r="M14" s="1"/>
  <c r="H14" i="1" s="1"/>
  <c r="K6" i="13"/>
  <c r="O6" s="1"/>
  <c r="K6" i="9" s="1"/>
  <c r="K5" i="13"/>
  <c r="W5" i="27" s="1"/>
  <c r="AE11" i="26"/>
  <c r="AG11" s="1"/>
  <c r="J7" i="27"/>
  <c r="X7"/>
  <c r="AE9" i="26"/>
  <c r="AG9" s="1"/>
  <c r="F9" i="27"/>
  <c r="G13"/>
  <c r="V13"/>
  <c r="V10"/>
  <c r="G10"/>
  <c r="V15"/>
  <c r="G15"/>
  <c r="I11"/>
  <c r="W11"/>
  <c r="W14"/>
  <c r="I14"/>
  <c r="X10"/>
  <c r="J10"/>
  <c r="X15"/>
  <c r="J15"/>
  <c r="AE7" i="26"/>
  <c r="AG7" s="1"/>
  <c r="E7" i="27"/>
  <c r="J9"/>
  <c r="X9"/>
  <c r="X11"/>
  <c r="J11"/>
  <c r="V7"/>
  <c r="G7"/>
  <c r="AE13" i="26"/>
  <c r="AG13" s="1"/>
  <c r="F13" i="27"/>
  <c r="AE4" i="26"/>
  <c r="AG4" s="1"/>
  <c r="F4" i="27"/>
  <c r="V14"/>
  <c r="G14"/>
  <c r="W4"/>
  <c r="I4"/>
  <c r="V11"/>
  <c r="G11"/>
  <c r="V5"/>
  <c r="G5"/>
  <c r="V6"/>
  <c r="G6"/>
  <c r="V9"/>
  <c r="G9"/>
  <c r="V12"/>
  <c r="G12"/>
  <c r="AE10" i="26"/>
  <c r="AG10" s="1"/>
  <c r="E10" i="27"/>
  <c r="V4"/>
  <c r="G4"/>
  <c r="AE5" i="26"/>
  <c r="AG5" s="1"/>
  <c r="E5" i="27"/>
  <c r="AE6" i="26"/>
  <c r="AG6" s="1"/>
  <c r="E6" i="27"/>
  <c r="I12"/>
  <c r="W12"/>
  <c r="W13"/>
  <c r="I13"/>
  <c r="J5"/>
  <c r="X5"/>
  <c r="J6"/>
  <c r="X6"/>
  <c r="O11" i="13"/>
  <c r="M11" s="1"/>
  <c r="E11" i="1" s="1"/>
  <c r="L14" i="13"/>
  <c r="AE12" i="26"/>
  <c r="AG12" s="1"/>
  <c r="O15" i="16"/>
  <c r="Q15" s="1"/>
  <c r="R15" i="10" s="1"/>
  <c r="P15" s="1"/>
  <c r="Q6" i="16"/>
  <c r="R6" i="10" s="1"/>
  <c r="P6" s="1"/>
  <c r="O5" i="16"/>
  <c r="Q5" s="1"/>
  <c r="R5" i="10" s="1"/>
  <c r="P5" s="1"/>
  <c r="K15" i="13"/>
  <c r="L4"/>
  <c r="O9"/>
  <c r="O7"/>
  <c r="M7" s="1"/>
  <c r="E7" i="1" s="1"/>
  <c r="K10" i="13"/>
  <c r="L13"/>
  <c r="L12"/>
  <c r="O9" i="16"/>
  <c r="O7"/>
  <c r="M6"/>
  <c r="H6" i="1" s="1"/>
  <c r="O11" i="16"/>
  <c r="O13"/>
  <c r="O4"/>
  <c r="O12"/>
  <c r="I11" i="5" l="1"/>
  <c r="O11" i="9"/>
  <c r="I7" i="5"/>
  <c r="O7" i="9"/>
  <c r="O13"/>
  <c r="I13" i="5"/>
  <c r="K11" i="9"/>
  <c r="N11" s="1"/>
  <c r="F11" i="5" s="1"/>
  <c r="K7" i="9"/>
  <c r="N7" s="1"/>
  <c r="F7" i="5" s="1"/>
  <c r="O12" i="9"/>
  <c r="I12" i="5"/>
  <c r="M9" i="13"/>
  <c r="E9" i="1" s="1"/>
  <c r="K9" i="9"/>
  <c r="I10" i="5"/>
  <c r="O10" i="9"/>
  <c r="I9" i="5"/>
  <c r="O9" i="9"/>
  <c r="M8" i="13"/>
  <c r="E8" i="1" s="1"/>
  <c r="K8" i="9"/>
  <c r="N6"/>
  <c r="F6" i="5" s="1"/>
  <c r="O6" i="9"/>
  <c r="I6" i="5"/>
  <c r="O5" i="9"/>
  <c r="I5" i="5"/>
  <c r="Q14" i="16"/>
  <c r="R14" i="10" s="1"/>
  <c r="P14" s="1"/>
  <c r="Q10" i="16"/>
  <c r="R10" i="10" s="1"/>
  <c r="P10" s="1"/>
  <c r="M5" i="16"/>
  <c r="H5" i="1" s="1"/>
  <c r="O5" i="13"/>
  <c r="I6" i="27"/>
  <c r="I5"/>
  <c r="W6"/>
  <c r="O4" i="13"/>
  <c r="X4" i="27"/>
  <c r="J4"/>
  <c r="O10" i="13"/>
  <c r="I10" i="27"/>
  <c r="W10"/>
  <c r="O15" i="13"/>
  <c r="W15" i="27"/>
  <c r="I15"/>
  <c r="O4" i="9"/>
  <c r="I4" i="5"/>
  <c r="O13" i="13"/>
  <c r="K13" i="9" s="1"/>
  <c r="N13" s="1"/>
  <c r="F13" i="5" s="1"/>
  <c r="X13" i="27"/>
  <c r="J13"/>
  <c r="O14" i="13"/>
  <c r="X14" i="27"/>
  <c r="J14"/>
  <c r="O12" i="13"/>
  <c r="K12" i="9" s="1"/>
  <c r="N12" s="1"/>
  <c r="F12" i="5" s="1"/>
  <c r="X12" i="27"/>
  <c r="J12"/>
  <c r="M15" i="16"/>
  <c r="H15" i="1" s="1"/>
  <c r="M6" i="13"/>
  <c r="E6" i="1" s="1"/>
  <c r="Q4" i="16"/>
  <c r="R4" i="10" s="1"/>
  <c r="P4" s="1"/>
  <c r="M4" i="16"/>
  <c r="H4" i="1" s="1"/>
  <c r="Q12" i="16"/>
  <c r="R12" i="10" s="1"/>
  <c r="P12" s="1"/>
  <c r="M12" i="16"/>
  <c r="H12" i="1" s="1"/>
  <c r="Q13" i="16"/>
  <c r="R13" i="10" s="1"/>
  <c r="P13" s="1"/>
  <c r="M13" i="16"/>
  <c r="H13" i="1" s="1"/>
  <c r="Q7" i="16"/>
  <c r="R7" i="10" s="1"/>
  <c r="P7" s="1"/>
  <c r="M7" i="16"/>
  <c r="Q11"/>
  <c r="R11" i="10" s="1"/>
  <c r="P11" s="1"/>
  <c r="M11" i="16"/>
  <c r="H11" i="1" s="1"/>
  <c r="Q9" i="16"/>
  <c r="R9" i="10" s="1"/>
  <c r="P9" s="1"/>
  <c r="M9" i="16"/>
  <c r="H9" i="1" s="1"/>
  <c r="M14" i="13" l="1"/>
  <c r="E14" i="1" s="1"/>
  <c r="K14" i="9"/>
  <c r="N14" s="1"/>
  <c r="F14" i="5" s="1"/>
  <c r="M15" i="13"/>
  <c r="E15" i="1" s="1"/>
  <c r="K15" i="9"/>
  <c r="N15" s="1"/>
  <c r="F15" i="5" s="1"/>
  <c r="M10" i="13"/>
  <c r="E10" i="1" s="1"/>
  <c r="K10" i="9"/>
  <c r="N9"/>
  <c r="F9" i="5" s="1"/>
  <c r="N8" i="9"/>
  <c r="F8" i="5" s="1"/>
  <c r="K5" i="9"/>
  <c r="M4" i="13"/>
  <c r="E4" i="1" s="1"/>
  <c r="L4" s="1"/>
  <c r="K4" i="9"/>
  <c r="N4" s="1"/>
  <c r="F4" i="5" s="1"/>
  <c r="L8" i="1"/>
  <c r="AB8" i="5" s="1"/>
  <c r="H7" i="1"/>
  <c r="M5" i="13"/>
  <c r="E5" i="1" s="1"/>
  <c r="M12" i="13"/>
  <c r="E12" i="1" s="1"/>
  <c r="M13" i="13"/>
  <c r="E13" i="1" s="1"/>
  <c r="H11" i="5"/>
  <c r="C14" i="25"/>
  <c r="B14"/>
  <c r="C13"/>
  <c r="B13"/>
  <c r="C12"/>
  <c r="B12"/>
  <c r="C11"/>
  <c r="B11"/>
  <c r="C10"/>
  <c r="B10"/>
  <c r="C9"/>
  <c r="B9"/>
  <c r="C8"/>
  <c r="B8"/>
  <c r="C6"/>
  <c r="B6"/>
  <c r="C5"/>
  <c r="B5"/>
  <c r="C4"/>
  <c r="B4"/>
  <c r="AB4" i="5" l="1"/>
  <c r="AD4" s="1"/>
  <c r="C4" i="23"/>
  <c r="E4" s="1"/>
  <c r="C8"/>
  <c r="E8" s="1"/>
  <c r="N10" i="9"/>
  <c r="F10" i="5" s="1"/>
  <c r="N5" i="9"/>
  <c r="F5" i="5" s="1"/>
  <c r="O8" i="1"/>
  <c r="M8" i="9" s="1"/>
  <c r="R8" i="5" s="1"/>
  <c r="H4"/>
  <c r="O4" i="1"/>
  <c r="M4" i="9" s="1"/>
  <c r="R4" i="5" s="1"/>
  <c r="X29" l="1"/>
  <c r="Z29" s="1"/>
  <c r="X4"/>
  <c r="W4"/>
  <c r="L12" i="1"/>
  <c r="AB12" i="5" s="1"/>
  <c r="L5" i="1"/>
  <c r="AB5" i="5" s="1"/>
  <c r="J3" i="1"/>
  <c r="F3" i="24"/>
  <c r="AM3" i="16"/>
  <c r="AN3"/>
  <c r="O5" i="1" l="1"/>
  <c r="M5" i="9" s="1"/>
  <c r="R5" i="5" s="1"/>
  <c r="C5" i="23"/>
  <c r="E5" s="1"/>
  <c r="O12" i="1"/>
  <c r="M12" i="9" s="1"/>
  <c r="R12" i="5" s="1"/>
  <c r="BY3" i="24"/>
  <c r="AF3" i="5" l="1"/>
  <c r="J3" i="13"/>
  <c r="V22" i="9" l="1"/>
  <c r="O22" i="4"/>
  <c r="BC3" i="24"/>
  <c r="AW3"/>
  <c r="Q22"/>
  <c r="P22" l="1"/>
  <c r="P3" i="4"/>
  <c r="BS3" i="24"/>
  <c r="AF3"/>
  <c r="D3" l="1"/>
  <c r="L27" i="27"/>
  <c r="L26"/>
  <c r="F3" i="4"/>
  <c r="H3" s="1"/>
  <c r="I3" i="1" s="1"/>
  <c r="F3" l="1"/>
  <c r="O22" i="24"/>
  <c r="AS22"/>
  <c r="AT22"/>
  <c r="V22"/>
  <c r="T22" i="23"/>
  <c r="T22" i="24"/>
  <c r="U22"/>
  <c r="T22" i="9"/>
  <c r="U22"/>
  <c r="W22"/>
  <c r="X22"/>
  <c r="AD22" i="16" l="1"/>
  <c r="AE22"/>
  <c r="AF22"/>
  <c r="AH22"/>
  <c r="AI22"/>
  <c r="AL22"/>
  <c r="AM22"/>
  <c r="L22" i="9"/>
  <c r="J17" s="1"/>
  <c r="D22" i="15" l="1"/>
  <c r="E22"/>
  <c r="F22"/>
  <c r="G22"/>
  <c r="H22"/>
  <c r="I22"/>
  <c r="J22"/>
  <c r="K22" l="1"/>
  <c r="AA22" i="5" l="1"/>
  <c r="Y22"/>
  <c r="D3" l="1"/>
  <c r="C3"/>
  <c r="B3"/>
  <c r="A3"/>
  <c r="AF22" l="1"/>
  <c r="C3" i="28" l="1"/>
  <c r="B3"/>
  <c r="A3"/>
  <c r="S25" i="10"/>
  <c r="Q25" l="1"/>
  <c r="O25"/>
  <c r="L3"/>
  <c r="J3"/>
  <c r="H3"/>
  <c r="G3"/>
  <c r="E3"/>
  <c r="C3"/>
  <c r="A3"/>
  <c r="L25" l="1"/>
  <c r="A3" i="22"/>
  <c r="A3" i="8"/>
  <c r="S22" i="9" l="1"/>
  <c r="R22"/>
  <c r="I22" l="1"/>
  <c r="H22"/>
  <c r="G22"/>
  <c r="F22"/>
  <c r="E22"/>
  <c r="D22"/>
  <c r="C3" l="1"/>
  <c r="B3"/>
  <c r="A3"/>
  <c r="BR22" i="24" l="1"/>
  <c r="BO22"/>
  <c r="BN22"/>
  <c r="BM22"/>
  <c r="BL22"/>
  <c r="BK22"/>
  <c r="BJ22"/>
  <c r="BI22"/>
  <c r="BH22"/>
  <c r="BF22"/>
  <c r="BE22"/>
  <c r="BD22"/>
  <c r="BB22"/>
  <c r="BA22"/>
  <c r="AZ22"/>
  <c r="AY22"/>
  <c r="AX22"/>
  <c r="AV22"/>
  <c r="AR22"/>
  <c r="AQ22"/>
  <c r="AP22"/>
  <c r="AO22"/>
  <c r="AN22"/>
  <c r="AL22"/>
  <c r="AK22"/>
  <c r="AJ22"/>
  <c r="AI22"/>
  <c r="AH22"/>
  <c r="AE22"/>
  <c r="AD22"/>
  <c r="AC22"/>
  <c r="AB22"/>
  <c r="AA22"/>
  <c r="Z22"/>
  <c r="Y22"/>
  <c r="X22"/>
  <c r="W22"/>
  <c r="S22"/>
  <c r="N22"/>
  <c r="M22"/>
  <c r="L22"/>
  <c r="K22"/>
  <c r="J22"/>
  <c r="H15" i="5"/>
  <c r="H14"/>
  <c r="H13"/>
  <c r="H12"/>
  <c r="X37" s="1"/>
  <c r="H10"/>
  <c r="H7"/>
  <c r="H6"/>
  <c r="H5"/>
  <c r="X30" s="1"/>
  <c r="BG3" i="24"/>
  <c r="I3"/>
  <c r="CA3" s="1"/>
  <c r="P3" i="9" s="1"/>
  <c r="B3" i="24"/>
  <c r="A3"/>
  <c r="BC22"/>
  <c r="C31" i="23"/>
  <c r="S22"/>
  <c r="R22"/>
  <c r="Q22"/>
  <c r="P22"/>
  <c r="O22"/>
  <c r="N22"/>
  <c r="M22"/>
  <c r="L22"/>
  <c r="K22"/>
  <c r="J22"/>
  <c r="I22"/>
  <c r="H9" i="5" l="1"/>
  <c r="H8"/>
  <c r="X33" s="1"/>
  <c r="G3"/>
  <c r="BG22" i="24"/>
  <c r="BS22"/>
  <c r="AW22"/>
  <c r="AF22"/>
  <c r="G22"/>
  <c r="F22" s="1"/>
  <c r="D22"/>
  <c r="I22"/>
  <c r="CA22" l="1"/>
  <c r="G22" i="5"/>
  <c r="P22" i="9"/>
  <c r="B3" i="23"/>
  <c r="A3"/>
  <c r="L22" i="15" l="1"/>
  <c r="C3"/>
  <c r="B3"/>
  <c r="A3"/>
  <c r="A22" i="27" l="1"/>
  <c r="C3"/>
  <c r="B3"/>
  <c r="A3"/>
  <c r="AH22" i="26"/>
  <c r="A22"/>
  <c r="C3" l="1"/>
  <c r="V3" s="1"/>
  <c r="B3"/>
  <c r="A3"/>
  <c r="M3" l="1"/>
  <c r="D3" i="27" s="1"/>
  <c r="F3"/>
  <c r="W22" i="20"/>
  <c r="U22"/>
  <c r="N22"/>
  <c r="M22"/>
  <c r="L22"/>
  <c r="K22"/>
  <c r="J22"/>
  <c r="I22"/>
  <c r="E22"/>
  <c r="H3" i="24"/>
  <c r="D3" i="20"/>
  <c r="C3"/>
  <c r="B3"/>
  <c r="A3"/>
  <c r="BJ22" i="4"/>
  <c r="BI22"/>
  <c r="BH22"/>
  <c r="BG22"/>
  <c r="BF22"/>
  <c r="BE22"/>
  <c r="BD22"/>
  <c r="BC22"/>
  <c r="BB22"/>
  <c r="BA22"/>
  <c r="AZ22"/>
  <c r="AY22"/>
  <c r="AX22"/>
  <c r="AW22"/>
  <c r="AV22"/>
  <c r="AU22"/>
  <c r="AT22"/>
  <c r="AS22"/>
  <c r="AR22"/>
  <c r="AQ22"/>
  <c r="AO22"/>
  <c r="AN22"/>
  <c r="AM22"/>
  <c r="AK22"/>
  <c r="AJ22"/>
  <c r="AD22"/>
  <c r="AC22"/>
  <c r="AB22"/>
  <c r="AA22"/>
  <c r="Z22"/>
  <c r="X22"/>
  <c r="V22"/>
  <c r="S22"/>
  <c r="R22"/>
  <c r="Q22"/>
  <c r="N22"/>
  <c r="M22"/>
  <c r="L22"/>
  <c r="G22"/>
  <c r="F22"/>
  <c r="E22"/>
  <c r="E3" i="24"/>
  <c r="C3" i="4"/>
  <c r="B3"/>
  <c r="A3"/>
  <c r="AC22" i="5" l="1"/>
  <c r="AE3" i="26"/>
  <c r="AG3" s="1"/>
  <c r="E3" i="27"/>
  <c r="H22" i="24"/>
  <c r="V22" i="20"/>
  <c r="E22" i="24"/>
  <c r="P22" i="4"/>
  <c r="H22"/>
  <c r="AC22" i="16"/>
  <c r="AB22"/>
  <c r="AA22"/>
  <c r="W22"/>
  <c r="V22"/>
  <c r="U22"/>
  <c r="T22"/>
  <c r="S22"/>
  <c r="R22"/>
  <c r="O3" i="9" l="1"/>
  <c r="I3" i="5"/>
  <c r="D22" i="26"/>
  <c r="M22"/>
  <c r="C3" i="24" l="1"/>
  <c r="BZ3" s="1"/>
  <c r="E3" i="16"/>
  <c r="I3" s="1"/>
  <c r="D3"/>
  <c r="H3" s="1"/>
  <c r="I26" s="1"/>
  <c r="C3"/>
  <c r="B3"/>
  <c r="A3"/>
  <c r="B3" i="14"/>
  <c r="A3"/>
  <c r="G22" i="12"/>
  <c r="AD12" i="5" l="1"/>
  <c r="Z37" s="1"/>
  <c r="AD5"/>
  <c r="Z30" s="1"/>
  <c r="Q3" i="9"/>
  <c r="P3" i="16"/>
  <c r="N3" s="1"/>
  <c r="L3"/>
  <c r="J3"/>
  <c r="K3"/>
  <c r="AN22"/>
  <c r="X5" i="5" l="1"/>
  <c r="W5"/>
  <c r="X12"/>
  <c r="T12"/>
  <c r="AD8"/>
  <c r="Z33" s="1"/>
  <c r="O3" i="16"/>
  <c r="M3" s="1"/>
  <c r="H3" i="1" s="1"/>
  <c r="J22" i="16"/>
  <c r="L22"/>
  <c r="K22"/>
  <c r="I22"/>
  <c r="C22" i="24"/>
  <c r="H22" i="16"/>
  <c r="C3" i="12"/>
  <c r="B3"/>
  <c r="A3"/>
  <c r="F22"/>
  <c r="X8" i="5" l="1"/>
  <c r="W8"/>
  <c r="Q3" i="16"/>
  <c r="R3" i="10" s="1"/>
  <c r="P22" i="16"/>
  <c r="O22"/>
  <c r="BZ22" i="24"/>
  <c r="Q22" i="9"/>
  <c r="F22" i="13"/>
  <c r="E22"/>
  <c r="D22"/>
  <c r="N22" i="16" l="1"/>
  <c r="Q22"/>
  <c r="R25" i="10"/>
  <c r="M22" i="16"/>
  <c r="N3" i="13" l="1"/>
  <c r="P3" i="14" s="1"/>
  <c r="G3" i="1" s="1"/>
  <c r="C3" i="13"/>
  <c r="G3" s="1"/>
  <c r="B3"/>
  <c r="A3"/>
  <c r="I3" l="1"/>
  <c r="K21" i="25"/>
  <c r="J21"/>
  <c r="I21"/>
  <c r="H21"/>
  <c r="G21"/>
  <c r="F21"/>
  <c r="E21"/>
  <c r="D21"/>
  <c r="A21"/>
  <c r="C2"/>
  <c r="B2"/>
  <c r="A2"/>
  <c r="M22" i="1"/>
  <c r="K22"/>
  <c r="F22" l="1"/>
  <c r="I22" l="1"/>
  <c r="J22"/>
  <c r="S3" i="5" l="1"/>
  <c r="H22" i="1" l="1"/>
  <c r="H3" i="13" l="1"/>
  <c r="K3" s="1"/>
  <c r="N22"/>
  <c r="AF22" i="26"/>
  <c r="P22" i="14" l="1"/>
  <c r="I3" i="27"/>
  <c r="W3"/>
  <c r="S22" i="5"/>
  <c r="D22" i="27"/>
  <c r="E22"/>
  <c r="V22" i="26"/>
  <c r="G22" i="13"/>
  <c r="H3" i="27"/>
  <c r="L3" i="13"/>
  <c r="H22"/>
  <c r="L16" i="1" l="1"/>
  <c r="AB16" i="5" s="1"/>
  <c r="AD16" s="1"/>
  <c r="G22" i="1"/>
  <c r="V3" i="27"/>
  <c r="J3"/>
  <c r="X3"/>
  <c r="AG22" i="26"/>
  <c r="G3" i="27"/>
  <c r="O3" i="13"/>
  <c r="J22"/>
  <c r="K22"/>
  <c r="AE22" i="26"/>
  <c r="L22" i="13"/>
  <c r="I22"/>
  <c r="F22" i="27"/>
  <c r="X16" i="5" l="1"/>
  <c r="W16"/>
  <c r="O16" i="1"/>
  <c r="M16" i="9" s="1"/>
  <c r="R16" i="5" s="1"/>
  <c r="X41" s="1"/>
  <c r="Z41" s="1"/>
  <c r="C16" i="23"/>
  <c r="E16" s="1"/>
  <c r="O22" i="9"/>
  <c r="I22" i="5"/>
  <c r="L9" i="1"/>
  <c r="AB9" i="5" s="1"/>
  <c r="L6" i="1"/>
  <c r="AB6" i="5" s="1"/>
  <c r="L13" i="1"/>
  <c r="L14"/>
  <c r="AB14" i="5" s="1"/>
  <c r="L7" i="1"/>
  <c r="AB7" i="5" s="1"/>
  <c r="I22" i="27"/>
  <c r="L11" i="1"/>
  <c r="AB11" i="5" s="1"/>
  <c r="M3" i="13"/>
  <c r="E3" i="1" s="1"/>
  <c r="L3" s="1"/>
  <c r="K3" i="9"/>
  <c r="N3" s="1"/>
  <c r="F3" i="5" s="1"/>
  <c r="L15" i="1"/>
  <c r="L10"/>
  <c r="AB10" i="5" s="1"/>
  <c r="J22" i="27"/>
  <c r="H22"/>
  <c r="O22" i="13"/>
  <c r="G22" i="27"/>
  <c r="C15" i="23" l="1"/>
  <c r="E15" s="1"/>
  <c r="AB15" i="5"/>
  <c r="AD15" s="1"/>
  <c r="E13" i="23"/>
  <c r="AB13" i="5"/>
  <c r="AD13" s="1"/>
  <c r="X13" s="1"/>
  <c r="AB3"/>
  <c r="C6" i="23"/>
  <c r="E6" s="1"/>
  <c r="AD6" i="5"/>
  <c r="AD11"/>
  <c r="X11" s="1"/>
  <c r="AD7"/>
  <c r="C9" i="23"/>
  <c r="E9" s="1"/>
  <c r="AD9" i="5"/>
  <c r="C10" i="23"/>
  <c r="E10" s="1"/>
  <c r="AD10" i="5"/>
  <c r="AD14"/>
  <c r="O10" i="1"/>
  <c r="O9"/>
  <c r="O13"/>
  <c r="O11"/>
  <c r="O7"/>
  <c r="O6"/>
  <c r="O14"/>
  <c r="O15"/>
  <c r="O3"/>
  <c r="H3" i="5"/>
  <c r="K22" i="9"/>
  <c r="M22" i="13"/>
  <c r="L17" i="1" s="1"/>
  <c r="AB17" i="5" s="1"/>
  <c r="AD17" s="1"/>
  <c r="X17" l="1"/>
  <c r="W17"/>
  <c r="X15"/>
  <c r="W15"/>
  <c r="X14"/>
  <c r="W14"/>
  <c r="X9"/>
  <c r="W9"/>
  <c r="X6"/>
  <c r="W6"/>
  <c r="X10"/>
  <c r="W10"/>
  <c r="X7"/>
  <c r="W7"/>
  <c r="M6" i="9"/>
  <c r="M15"/>
  <c r="R15" i="5" s="1"/>
  <c r="X40" s="1"/>
  <c r="Z40" s="1"/>
  <c r="M11" i="9"/>
  <c r="M9"/>
  <c r="R9" i="5" s="1"/>
  <c r="X34" s="1"/>
  <c r="Z34" s="1"/>
  <c r="M7" i="9"/>
  <c r="M13"/>
  <c r="M10"/>
  <c r="M14"/>
  <c r="R14" i="5" s="1"/>
  <c r="X39" s="1"/>
  <c r="Z39" s="1"/>
  <c r="O17" i="1"/>
  <c r="M17" i="9" s="1"/>
  <c r="R17" i="5" s="1"/>
  <c r="X42" s="1"/>
  <c r="Z42" s="1"/>
  <c r="C17" i="23"/>
  <c r="E17" s="1"/>
  <c r="AD3" i="5"/>
  <c r="W3" s="1"/>
  <c r="J3" i="9"/>
  <c r="P3" i="10" s="1"/>
  <c r="M3" i="9"/>
  <c r="R3" i="5" s="1"/>
  <c r="X28" s="1"/>
  <c r="N22" i="9"/>
  <c r="F22" i="5"/>
  <c r="N22" i="1"/>
  <c r="E22"/>
  <c r="L22"/>
  <c r="R13" i="5" l="1"/>
  <c r="X38" s="1"/>
  <c r="Z38" s="1"/>
  <c r="R11"/>
  <c r="X36" s="1"/>
  <c r="Z36" s="1"/>
  <c r="R10"/>
  <c r="X35" s="1"/>
  <c r="Z35" s="1"/>
  <c r="R7"/>
  <c r="X32" s="1"/>
  <c r="Z32" s="1"/>
  <c r="R6"/>
  <c r="X31" s="1"/>
  <c r="Z31" s="1"/>
  <c r="X3"/>
  <c r="Z28"/>
  <c r="W22"/>
  <c r="J22" i="9"/>
  <c r="H22" i="5"/>
  <c r="D22" i="23"/>
  <c r="P25" i="10" l="1"/>
  <c r="AB22" i="5"/>
  <c r="E22" i="23"/>
  <c r="C22"/>
  <c r="O22" i="1"/>
  <c r="M22" i="9" l="1"/>
  <c r="AD22" i="5"/>
  <c r="Z22" l="1"/>
  <c r="R22"/>
  <c r="Q22"/>
  <c r="T22"/>
  <c r="X22" l="1"/>
</calcChain>
</file>

<file path=xl/sharedStrings.xml><?xml version="1.0" encoding="utf-8"?>
<sst xmlns="http://schemas.openxmlformats.org/spreadsheetml/2006/main" count="1667" uniqueCount="659">
  <si>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</si>
  <si>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</si>
  <si>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</si>
  <si>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</si>
  <si>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</si>
  <si>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</si>
  <si>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</si>
  <si>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</si>
  <si>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</si>
  <si>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</si>
  <si>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</si>
  <si>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</si>
  <si>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</si>
  <si>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</si>
  <si>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</si>
  <si>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</si>
  <si>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</si>
  <si>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</si>
  <si>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</si>
  <si>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</si>
  <si>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</si>
  <si>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</si>
  <si>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</si>
  <si>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</si>
  <si>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</si>
  <si>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</si>
  <si>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</si>
  <si>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</si>
  <si>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</si>
  <si>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</si>
  <si>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</si>
  <si>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</si>
  <si>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</si>
  <si>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</si>
  <si>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</si>
  <si>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</si>
  <si>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</si>
  <si>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</si>
  <si>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</si>
  <si>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</si>
  <si>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</si>
  <si>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</si>
  <si>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</si>
  <si>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</si>
  <si>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</si>
  <si>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</si>
  <si>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</si>
  <si>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</si>
  <si>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</si>
  <si>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</si>
  <si>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</si>
  <si>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</si>
  <si>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</si>
  <si>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</si>
  <si>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</si>
  <si>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</si>
  <si>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</si>
  <si>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</si>
  <si>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</si>
  <si>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</si>
  <si>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</si>
  <si>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</si>
  <si>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</si>
  <si>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</si>
  <si>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</si>
  <si>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</si>
  <si>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</si>
  <si>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</si>
  <si>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</si>
  <si>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</si>
  <si>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</si>
  <si>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</si>
  <si>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</si>
  <si>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</si>
  <si>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</si>
  <si>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</si>
  <si>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</si>
  <si>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</si>
  <si>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</si>
  <si>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</si>
  <si>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</si>
  <si>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</si>
  <si>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</si>
  <si>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</si>
  <si>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</si>
  <si>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</si>
  <si>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</si>
  <si>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</si>
  <si>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</si>
  <si>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</si>
  <si>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</si>
  <si>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</si>
  <si>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</si>
  <si>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</si>
  <si>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</si>
  <si>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</si>
  <si>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</si>
  <si>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</si>
  <si>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</si>
  <si>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</si>
  <si>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</si>
  <si>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</si>
  <si>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</si>
  <si>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</si>
  <si>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</si>
  <si>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</si>
  <si>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</si>
  <si>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</si>
  <si>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</si>
  <si>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</si>
  <si>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</si>
  <si>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</si>
  <si>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</si>
  <si>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</si>
  <si>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</si>
  <si>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</si>
  <si>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</si>
  <si>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</si>
  <si>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</si>
  <si>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</si>
  <si>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</si>
  <si>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</si>
  <si>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</si>
  <si>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</si>
  <si>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</si>
  <si>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</si>
  <si>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</si>
  <si>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</si>
  <si>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</si>
  <si>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</si>
  <si>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</si>
  <si>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</si>
  <si>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</si>
  <si>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</si>
  <si>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</si>
  <si>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</si>
  <si>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</si>
  <si>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</si>
  <si>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</si>
  <si>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</si>
  <si>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</si>
  <si>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</si>
  <si>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</si>
  <si>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</si>
  <si>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</si>
  <si>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</si>
  <si>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</si>
  <si>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</si>
  <si>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</si>
  <si>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</si>
  <si>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</si>
  <si>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</si>
  <si>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</si>
  <si>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</si>
  <si>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</si>
  <si>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</si>
  <si>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</si>
  <si>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</si>
  <si>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</si>
  <si>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</si>
  <si>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</si>
  <si>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</si>
  <si>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</si>
  <si>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</si>
  <si>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</si>
  <si>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</si>
  <si>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</si>
  <si>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</si>
  <si>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</si>
  <si>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</si>
  <si>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</si>
  <si>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</si>
  <si>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</si>
  <si>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</si>
  <si>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</si>
  <si>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</si>
  <si>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</si>
  <si>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</si>
  <si>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</si>
  <si>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</si>
  <si>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</si>
  <si>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</si>
  <si>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</si>
  <si>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</si>
  <si>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</si>
  <si>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</si>
  <si>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</si>
  <si>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</si>
  <si>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</si>
  <si>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</si>
  <si>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</si>
  <si>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</si>
  <si>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</si>
  <si>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</si>
  <si>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</si>
  <si>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</si>
  <si>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</si>
  <si>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</si>
  <si>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</si>
  <si>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</si>
  <si>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</si>
  <si>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</si>
  <si>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</si>
  <si>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</si>
  <si>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</si>
  <si>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</si>
  <si>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</si>
  <si>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</si>
  <si>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</si>
  <si>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</si>
  <si>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</si>
  <si>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</si>
  <si>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</si>
  <si>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</si>
  <si>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</si>
  <si>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</si>
  <si>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</si>
  <si>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</si>
  <si>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</si>
  <si>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</si>
  <si>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</si>
  <si>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</si>
  <si>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</si>
  <si>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</si>
  <si>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</si>
  <si>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</si>
  <si>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</si>
  <si>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</si>
  <si>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</si>
  <si>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</si>
  <si>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</si>
  <si>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</si>
  <si>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</si>
  <si>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</si>
  <si>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</si>
  <si>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</si>
  <si>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</si>
  <si>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</si>
  <si>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</si>
  <si>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</si>
  <si>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</si>
  <si>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</si>
  <si>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</si>
  <si>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</si>
  <si>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</si>
  <si>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</si>
  <si>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</si>
  <si>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</si>
  <si>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</si>
  <si>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</si>
  <si>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</si>
  <si>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</si>
  <si>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</si>
  <si>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8γ1-8γ2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</si>
  <si>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</si>
  <si>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</si>
  <si>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</si>
  <si>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</si>
  <si>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</si>
  <si>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</si>
  <si>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</si>
  <si>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</si>
  <si>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</si>
  <si>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</si>
  <si>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</si>
  <si>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</si>
  <si>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</si>
  <si>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</si>
  <si>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</si>
  <si>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</si>
  <si>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</si>
  <si>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</si>
  <si>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</si>
  <si>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</si>
  <si>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</si>
  <si>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</si>
  <si>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</si>
  <si>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</si>
  <si>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</si>
  <si>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</si>
  <si>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</si>
  <si>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</si>
  <si>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</si>
  <si>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</si>
  <si>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</si>
  <si>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</si>
  <si>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</si>
  <si>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</si>
  <si>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</si>
  <si>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</si>
  <si>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</si>
  <si>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</si>
  <si>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</si>
  <si>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</si>
  <si>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</si>
  <si>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</si>
  <si>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</si>
  <si>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</si>
  <si>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</si>
  <si>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</si>
  <si>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</si>
  <si>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</si>
  <si>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</si>
  <si>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</si>
  <si>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</si>
  <si>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</si>
  <si>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</si>
  <si>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</si>
  <si>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</si>
  <si>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</si>
  <si>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</si>
  <si>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</si>
  <si>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</si>
  <si>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</si>
  <si>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</si>
  <si>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</si>
  <si>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</si>
  <si>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</si>
  <si>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</si>
  <si>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</si>
  <si>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</si>
  <si>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</si>
  <si>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</si>
  <si>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</si>
  <si>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</si>
  <si>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</si>
  <si>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</si>
  <si>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</si>
  <si>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</si>
  <si>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</si>
  <si>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</si>
  <si>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</si>
  <si>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</si>
  <si>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</si>
  <si>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</si>
  <si>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</si>
  <si>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</si>
  <si>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</si>
  <si>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</si>
  <si>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</si>
  <si>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</si>
  <si>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</si>
  <si>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</si>
  <si>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</si>
  <si>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</si>
  <si>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</si>
  <si>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</si>
  <si>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</si>
  <si>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</si>
  <si>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</si>
  <si>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</si>
  <si>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</si>
  <si>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</si>
  <si>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</si>
  <si>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</si>
  <si>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</si>
  <si>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</si>
  <si>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</si>
  <si>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</si>
  <si>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</si>
  <si>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</si>
  <si>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</si>
  <si>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</si>
  <si>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</si>
  <si>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</si>
  <si>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</si>
  <si>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</si>
  <si>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</si>
  <si>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</si>
  <si>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</si>
  <si>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</si>
  <si>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</si>
  <si>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</si>
  <si>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</si>
  <si>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</si>
  <si>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</si>
  <si>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</si>
  <si>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</si>
  <si>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</si>
  <si>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</si>
  <si>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</si>
  <si>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</si>
  <si>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</si>
  <si>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</si>
  <si>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</si>
  <si>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</si>
  <si>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</si>
  <si>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</si>
  <si>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</si>
  <si>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</si>
  <si>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</si>
  <si>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</si>
  <si>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</si>
  <si>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</si>
  <si>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</si>
  <si>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</si>
  <si>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</si>
  <si>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</si>
  <si>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</si>
  <si>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</si>
  <si>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</si>
  <si>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</si>
  <si>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</si>
  <si>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</si>
  <si>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</si>
  <si>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</si>
  <si>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</si>
  <si>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</si>
  <si>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</si>
  <si>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</si>
  <si>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</si>
  <si>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</si>
  <si>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</si>
  <si>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</si>
  <si>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</si>
  <si>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</si>
  <si>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</si>
  <si>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</si>
  <si>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</si>
  <si>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</si>
  <si>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</si>
  <si>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</si>
  <si>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</si>
  <si>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</si>
  <si>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</si>
  <si>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</si>
  <si>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</si>
  <si>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</si>
  <si>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</si>
  <si>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</si>
  <si>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</si>
  <si>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</si>
  <si>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</si>
  <si>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</si>
  <si>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</si>
  <si>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</si>
  <si>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</si>
  <si>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</si>
  <si>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</si>
  <si>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</si>
  <si>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</si>
  <si>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</si>
  <si>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</si>
  <si>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</si>
  <si>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</si>
  <si>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</si>
  <si>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</si>
  <si>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</si>
  <si>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</si>
  <si>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</si>
  <si>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</si>
  <si>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</si>
  <si>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</si>
  <si>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</si>
  <si>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</si>
  <si>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</si>
  <si>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</si>
  <si>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</si>
  <si>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</si>
  <si>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</si>
  <si>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</si>
  <si>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</si>
  <si>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</si>
  <si>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</si>
  <si>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</si>
  <si>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</si>
  <si>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</si>
  <si>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</si>
  <si>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</si>
  <si>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</si>
  <si>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</si>
  <si>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</si>
  <si>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</si>
  <si>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</si>
  <si>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</si>
  <si>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</si>
  <si>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</si>
  <si>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</si>
  <si>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</si>
  <si>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</si>
  <si>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</si>
  <si>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</si>
  <si>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</si>
  <si>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</si>
  <si>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</si>
  <si>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</si>
  <si>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</si>
  <si>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</si>
  <si>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</si>
  <si>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</si>
  <si>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</si>
  <si>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</si>
  <si>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</si>
  <si>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</si>
  <si>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</si>
  <si>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</si>
  <si>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</si>
  <si>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</si>
  <si>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</si>
  <si>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</si>
  <si>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</si>
  <si>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</si>
  <si>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</si>
  <si>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</si>
  <si>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+ χαρτόσημα</t>
  </si>
  <si>
    <t>ΔΟΛΟΣ</t>
  </si>
  <si>
    <t>διαφυγών φόρος εισοδήματος</t>
  </si>
  <si>
    <t>ΤΟΓΚΑ</t>
  </si>
  <si>
    <t>έπρεπε ΝΑ χρεώσει</t>
  </si>
  <si>
    <t>χρέωσε</t>
  </si>
  <si>
    <t>ΑΓΑΠΕ ΤΕΛΙΚΟ</t>
  </si>
  <si>
    <t>πολίτης 200</t>
  </si>
  <si>
    <t>???</t>
  </si>
  <si>
    <t>**7αα**=σφραγίδα - υπογραφή στα ΑΤΕΛΩΣ = 1,47</t>
  </si>
  <si>
    <t>**7γ**=συν (+) 1 για Δ.Ο.Υ. = ΑΤΕΛΩΣ = 1,47</t>
  </si>
  <si>
    <t>διαφυγόντα κ-15-17</t>
  </si>
  <si>
    <t>έπρεπεΒάσειΑΓΑΠΕ</t>
  </si>
  <si>
    <t>έπρεπε βάσει Ζηλ</t>
  </si>
  <si>
    <t>παγια</t>
  </si>
  <si>
    <t>πάγιοΑναλογικής</t>
  </si>
  <si>
    <t>2' φύλλα</t>
  </si>
  <si>
    <t>2'+κλπ φύλλα =2,93 ή 2,35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</si>
  <si>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</si>
  <si>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</si>
  <si>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γονική</t>
  </si>
  <si>
    <t>ζημία</t>
  </si>
  <si>
    <t>καθεστώς ΤΟΓΚΑΣ</t>
  </si>
  <si>
    <t>ΑΝ όχι καθεστώς ΤΟΓΚΑΣ</t>
  </si>
  <si>
    <t>*13α*</t>
  </si>
  <si>
    <t>*13β*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</si>
  <si>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</si>
  <si>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</si>
  <si>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</si>
  <si>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</si>
  <si>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</si>
  <si>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</si>
  <si>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</si>
  <si>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</si>
  <si>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</si>
  <si>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**71α** = δημοςΓη = αίτηση-πήγαινε-έλα = 5,87+5,87+3,23</t>
  </si>
  <si>
    <t>**71β** = δημοςΔηλΙδικτησίας = αίτηση-πήγαινε-έλα = 5,87+5,87+3,23</t>
  </si>
  <si>
    <t>**71γ** = δημοςΤΑΠ = αίτηση-πήγαινε-έλα = 5,87+5,87+3,23</t>
  </si>
  <si>
    <t>**81** = υπΔηλ - αιγιαλο-ρεμα = 3,23</t>
  </si>
  <si>
    <t>κληρονομιάς ΑΠΟΔΟΧΗ</t>
  </si>
  <si>
    <t>κάθετος ΣΥΣΤΑΣΗ</t>
  </si>
  <si>
    <t>γονική ΨΙΛΗΣ ΚΥΡΙΟΤΗΤΑΣ</t>
  </si>
  <si>
    <t>μίσθωση αγροτεμαχίων 15 έτη { έως 19/1/2019 }</t>
  </si>
  <si>
    <t>ΧΡΗΣΙΚΤΗΣΙΑ αγροτεμαχίων 2'-3' = 19?? ΑΝΑΔΑΣΜΟΣ</t>
  </si>
  <si>
    <t>*καθετου συστάσεως 2.539 ΔΙΟΡΘΩΣΗ</t>
  </si>
  <si>
    <t>*γονικής 2.540 ΔΙΟΡΘΩΣΗ</t>
  </si>
  <si>
    <t>1] 62,25% οικόπεδο = 237,06μ2</t>
  </si>
  <si>
    <t>ΜΕ ισόγειο οικία {+ υπόγειο} = 57,01μ2</t>
  </si>
  <si>
    <t>&amp; ΜΕ αποθήκη 20,62μ2</t>
  </si>
  <si>
    <t>χρησικτησία οικοπεδου = 194? γεωργούδηΝικολαο ΑΓΟΡΑΠΩΛΗΣΙΑ (ως αγροτεμάχιο) άτυπος</t>
  </si>
  <si>
    <t>ο 1</t>
  </si>
  <si>
    <t>χρησικτησία αγροτεμάχιο 193 = 1975 ΑΝΑΔΑΣΜΟΣ εκούσιος</t>
  </si>
  <si>
    <t>χρησικτησία αγροτεμάχιο 279 = 1975 ΑΝΑΔΑΣΜΟΣ εκούσιος</t>
  </si>
  <si>
    <t>χρησικτησία αγροτεμάχιο 193 = 27/7/87 πατρός ΚΛΗΡΟΝΟΜΙΑ άτυπος</t>
  </si>
  <si>
    <t>χρησικτησία αγροτεμάχιο 279 = 27/7/87 πατρός ΚΛΗΡΟΝΟΜΙΑ άτυπος</t>
  </si>
  <si>
    <t>χρησικτησία οικοπεδου &amp; οικίας &amp; αποθήκης = 27/7/87 πατρός ΚΛΗΡΟΝΟΜΙΑ άτυπος</t>
  </si>
  <si>
    <t>μαζί ΜΕ 2539-2540-7909-7935-7937-7947-7951-7953-7954</t>
  </si>
  <si>
    <t>οικόπεδο Λιμενάρια 380,81μ2 ΜΕ</t>
  </si>
  <si>
    <t>1] οικία ισόγειος 71μ2</t>
  </si>
  <si>
    <t>2] ισόγειο οικία {+ υπόγειο} = 57,01μ2</t>
  </si>
  <si>
    <t>3] αποθήκη 20,62μ2</t>
  </si>
  <si>
    <t>σημειώσεις {φάκελος 2537-2538-2539-2540} υπόλοιπο = 237,06</t>
  </si>
  <si>
    <t>οικόπεδο Λιμενάρια τα 227,40 από 380,81μ2 ΜΕ</t>
  </si>
  <si>
    <t>1 σε 1</t>
  </si>
  <si>
    <t>1δ2α</t>
  </si>
  <si>
    <t>1δ3</t>
  </si>
  <si>
    <t>1δ6</t>
  </si>
  <si>
    <t>καθΣυστ</t>
  </si>
  <si>
    <t>71ι</t>
  </si>
  <si>
    <t>**71ι** = δήμος = δόμησης ΟΡΟΙ</t>
  </si>
  <si>
    <t>σημειώσεις</t>
  </si>
  <si>
    <t>1δ2β</t>
  </si>
  <si>
    <t>τα 6,46 = ταμεία</t>
  </si>
  <si>
    <t>85β</t>
  </si>
  <si>
    <t>*85α*</t>
  </si>
  <si>
    <t>**85α** = υπΔηλ-μετάθεσης του χρόνου γένεσης φορολογικής υποχρέωσης = 1.100</t>
  </si>
  <si>
    <t xml:space="preserve">*85β* = υπΔηλ -περί ΑΛΛΩΝ ακινήτων </t>
  </si>
  <si>
    <t>φ3</t>
  </si>
  <si>
    <t>το 2008</t>
  </si>
  <si>
    <t>φ4</t>
  </si>
  <si>
    <t xml:space="preserve">**74α** = πρωτοδικείο = αίτηση-πήγαινε-έλα = 8,8+8,8+3,23 = </t>
  </si>
  <si>
    <t>8,8+8,8</t>
  </si>
  <si>
    <t>5,87+5,87</t>
  </si>
  <si>
    <t>11ος</t>
  </si>
  <si>
    <t>5έτη &amp; 7μήνες</t>
  </si>
  <si>
    <t>*1β1*=14</t>
  </si>
  <si>
    <t>ΛΑΘΟΣ = παράταση με γραπτή συναίνεση</t>
  </si>
  <si>
    <t>ΟΡΟΙ πρόωρης &amp; νέου = αύξηση παραγωγής</t>
  </si>
  <si>
    <t>ΟΡΟΙ πρόωρης &amp; νέου αγρότη = αύξηση παραγωγής</t>
  </si>
  <si>
    <t>πληρεξούσιο</t>
  </si>
  <si>
    <t>2] αγροτεμάχιο Λιμενάρια ''….'' 1.500μ2</t>
  </si>
  <si>
    <t>3] αγροτεμάχιο Λιμενάρια ''….'' 3.500μ2</t>
  </si>
  <si>
    <t>ΧΡΗΣΙΚΤΗΣΙΑ αγροτεμαχίων υπόλοιπων 12 = πατρός 19?? ΔΩΡΕΕΣ &amp; ΚΛΗΡΟΝΟΜΙΕΣ άτυπες</t>
  </si>
  <si>
    <t xml:space="preserve">ΑΚΥΡΟ το συμβόλαιο καθώς ΔΕΝ υπάρχει μεταβίβαση σε μητέρα από πατέρα </t>
  </si>
  <si>
    <t>στην μίσθωση χρεώνει 0,65% &amp; 0,125%</t>
  </si>
  <si>
    <t>σημειώσεις = κάνει ΛΑΘΟΣ στην σούμα</t>
  </si>
  <si>
    <t>ως 8,8</t>
  </si>
  <si>
    <t>πληρεξ</t>
  </si>
  <si>
    <t>μίσθωση = ΠΑΓΙΑ ως νέος αγρότης</t>
  </si>
  <si>
    <t>ΛΕΙΠΕΙ το σχέδιο δράσης του νέου αγρότη</t>
  </si>
  <si>
    <t>ΕΠΡΕΠΕ να πάει στην Δ.Ο.Υ.</t>
  </si>
  <si>
    <t>τα αγροκτήματα της μητέρας ΠΟΥ ΕΊΝΑΙ ;;;;;;;;</t>
  </si>
  <si>
    <t>ΔΟΛΟΣ ;;;;;;????????????????? [με αυτό το συμβόλαιο ΔΕΝ γίνεσαι ''νέος αγρότης''</t>
  </si>
  <si>
    <t>ΣΥΝΟΛΟ = 30 στρέματα</t>
  </si>
  <si>
    <t>ΣΥΝΟΛΟ = 30 στρέματα  … ΕΦΤΑΝΑΝ για ''νέος αγρότης'' ;;;;???</t>
  </si>
  <si>
    <t>1] οικόπεδο 43,01% = 163,81μ2 οικία ισόγειος 72μ2</t>
  </si>
  <si>
    <t>2] οικόπεδο 40,29% 153,41μ2 ΜΕ ισόγειο οικία {+ υπόγειο} = 57,01μ2</t>
  </si>
  <si>
    <t>3] οικόπεδο 16,70% ΜΕ αποθήκη 20,62μ2</t>
  </si>
  <si>
    <t>ΧΡΗΣΙΚΤΗΣΙΑ οικοπέδου ΄΄κάστρο'' 52,50μ2 = 1970 κυδωνηςΙωαννης ΔΩΡΕΑ άτυπη</t>
  </si>
  <si>
    <t>1 σε 2</t>
  </si>
  <si>
    <t>φόρος χρηγσικτησίας = 50,47</t>
  </si>
  <si>
    <t>περισσότερα</t>
  </si>
  <si>
    <t>φ5</t>
  </si>
  <si>
    <t>1ο</t>
  </si>
  <si>
    <t>1/2 εξ αδιαιρέτου με θείο</t>
  </si>
  <si>
    <t>2] αγροτεμάχιο ;;;??? Μαριές '';;;???'' = 120μ2</t>
  </si>
  <si>
    <t>3] αγροτεμάχιο ;;;??? Λιμενάρια '';;;???'' = 2,34στρ</t>
  </si>
  <si>
    <t>2ο</t>
  </si>
  <si>
    <t>1/2 εξ αδιαιρέτου με πατέρα</t>
  </si>
  <si>
    <t>3ο</t>
  </si>
  <si>
    <t>4ο</t>
  </si>
  <si>
    <t>6ο</t>
  </si>
  <si>
    <t>1] αγροτεμάχιο Λιμενάρια '';;;???'' 500μ2</t>
  </si>
  <si>
    <t>4] αγροτεμάχιο Λιμενάρια '';;;???''  500μ2</t>
  </si>
  <si>
    <t>5] αγροτεμάχιο Λιμενάρια '';;;???'' 2.000μ2</t>
  </si>
  <si>
    <t>6] αγροτεμάχιο Λιμενάρια '';;;???'' 4.000μ2</t>
  </si>
  <si>
    <t>7] αγροτεμάχιο Λιμενάρια '';;;???'' 500μ2</t>
  </si>
  <si>
    <t>8] αγροτεμάχιο Λιμενάρια '';;;???'' 3.000μ2</t>
  </si>
  <si>
    <t>9] αγροτεμάχιο Λιμενάρια '';;;???'' 7.000μ2</t>
  </si>
  <si>
    <t>10] αγροτεμάχιο Λιμενάρια '';;;???'' 3.000μ2</t>
  </si>
  <si>
    <t>11] αγροτεμάχιο Λιμενάρια '';;;???'' 2.500μ2</t>
  </si>
  <si>
    <t>12] αγροτεμάχιο Μαριές '';;;???'' 1.000μ2</t>
  </si>
  <si>
    <t>13] αγροτεμάχιο Λιμενάρια '';;;???'' 500μ2</t>
  </si>
  <si>
    <t>14] αγροτεμάχιο Λιμενάρια '';;;???'' 500μ2</t>
  </si>
  <si>
    <t>7ο</t>
  </si>
  <si>
    <t>8ο</t>
  </si>
  <si>
    <t>9ο</t>
  </si>
  <si>
    <t>5ο</t>
  </si>
  <si>
    <t>πατήρ</t>
  </si>
  <si>
    <t>παππούς</t>
  </si>
  <si>
    <t>θείος</t>
  </si>
  <si>
    <t>;;;???</t>
  </si>
  <si>
    <t>μήτηρ</t>
  </si>
  <si>
    <t>αδερφή</t>
  </si>
  <si>
    <t xml:space="preserve">219-104 </t>
  </si>
  <si>
    <t>3ο καθέτου συστάσεως  ΔΙΟΡΘΩΣΗ οικόπεδο Λιμενάρια 380,81μ2 ΜΕ</t>
  </si>
  <si>
    <t>διορθώσεις ΒΑΣΕΙ 7ου</t>
  </si>
  <si>
    <t>ποιο οικόπεδο ΛΕΕΙ στο 3ο ;;;???</t>
  </si>
  <si>
    <t>1ο -2ο = μεταγραφή ΧΡΕΩΣΗ σε τιμές έτους μεταγραφής</t>
  </si>
  <si>
    <t>5ο = ΛΑΘΟΣ = παράταση με γραπτή συναίνεση</t>
  </si>
  <si>
    <t>η '';;;???'' (από 1ο -2ο  = 2,34στρ που είναι ;;;;</t>
  </si>
  <si>
    <t>σημειώσεις {φάκελος 1ο -2ο -3ο} υπόλοιπο = 237,06</t>
  </si>
  <si>
    <t>9ο = ΛΑΘΟΣ ποσό πράξης = 700 ΒΑΣΕΙ του ΦΜΑ  της Δ.Ο.Υ.</t>
  </si>
  <si>
    <t>καθεστώς πληρωμής από ΑΓΑΠΕ</t>
  </si>
  <si>
    <t>καθεστώς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</si>
</sst>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0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color rgb="FFFF0000"/>
      <name val="Arial"/>
      <family val="2"/>
      <charset val="161"/>
    </font>
    <font>
      <sz val="9"/>
      <name val="Arial"/>
      <family val="2"/>
      <charset val="161"/>
    </font>
    <font>
      <sz val="10"/>
      <color rgb="FF000000"/>
      <name val="Arial"/>
      <family val="2"/>
      <charset val="161"/>
    </font>
  </fonts>
  <fills count="15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FF"/>
        <bgColor rgb="FF000000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1008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4" fillId="0" borderId="0" xfId="1" applyFont="1"/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43" fontId="29" fillId="6" borderId="9" xfId="1" applyFont="1" applyFill="1" applyBorder="1" applyAlignment="1">
      <alignment horizontal="center" vertical="center" wrapText="1"/>
    </xf>
    <xf numFmtId="43" fontId="31" fillId="0" borderId="0" xfId="1" applyFont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28" fillId="0" borderId="0" xfId="0" applyFont="1" applyFill="1" applyAlignment="1"/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/>
    <xf numFmtId="14" fontId="20" fillId="0" borderId="13" xfId="1" applyNumberFormat="1" applyFont="1" applyFill="1" applyBorder="1" applyAlignment="1">
      <alignment horizontal="right"/>
    </xf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0" fontId="43" fillId="0" borderId="0" xfId="0" applyFont="1" applyFill="1" applyAlignment="1">
      <alignment horizontal="left"/>
    </xf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Fill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21" fillId="12" borderId="14" xfId="1" applyNumberFormat="1" applyFont="1" applyFill="1" applyBorder="1"/>
    <xf numFmtId="164" fontId="33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0" fontId="42" fillId="12" borderId="14" xfId="0" applyFont="1" applyFill="1" applyBorder="1" applyAlignment="1">
      <alignment horizontal="center"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3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0" fontId="42" fillId="7" borderId="0" xfId="0" applyFont="1" applyFill="1" applyAlignment="1">
      <alignment horizontal="left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0" fontId="21" fillId="0" borderId="15" xfId="0" applyFont="1" applyFill="1" applyBorder="1"/>
    <xf numFmtId="43" fontId="20" fillId="0" borderId="10" xfId="1" applyFont="1" applyFill="1" applyBorder="1" applyAlignment="1">
      <alignment horizontal="center"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14" fontId="21" fillId="0" borderId="1" xfId="0" applyNumberFormat="1" applyFont="1" applyBorder="1"/>
    <xf numFmtId="14" fontId="18" fillId="0" borderId="1" xfId="1" applyNumberFormat="1" applyFont="1" applyFill="1" applyBorder="1" applyAlignment="1">
      <alignment horizontal="center" vertical="center"/>
    </xf>
    <xf numFmtId="0" fontId="21" fillId="0" borderId="14" xfId="1" applyNumberFormat="1" applyFont="1" applyFill="1" applyBorder="1" applyAlignment="1">
      <alignment horizontal="left" wrapText="1"/>
    </xf>
    <xf numFmtId="43" fontId="18" fillId="0" borderId="14" xfId="1" applyFont="1" applyFill="1" applyBorder="1"/>
    <xf numFmtId="164" fontId="18" fillId="0" borderId="14" xfId="1" applyNumberFormat="1" applyFont="1" applyFill="1" applyBorder="1"/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0" fontId="18" fillId="0" borderId="1" xfId="0" applyFont="1" applyFill="1" applyBorder="1" applyAlignment="1">
      <alignment horizontal="left"/>
    </xf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164" fontId="12" fillId="0" borderId="1" xfId="1" applyNumberFormat="1" applyFont="1" applyFill="1" applyBorder="1"/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42" fillId="0" borderId="1" xfId="1" applyFont="1" applyFill="1" applyBorder="1"/>
    <xf numFmtId="43" fontId="12" fillId="0" borderId="1" xfId="1" applyFont="1" applyFill="1" applyBorder="1"/>
    <xf numFmtId="164" fontId="11" fillId="0" borderId="1" xfId="1" applyNumberFormat="1" applyFont="1" applyFill="1" applyBorder="1"/>
    <xf numFmtId="43" fontId="42" fillId="0" borderId="14" xfId="1" applyFont="1" applyFill="1" applyBorder="1"/>
    <xf numFmtId="0" fontId="23" fillId="0" borderId="1" xfId="1" applyNumberFormat="1" applyFont="1" applyFill="1" applyBorder="1" applyAlignment="1">
      <alignment horizontal="left" vertical="center"/>
    </xf>
    <xf numFmtId="43" fontId="21" fillId="0" borderId="0" xfId="0" applyNumberFormat="1" applyFont="1" applyFill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0" fontId="18" fillId="0" borderId="14" xfId="0" applyFont="1" applyFill="1" applyBorder="1" applyAlignment="1">
      <alignment horizontal="left"/>
    </xf>
    <xf numFmtId="164" fontId="21" fillId="0" borderId="1" xfId="1" applyNumberFormat="1" applyFont="1" applyFill="1" applyBorder="1" applyAlignment="1">
      <alignment horizontal="center"/>
    </xf>
    <xf numFmtId="14" fontId="18" fillId="0" borderId="14" xfId="1" applyNumberFormat="1" applyFont="1" applyFill="1" applyBorder="1" applyAlignment="1">
      <alignment horizontal="center" vertical="center"/>
    </xf>
    <xf numFmtId="14" fontId="21" fillId="0" borderId="0" xfId="1" applyNumberFormat="1" applyFont="1"/>
    <xf numFmtId="164" fontId="20" fillId="0" borderId="14" xfId="1" applyNumberFormat="1" applyFont="1" applyBorder="1"/>
    <xf numFmtId="43" fontId="18" fillId="3" borderId="1" xfId="1" applyFont="1" applyFill="1" applyBorder="1"/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43" fontId="21" fillId="0" borderId="0" xfId="1" quotePrefix="1" applyFont="1"/>
    <xf numFmtId="164" fontId="24" fillId="0" borderId="0" xfId="1" applyNumberFormat="1" applyFont="1"/>
    <xf numFmtId="43" fontId="27" fillId="6" borderId="0" xfId="1" applyFont="1" applyFill="1" applyAlignment="1"/>
    <xf numFmtId="43" fontId="28" fillId="5" borderId="0" xfId="1" applyFont="1" applyFill="1" applyAlignment="1"/>
    <xf numFmtId="164" fontId="21" fillId="0" borderId="0" xfId="1" applyNumberFormat="1" applyFont="1" applyAlignment="1">
      <alignment horizontal="right"/>
    </xf>
    <xf numFmtId="43" fontId="21" fillId="0" borderId="0" xfId="1" applyFont="1" applyAlignment="1">
      <alignment horizontal="right"/>
    </xf>
    <xf numFmtId="43" fontId="42" fillId="7" borderId="0" xfId="1" applyFont="1" applyFill="1"/>
    <xf numFmtId="164" fontId="24" fillId="0" borderId="0" xfId="1" applyNumberFormat="1" applyFont="1" applyAlignment="1">
      <alignment horizontal="center"/>
    </xf>
    <xf numFmtId="164" fontId="27" fillId="6" borderId="0" xfId="1" applyNumberFormat="1" applyFont="1" applyFill="1" applyAlignment="1"/>
    <xf numFmtId="43" fontId="21" fillId="0" borderId="14" xfId="0" applyNumberFormat="1" applyFont="1" applyFill="1" applyBorder="1" applyAlignment="1">
      <alignment horizontal="center" wrapText="1"/>
    </xf>
    <xf numFmtId="43" fontId="21" fillId="12" borderId="14" xfId="1" applyFont="1" applyFill="1" applyBorder="1"/>
    <xf numFmtId="164" fontId="23" fillId="2" borderId="18" xfId="1" applyNumberFormat="1" applyFont="1" applyFill="1" applyBorder="1" applyAlignment="1">
      <alignment horizontal="center" vertical="center"/>
    </xf>
    <xf numFmtId="164" fontId="20" fillId="0" borderId="15" xfId="1" applyNumberFormat="1" applyFont="1" applyBorder="1" applyAlignment="1">
      <alignment horizontal="center" vertical="center" wrapText="1"/>
    </xf>
    <xf numFmtId="0" fontId="18" fillId="0" borderId="14" xfId="0" applyFont="1" applyFill="1" applyBorder="1"/>
    <xf numFmtId="43" fontId="21" fillId="0" borderId="14" xfId="1" applyFont="1" applyBorder="1"/>
    <xf numFmtId="14" fontId="21" fillId="0" borderId="14" xfId="0" applyNumberFormat="1" applyFont="1" applyBorder="1"/>
    <xf numFmtId="0" fontId="34" fillId="0" borderId="1" xfId="0" applyFont="1" applyBorder="1" applyAlignment="1">
      <alignment horizontal="center"/>
    </xf>
    <xf numFmtId="43" fontId="42" fillId="7" borderId="0" xfId="1" applyFont="1" applyFill="1" applyAlignment="1">
      <alignment horizontal="center"/>
    </xf>
    <xf numFmtId="10" fontId="18" fillId="0" borderId="0" xfId="1" applyNumberFormat="1" applyFont="1" applyAlignment="1">
      <alignment horizontal="right"/>
    </xf>
    <xf numFmtId="43" fontId="21" fillId="0" borderId="19" xfId="1" applyFont="1" applyFill="1" applyBorder="1" applyAlignment="1">
      <alignment horizontal="center" vertical="center" wrapText="1"/>
    </xf>
    <xf numFmtId="43" fontId="21" fillId="3" borderId="19" xfId="1" applyFont="1" applyFill="1" applyBorder="1" applyAlignment="1">
      <alignment horizontal="center" vertical="center" wrapText="1"/>
    </xf>
    <xf numFmtId="43" fontId="20" fillId="0" borderId="19" xfId="1" applyFont="1" applyFill="1" applyBorder="1" applyAlignment="1">
      <alignment horizontal="center" vertical="center" wrapText="1"/>
    </xf>
    <xf numFmtId="43" fontId="21" fillId="2" borderId="19" xfId="1" applyFont="1" applyFill="1" applyBorder="1" applyAlignment="1">
      <alignment vertical="center" wrapText="1"/>
    </xf>
    <xf numFmtId="164" fontId="20" fillId="7" borderId="15" xfId="1" applyNumberFormat="1" applyFont="1" applyFill="1" applyBorder="1" applyAlignment="1">
      <alignment horizontal="center" vertical="center" wrapText="1"/>
    </xf>
    <xf numFmtId="164" fontId="20" fillId="6" borderId="15" xfId="1" applyNumberFormat="1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left"/>
    </xf>
    <xf numFmtId="43" fontId="18" fillId="0" borderId="6" xfId="1" applyFont="1" applyFill="1" applyBorder="1"/>
    <xf numFmtId="164" fontId="23" fillId="0" borderId="6" xfId="1" applyNumberFormat="1" applyFont="1" applyFill="1" applyBorder="1" applyAlignment="1">
      <alignment horizontal="center" vertical="center"/>
    </xf>
    <xf numFmtId="164" fontId="21" fillId="0" borderId="6" xfId="1" applyNumberFormat="1" applyFont="1" applyFill="1" applyBorder="1"/>
    <xf numFmtId="43" fontId="18" fillId="0" borderId="6" xfId="1" applyFont="1" applyFill="1" applyBorder="1" applyAlignment="1">
      <alignment horizontal="right" vertical="center"/>
    </xf>
    <xf numFmtId="43" fontId="18" fillId="0" borderId="7" xfId="1" applyFont="1" applyFill="1" applyBorder="1" applyAlignment="1">
      <alignment horizontal="right" vertical="center"/>
    </xf>
    <xf numFmtId="164" fontId="21" fillId="0" borderId="9" xfId="1" applyNumberFormat="1" applyFont="1" applyFill="1" applyBorder="1"/>
    <xf numFmtId="164" fontId="23" fillId="8" borderId="2" xfId="1" applyNumberFormat="1" applyFont="1" applyFill="1" applyBorder="1" applyAlignment="1">
      <alignment horizontal="center" vertical="center"/>
    </xf>
    <xf numFmtId="0" fontId="18" fillId="0" borderId="0" xfId="0" applyFont="1" applyFill="1" applyBorder="1"/>
    <xf numFmtId="43" fontId="20" fillId="9" borderId="14" xfId="1" applyFont="1" applyFill="1" applyBorder="1"/>
    <xf numFmtId="0" fontId="21" fillId="0" borderId="21" xfId="1" applyNumberFormat="1" applyFont="1" applyFill="1" applyBorder="1" applyAlignment="1">
      <alignment horizontal="center" vertical="center" wrapText="1"/>
    </xf>
    <xf numFmtId="43" fontId="21" fillId="4" borderId="21" xfId="1" applyFont="1" applyFill="1" applyBorder="1" applyAlignment="1">
      <alignment horizontal="center" vertical="center" wrapText="1"/>
    </xf>
    <xf numFmtId="164" fontId="20" fillId="9" borderId="14" xfId="1" applyNumberFormat="1" applyFont="1" applyFill="1" applyBorder="1"/>
    <xf numFmtId="43" fontId="38" fillId="0" borderId="14" xfId="1" applyFont="1" applyFill="1" applyBorder="1" applyAlignment="1"/>
    <xf numFmtId="43" fontId="19" fillId="0" borderId="14" xfId="1" applyFont="1" applyFill="1" applyBorder="1" applyAlignment="1"/>
    <xf numFmtId="164" fontId="24" fillId="0" borderId="0" xfId="1" applyNumberFormat="1" applyFont="1" applyBorder="1" applyAlignment="1"/>
    <xf numFmtId="43" fontId="19" fillId="0" borderId="14" xfId="1" applyFont="1" applyBorder="1"/>
    <xf numFmtId="164" fontId="34" fillId="0" borderId="14" xfId="1" applyNumberFormat="1" applyFont="1" applyBorder="1" applyAlignment="1">
      <alignment horizontal="center" wrapText="1"/>
    </xf>
    <xf numFmtId="164" fontId="19" fillId="0" borderId="14" xfId="1" applyNumberFormat="1" applyFont="1" applyBorder="1" applyAlignment="1">
      <alignment horizontal="center" wrapText="1"/>
    </xf>
    <xf numFmtId="164" fontId="28" fillId="0" borderId="14" xfId="1" applyNumberFormat="1" applyFont="1" applyFill="1" applyBorder="1" applyAlignment="1"/>
    <xf numFmtId="0" fontId="18" fillId="0" borderId="6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center" wrapText="1"/>
    </xf>
    <xf numFmtId="43" fontId="18" fillId="0" borderId="1" xfId="1" applyFont="1" applyFill="1" applyBorder="1" applyAlignment="1">
      <alignment horizontal="center" wrapText="1"/>
    </xf>
    <xf numFmtId="0" fontId="18" fillId="0" borderId="14" xfId="0" applyFont="1" applyFill="1" applyBorder="1" applyAlignment="1">
      <alignment horizontal="center" wrapText="1"/>
    </xf>
    <xf numFmtId="43" fontId="18" fillId="0" borderId="14" xfId="0" applyNumberFormat="1" applyFont="1" applyFill="1" applyBorder="1" applyAlignment="1">
      <alignment horizontal="center" wrapText="1"/>
    </xf>
    <xf numFmtId="43" fontId="18" fillId="0" borderId="14" xfId="1" applyFont="1" applyFill="1" applyBorder="1" applyAlignment="1">
      <alignment horizontal="center" wrapText="1"/>
    </xf>
    <xf numFmtId="43" fontId="21" fillId="0" borderId="14" xfId="0" applyNumberFormat="1" applyFont="1" applyBorder="1"/>
    <xf numFmtId="43" fontId="20" fillId="0" borderId="24" xfId="1" applyFont="1" applyFill="1" applyBorder="1" applyAlignment="1">
      <alignment horizontal="right"/>
    </xf>
    <xf numFmtId="14" fontId="20" fillId="0" borderId="24" xfId="1" applyNumberFormat="1" applyFont="1" applyFill="1" applyBorder="1" applyAlignment="1">
      <alignment horizontal="right"/>
    </xf>
    <xf numFmtId="165" fontId="42" fillId="0" borderId="1" xfId="1" applyNumberFormat="1" applyFont="1" applyFill="1" applyBorder="1" applyAlignment="1">
      <alignment horizontal="center" wrapText="1"/>
    </xf>
    <xf numFmtId="43" fontId="47" fillId="0" borderId="0" xfId="1" applyFont="1" applyFill="1"/>
    <xf numFmtId="43" fontId="33" fillId="0" borderId="0" xfId="1" applyFont="1"/>
    <xf numFmtId="43" fontId="33" fillId="7" borderId="0" xfId="1" applyFont="1" applyFill="1"/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43" fontId="35" fillId="0" borderId="14" xfId="1" applyFont="1" applyFill="1" applyBorder="1"/>
    <xf numFmtId="0" fontId="35" fillId="0" borderId="0" xfId="0" applyFont="1" applyFill="1"/>
    <xf numFmtId="164" fontId="37" fillId="0" borderId="14" xfId="1" applyNumberFormat="1" applyFont="1" applyFill="1" applyBorder="1" applyAlignment="1"/>
    <xf numFmtId="43" fontId="37" fillId="0" borderId="14" xfId="1" applyFont="1" applyFill="1" applyBorder="1" applyAlignment="1"/>
    <xf numFmtId="0" fontId="26" fillId="0" borderId="14" xfId="0" applyFont="1" applyBorder="1" applyAlignment="1">
      <alignment horizontal="center" wrapText="1"/>
    </xf>
    <xf numFmtId="43" fontId="19" fillId="12" borderId="14" xfId="1" applyFont="1" applyFill="1" applyBorder="1" applyAlignment="1"/>
    <xf numFmtId="43" fontId="19" fillId="9" borderId="14" xfId="1" applyFont="1" applyFill="1" applyBorder="1" applyAlignment="1"/>
    <xf numFmtId="43" fontId="36" fillId="0" borderId="1" xfId="1" applyFont="1" applyFill="1" applyBorder="1" applyAlignment="1">
      <alignment horizontal="center" vertical="center"/>
    </xf>
    <xf numFmtId="43" fontId="18" fillId="0" borderId="1" xfId="0" applyNumberFormat="1" applyFont="1" applyFill="1" applyBorder="1" applyAlignment="1">
      <alignment horizontal="center" wrapText="1"/>
    </xf>
    <xf numFmtId="0" fontId="21" fillId="0" borderId="1" xfId="1" applyNumberFormat="1" applyFont="1" applyFill="1" applyBorder="1" applyAlignment="1">
      <alignment horizontal="left" wrapText="1"/>
    </xf>
    <xf numFmtId="164" fontId="21" fillId="0" borderId="1" xfId="1" applyNumberFormat="1" applyFont="1" applyFill="1" applyBorder="1" applyAlignment="1">
      <alignment wrapText="1"/>
    </xf>
    <xf numFmtId="43" fontId="35" fillId="0" borderId="1" xfId="1" applyFont="1" applyFill="1" applyBorder="1"/>
    <xf numFmtId="164" fontId="40" fillId="0" borderId="1" xfId="1" applyNumberFormat="1" applyFont="1" applyFill="1" applyBorder="1"/>
    <xf numFmtId="43" fontId="21" fillId="0" borderId="1" xfId="0" applyNumberFormat="1" applyFont="1" applyFill="1" applyBorder="1" applyAlignment="1">
      <alignment horizontal="center" wrapText="1"/>
    </xf>
    <xf numFmtId="164" fontId="42" fillId="0" borderId="1" xfId="1" applyNumberFormat="1" applyFont="1" applyFill="1" applyBorder="1" applyAlignment="1">
      <alignment horizontal="center" vertical="center" wrapText="1"/>
    </xf>
    <xf numFmtId="43" fontId="21" fillId="12" borderId="1" xfId="1" applyFont="1" applyFill="1" applyBorder="1"/>
    <xf numFmtId="164" fontId="21" fillId="12" borderId="1" xfId="1" applyNumberFormat="1" applyFont="1" applyFill="1" applyBorder="1"/>
    <xf numFmtId="0" fontId="18" fillId="0" borderId="1" xfId="0" applyFont="1" applyBorder="1" applyAlignment="1">
      <alignment horizontal="center"/>
    </xf>
    <xf numFmtId="0" fontId="34" fillId="0" borderId="0" xfId="0" applyFont="1" applyBorder="1" applyAlignment="1">
      <alignment horizontal="center"/>
    </xf>
    <xf numFmtId="0" fontId="21" fillId="0" borderId="0" xfId="0" applyFont="1" applyAlignment="1">
      <alignment horizontal="right"/>
    </xf>
    <xf numFmtId="164" fontId="23" fillId="8" borderId="18" xfId="1" applyNumberFormat="1" applyFont="1" applyFill="1" applyBorder="1" applyAlignment="1">
      <alignment horizontal="center" vertical="center"/>
    </xf>
    <xf numFmtId="164" fontId="23" fillId="2" borderId="8" xfId="1" applyNumberFormat="1" applyFont="1" applyFill="1" applyBorder="1" applyAlignment="1">
      <alignment horizontal="center" vertical="center"/>
    </xf>
    <xf numFmtId="14" fontId="18" fillId="0" borderId="9" xfId="1" applyNumberFormat="1" applyFont="1" applyFill="1" applyBorder="1" applyAlignment="1">
      <alignment horizontal="center" vertical="center"/>
    </xf>
    <xf numFmtId="0" fontId="18" fillId="0" borderId="9" xfId="0" applyFont="1" applyFill="1" applyBorder="1"/>
    <xf numFmtId="43" fontId="18" fillId="3" borderId="9" xfId="1" applyFont="1" applyFill="1" applyBorder="1"/>
    <xf numFmtId="164" fontId="36" fillId="2" borderId="2" xfId="1" applyNumberFormat="1" applyFont="1" applyFill="1" applyBorder="1" applyAlignment="1">
      <alignment horizontal="center" vertical="center"/>
    </xf>
    <xf numFmtId="164" fontId="36" fillId="2" borderId="1" xfId="1" applyNumberFormat="1" applyFont="1" applyFill="1" applyBorder="1" applyAlignment="1">
      <alignment horizontal="center" vertical="center"/>
    </xf>
    <xf numFmtId="0" fontId="36" fillId="0" borderId="14" xfId="1" applyNumberFormat="1" applyFont="1" applyFill="1" applyBorder="1" applyAlignment="1">
      <alignment horizontal="left" vertical="center"/>
    </xf>
    <xf numFmtId="43" fontId="36" fillId="0" borderId="14" xfId="1" applyFont="1" applyFill="1" applyBorder="1" applyAlignment="1">
      <alignment horizontal="center" vertical="center"/>
    </xf>
    <xf numFmtId="164" fontId="36" fillId="2" borderId="9" xfId="1" applyNumberFormat="1" applyFont="1" applyFill="1" applyBorder="1" applyAlignment="1">
      <alignment horizontal="center" vertical="center"/>
    </xf>
    <xf numFmtId="0" fontId="36" fillId="0" borderId="9" xfId="1" applyNumberFormat="1" applyFont="1" applyFill="1" applyBorder="1" applyAlignment="1">
      <alignment horizontal="left" vertical="center"/>
    </xf>
    <xf numFmtId="43" fontId="36" fillId="0" borderId="9" xfId="1" applyFont="1" applyFill="1" applyBorder="1" applyAlignment="1">
      <alignment horizontal="center" vertical="center"/>
    </xf>
    <xf numFmtId="164" fontId="12" fillId="0" borderId="14" xfId="1" applyNumberFormat="1" applyFont="1" applyFill="1" applyBorder="1"/>
    <xf numFmtId="43" fontId="17" fillId="0" borderId="14" xfId="1" applyFont="1" applyFill="1" applyBorder="1" applyAlignment="1">
      <alignment horizontal="right" vertical="center"/>
    </xf>
    <xf numFmtId="164" fontId="12" fillId="0" borderId="9" xfId="1" applyNumberFormat="1" applyFont="1" applyFill="1" applyBorder="1"/>
    <xf numFmtId="43" fontId="17" fillId="0" borderId="9" xfId="1" applyFont="1" applyFill="1" applyBorder="1" applyAlignment="1">
      <alignment horizontal="right" vertical="center"/>
    </xf>
    <xf numFmtId="43" fontId="12" fillId="0" borderId="9" xfId="1" applyFont="1" applyFill="1" applyBorder="1"/>
    <xf numFmtId="0" fontId="17" fillId="0" borderId="14" xfId="0" applyFont="1" applyFill="1" applyBorder="1" applyAlignment="1">
      <alignment horizontal="left"/>
    </xf>
    <xf numFmtId="164" fontId="11" fillId="0" borderId="14" xfId="1" applyNumberFormat="1" applyFont="1" applyFill="1" applyBorder="1"/>
    <xf numFmtId="164" fontId="17" fillId="0" borderId="14" xfId="1" applyNumberFormat="1" applyFont="1" applyFill="1" applyBorder="1"/>
    <xf numFmtId="0" fontId="41" fillId="0" borderId="14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left"/>
    </xf>
    <xf numFmtId="164" fontId="11" fillId="0" borderId="9" xfId="1" applyNumberFormat="1" applyFont="1" applyFill="1" applyBorder="1"/>
    <xf numFmtId="164" fontId="17" fillId="0" borderId="9" xfId="1" applyNumberFormat="1" applyFont="1" applyFill="1" applyBorder="1"/>
    <xf numFmtId="164" fontId="17" fillId="0" borderId="9" xfId="1" applyNumberFormat="1" applyFont="1" applyFill="1" applyBorder="1" applyAlignment="1">
      <alignment horizontal="right" vertical="center"/>
    </xf>
    <xf numFmtId="0" fontId="41" fillId="0" borderId="9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164" fontId="23" fillId="2" borderId="5" xfId="1" applyNumberFormat="1" applyFont="1" applyFill="1" applyBorder="1" applyAlignment="1">
      <alignment horizontal="center" vertical="center"/>
    </xf>
    <xf numFmtId="164" fontId="23" fillId="2" borderId="1" xfId="1" applyNumberFormat="1" applyFont="1" applyFill="1" applyBorder="1" applyAlignment="1">
      <alignment horizontal="center" vertical="center"/>
    </xf>
    <xf numFmtId="164" fontId="23" fillId="0" borderId="14" xfId="1" applyNumberFormat="1" applyFont="1" applyFill="1" applyBorder="1" applyAlignment="1">
      <alignment horizontal="center" vertical="center"/>
    </xf>
    <xf numFmtId="164" fontId="23" fillId="2" borderId="9" xfId="1" applyNumberFormat="1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left"/>
    </xf>
    <xf numFmtId="43" fontId="18" fillId="0" borderId="9" xfId="1" applyFont="1" applyFill="1" applyBorder="1"/>
    <xf numFmtId="164" fontId="23" fillId="0" borderId="9" xfId="1" applyNumberFormat="1" applyFont="1" applyFill="1" applyBorder="1" applyAlignment="1">
      <alignment horizontal="center" vertical="center"/>
    </xf>
    <xf numFmtId="43" fontId="18" fillId="0" borderId="9" xfId="1" applyFont="1" applyFill="1" applyBorder="1" applyAlignment="1">
      <alignment horizontal="right" vertical="center"/>
    </xf>
    <xf numFmtId="164" fontId="36" fillId="8" borderId="14" xfId="1" applyNumberFormat="1" applyFont="1" applyFill="1" applyBorder="1" applyAlignment="1">
      <alignment horizontal="center" vertical="center"/>
    </xf>
    <xf numFmtId="164" fontId="36" fillId="8" borderId="1" xfId="1" applyNumberFormat="1" applyFont="1" applyFill="1" applyBorder="1" applyAlignment="1">
      <alignment horizontal="center" vertical="center"/>
    </xf>
    <xf numFmtId="164" fontId="36" fillId="8" borderId="9" xfId="1" applyNumberFormat="1" applyFont="1" applyFill="1" applyBorder="1" applyAlignment="1">
      <alignment horizontal="center" vertical="center"/>
    </xf>
    <xf numFmtId="164" fontId="23" fillId="8" borderId="8" xfId="1" applyNumberFormat="1" applyFont="1" applyFill="1" applyBorder="1" applyAlignment="1">
      <alignment horizontal="center" vertical="center"/>
    </xf>
    <xf numFmtId="164" fontId="23" fillId="8" borderId="14" xfId="1" applyNumberFormat="1" applyFont="1" applyFill="1" applyBorder="1" applyAlignment="1">
      <alignment horizontal="center" vertical="center"/>
    </xf>
    <xf numFmtId="164" fontId="23" fillId="8" borderId="1" xfId="1" applyNumberFormat="1" applyFont="1" applyFill="1" applyBorder="1" applyAlignment="1">
      <alignment horizontal="center" vertical="center"/>
    </xf>
    <xf numFmtId="164" fontId="23" fillId="8" borderId="9" xfId="1" applyNumberFormat="1" applyFont="1" applyFill="1" applyBorder="1" applyAlignment="1">
      <alignment horizontal="center" vertical="center"/>
    </xf>
    <xf numFmtId="43" fontId="21" fillId="4" borderId="1" xfId="1" applyFont="1" applyFill="1" applyBorder="1"/>
    <xf numFmtId="164" fontId="23" fillId="0" borderId="35" xfId="1" applyNumberFormat="1" applyFont="1" applyFill="1" applyBorder="1" applyAlignment="1">
      <alignment horizontal="center" vertical="center"/>
    </xf>
    <xf numFmtId="14" fontId="18" fillId="0" borderId="35" xfId="1" applyNumberFormat="1" applyFont="1" applyFill="1" applyBorder="1" applyAlignment="1">
      <alignment horizontal="center" vertical="center"/>
    </xf>
    <xf numFmtId="0" fontId="18" fillId="0" borderId="35" xfId="0" applyFont="1" applyFill="1" applyBorder="1"/>
    <xf numFmtId="43" fontId="18" fillId="0" borderId="35" xfId="1" applyFont="1" applyFill="1" applyBorder="1"/>
    <xf numFmtId="43" fontId="18" fillId="0" borderId="35" xfId="1" applyFont="1" applyFill="1" applyBorder="1" applyAlignment="1">
      <alignment horizontal="right" vertical="center"/>
    </xf>
    <xf numFmtId="164" fontId="36" fillId="0" borderId="35" xfId="1" applyNumberFormat="1" applyFont="1" applyFill="1" applyBorder="1" applyAlignment="1">
      <alignment horizontal="center" vertical="center"/>
    </xf>
    <xf numFmtId="0" fontId="36" fillId="0" borderId="35" xfId="1" applyNumberFormat="1" applyFont="1" applyFill="1" applyBorder="1" applyAlignment="1">
      <alignment horizontal="left" vertical="center"/>
    </xf>
    <xf numFmtId="43" fontId="36" fillId="0" borderId="35" xfId="1" applyFont="1" applyFill="1" applyBorder="1" applyAlignment="1">
      <alignment horizontal="center" vertical="center"/>
    </xf>
    <xf numFmtId="164" fontId="12" fillId="0" borderId="35" xfId="1" applyNumberFormat="1" applyFont="1" applyFill="1" applyBorder="1"/>
    <xf numFmtId="43" fontId="17" fillId="0" borderId="35" xfId="1" applyFont="1" applyFill="1" applyBorder="1" applyAlignment="1">
      <alignment horizontal="right" vertical="center"/>
    </xf>
    <xf numFmtId="0" fontId="17" fillId="0" borderId="35" xfId="0" applyFont="1" applyFill="1" applyBorder="1" applyAlignment="1">
      <alignment horizontal="left"/>
    </xf>
    <xf numFmtId="164" fontId="11" fillId="0" borderId="35" xfId="1" applyNumberFormat="1" applyFont="1" applyFill="1" applyBorder="1"/>
    <xf numFmtId="164" fontId="21" fillId="0" borderId="35" xfId="1" applyNumberFormat="1" applyFont="1" applyFill="1" applyBorder="1"/>
    <xf numFmtId="164" fontId="17" fillId="0" borderId="35" xfId="1" applyNumberFormat="1" applyFont="1" applyFill="1" applyBorder="1"/>
    <xf numFmtId="164" fontId="17" fillId="0" borderId="35" xfId="1" applyNumberFormat="1" applyFont="1" applyFill="1" applyBorder="1" applyAlignment="1">
      <alignment horizontal="right" vertical="center"/>
    </xf>
    <xf numFmtId="0" fontId="41" fillId="0" borderId="35" xfId="0" applyFont="1" applyFill="1" applyBorder="1" applyAlignment="1">
      <alignment horizontal="center" wrapText="1"/>
    </xf>
    <xf numFmtId="0" fontId="11" fillId="0" borderId="35" xfId="0" applyFont="1" applyFill="1" applyBorder="1" applyAlignment="1">
      <alignment horizontal="center" wrapText="1"/>
    </xf>
    <xf numFmtId="0" fontId="18" fillId="0" borderId="35" xfId="0" applyFont="1" applyFill="1" applyBorder="1" applyAlignment="1">
      <alignment horizontal="left"/>
    </xf>
    <xf numFmtId="43" fontId="21" fillId="4" borderId="0" xfId="1" applyFont="1" applyFill="1"/>
    <xf numFmtId="43" fontId="21" fillId="5" borderId="0" xfId="1" applyFont="1" applyFill="1"/>
    <xf numFmtId="0" fontId="42" fillId="0" borderId="0" xfId="0" applyFont="1" applyBorder="1"/>
    <xf numFmtId="0" fontId="42" fillId="6" borderId="0" xfId="0" applyFont="1" applyFill="1" applyBorder="1"/>
    <xf numFmtId="0" fontId="42" fillId="0" borderId="14" xfId="0" applyFont="1" applyFill="1" applyBorder="1"/>
    <xf numFmtId="0" fontId="21" fillId="0" borderId="14" xfId="0" applyFont="1" applyFill="1" applyBorder="1"/>
    <xf numFmtId="43" fontId="18" fillId="0" borderId="10" xfId="1" applyFont="1" applyFill="1" applyBorder="1" applyAlignment="1">
      <alignment horizontal="right" vertical="center"/>
    </xf>
    <xf numFmtId="43" fontId="21" fillId="0" borderId="10" xfId="1" applyFont="1" applyFill="1" applyBorder="1"/>
    <xf numFmtId="43" fontId="21" fillId="0" borderId="9" xfId="1" applyFont="1" applyFill="1" applyBorder="1"/>
    <xf numFmtId="43" fontId="42" fillId="0" borderId="9" xfId="1" applyFont="1" applyFill="1" applyBorder="1"/>
    <xf numFmtId="0" fontId="42" fillId="0" borderId="9" xfId="0" applyFont="1" applyFill="1" applyBorder="1"/>
    <xf numFmtId="0" fontId="21" fillId="0" borderId="9" xfId="0" applyFont="1" applyFill="1" applyBorder="1"/>
    <xf numFmtId="0" fontId="21" fillId="0" borderId="14" xfId="0" applyFont="1" applyBorder="1"/>
    <xf numFmtId="43" fontId="21" fillId="0" borderId="9" xfId="1" applyFont="1" applyBorder="1"/>
    <xf numFmtId="43" fontId="21" fillId="4" borderId="9" xfId="1" applyFont="1" applyFill="1" applyBorder="1"/>
    <xf numFmtId="14" fontId="21" fillId="0" borderId="9" xfId="0" applyNumberFormat="1" applyFont="1" applyBorder="1"/>
    <xf numFmtId="43" fontId="21" fillId="2" borderId="9" xfId="1" applyFont="1" applyFill="1" applyBorder="1"/>
    <xf numFmtId="0" fontId="42" fillId="0" borderId="9" xfId="0" applyFont="1" applyBorder="1"/>
    <xf numFmtId="0" fontId="42" fillId="0" borderId="14" xfId="0" applyFont="1" applyFill="1" applyBorder="1" applyAlignment="1">
      <alignment horizontal="center" wrapText="1"/>
    </xf>
    <xf numFmtId="0" fontId="21" fillId="0" borderId="14" xfId="0" applyFont="1" applyFill="1" applyBorder="1" applyAlignment="1">
      <alignment horizontal="center" wrapText="1"/>
    </xf>
    <xf numFmtId="0" fontId="42" fillId="0" borderId="9" xfId="0" applyFont="1" applyFill="1" applyBorder="1" applyAlignment="1">
      <alignment horizontal="center" wrapText="1"/>
    </xf>
    <xf numFmtId="0" fontId="21" fillId="0" borderId="9" xfId="0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wrapText="1"/>
    </xf>
    <xf numFmtId="14" fontId="21" fillId="0" borderId="14" xfId="0" applyNumberFormat="1" applyFont="1" applyFill="1" applyBorder="1"/>
    <xf numFmtId="165" fontId="21" fillId="0" borderId="14" xfId="1" applyNumberFormat="1" applyFont="1" applyFill="1" applyBorder="1" applyAlignment="1">
      <alignment wrapText="1"/>
    </xf>
    <xf numFmtId="0" fontId="21" fillId="0" borderId="9" xfId="1" applyNumberFormat="1" applyFont="1" applyFill="1" applyBorder="1" applyAlignment="1">
      <alignment horizontal="left" wrapText="1"/>
    </xf>
    <xf numFmtId="164" fontId="18" fillId="0" borderId="9" xfId="1" applyNumberFormat="1" applyFont="1" applyFill="1" applyBorder="1"/>
    <xf numFmtId="164" fontId="42" fillId="0" borderId="9" xfId="1" applyNumberFormat="1" applyFont="1" applyFill="1" applyBorder="1"/>
    <xf numFmtId="14" fontId="21" fillId="0" borderId="9" xfId="0" applyNumberFormat="1" applyFont="1" applyFill="1" applyBorder="1"/>
    <xf numFmtId="165" fontId="21" fillId="0" borderId="9" xfId="1" applyNumberFormat="1" applyFont="1" applyFill="1" applyBorder="1" applyAlignment="1">
      <alignment wrapText="1"/>
    </xf>
    <xf numFmtId="43" fontId="18" fillId="0" borderId="15" xfId="1" applyFont="1" applyFill="1" applyBorder="1"/>
    <xf numFmtId="43" fontId="18" fillId="0" borderId="10" xfId="1" applyFont="1" applyFill="1" applyBorder="1"/>
    <xf numFmtId="0" fontId="40" fillId="0" borderId="14" xfId="0" applyFont="1" applyFill="1" applyBorder="1" applyAlignment="1">
      <alignment horizontal="left"/>
    </xf>
    <xf numFmtId="0" fontId="40" fillId="0" borderId="9" xfId="0" applyFont="1" applyFill="1" applyBorder="1" applyAlignment="1">
      <alignment horizontal="left"/>
    </xf>
    <xf numFmtId="164" fontId="40" fillId="0" borderId="9" xfId="1" applyNumberFormat="1" applyFont="1" applyFill="1" applyBorder="1"/>
    <xf numFmtId="43" fontId="35" fillId="0" borderId="9" xfId="1" applyFont="1" applyFill="1" applyBorder="1"/>
    <xf numFmtId="164" fontId="35" fillId="4" borderId="9" xfId="1" applyNumberFormat="1" applyFont="1" applyFill="1" applyBorder="1"/>
    <xf numFmtId="0" fontId="12" fillId="0" borderId="14" xfId="0" applyFont="1" applyFill="1" applyBorder="1" applyAlignment="1">
      <alignment horizontal="center" wrapText="1"/>
    </xf>
    <xf numFmtId="164" fontId="9" fillId="0" borderId="14" xfId="1" applyNumberFormat="1" applyFont="1" applyFill="1" applyBorder="1" applyAlignment="1">
      <alignment horizontal="center" wrapText="1"/>
    </xf>
    <xf numFmtId="0" fontId="8" fillId="0" borderId="14" xfId="0" applyFont="1" applyFill="1" applyBorder="1" applyAlignment="1">
      <alignment horizontal="center" wrapText="1"/>
    </xf>
    <xf numFmtId="0" fontId="12" fillId="0" borderId="9" xfId="0" applyFont="1" applyFill="1" applyBorder="1" applyAlignment="1">
      <alignment horizontal="center" wrapText="1"/>
    </xf>
    <xf numFmtId="164" fontId="9" fillId="0" borderId="9" xfId="1" applyNumberFormat="1" applyFont="1" applyFill="1" applyBorder="1" applyAlignment="1">
      <alignment horizontal="center" wrapText="1"/>
    </xf>
    <xf numFmtId="0" fontId="8" fillId="0" borderId="9" xfId="0" applyFont="1" applyFill="1" applyBorder="1" applyAlignment="1">
      <alignment horizontal="center" wrapText="1"/>
    </xf>
    <xf numFmtId="0" fontId="23" fillId="0" borderId="14" xfId="1" applyNumberFormat="1" applyFont="1" applyFill="1" applyBorder="1" applyAlignment="1">
      <alignment horizontal="left" vertical="center"/>
    </xf>
    <xf numFmtId="164" fontId="21" fillId="0" borderId="14" xfId="1" applyNumberFormat="1" applyFont="1" applyFill="1" applyBorder="1" applyAlignment="1">
      <alignment horizontal="center" wrapText="1"/>
    </xf>
    <xf numFmtId="0" fontId="23" fillId="0" borderId="9" xfId="1" applyNumberFormat="1" applyFont="1" applyFill="1" applyBorder="1" applyAlignment="1">
      <alignment horizontal="left" vertical="center"/>
    </xf>
    <xf numFmtId="43" fontId="18" fillId="0" borderId="9" xfId="1" applyFont="1" applyFill="1" applyBorder="1" applyAlignment="1">
      <alignment horizontal="center" wrapText="1"/>
    </xf>
    <xf numFmtId="43" fontId="21" fillId="0" borderId="9" xfId="1" applyFont="1" applyFill="1" applyBorder="1" applyAlignment="1">
      <alignment horizontal="center" wrapText="1"/>
    </xf>
    <xf numFmtId="164" fontId="21" fillId="0" borderId="9" xfId="1" applyNumberFormat="1" applyFont="1" applyFill="1" applyBorder="1" applyAlignment="1">
      <alignment horizontal="center" wrapText="1"/>
    </xf>
    <xf numFmtId="0" fontId="18" fillId="0" borderId="9" xfId="0" applyFont="1" applyFill="1" applyBorder="1" applyAlignment="1">
      <alignment horizontal="center" wrapText="1"/>
    </xf>
    <xf numFmtId="43" fontId="18" fillId="0" borderId="9" xfId="0" applyNumberFormat="1" applyFont="1" applyFill="1" applyBorder="1" applyAlignment="1">
      <alignment horizontal="center" wrapText="1"/>
    </xf>
    <xf numFmtId="43" fontId="23" fillId="0" borderId="14" xfId="1" applyFont="1" applyFill="1" applyBorder="1" applyAlignment="1">
      <alignment horizontal="right" vertical="center"/>
    </xf>
    <xf numFmtId="43" fontId="23" fillId="0" borderId="9" xfId="1" applyFont="1" applyFill="1" applyBorder="1" applyAlignment="1">
      <alignment horizontal="right" vertical="center"/>
    </xf>
    <xf numFmtId="164" fontId="42" fillId="0" borderId="9" xfId="1" applyNumberFormat="1" applyFont="1" applyFill="1" applyBorder="1" applyAlignment="1">
      <alignment horizontal="center" vertical="center" wrapText="1"/>
    </xf>
    <xf numFmtId="43" fontId="21" fillId="12" borderId="9" xfId="1" applyFont="1" applyFill="1" applyBorder="1"/>
    <xf numFmtId="164" fontId="21" fillId="12" borderId="9" xfId="1" applyNumberFormat="1" applyFont="1" applyFill="1" applyBorder="1"/>
    <xf numFmtId="164" fontId="23" fillId="2" borderId="2" xfId="1" applyNumberFormat="1" applyFont="1" applyFill="1" applyBorder="1" applyAlignment="1">
      <alignment horizontal="center" vertical="center"/>
    </xf>
    <xf numFmtId="164" fontId="21" fillId="2" borderId="1" xfId="1" applyNumberFormat="1" applyFont="1" applyFill="1" applyBorder="1"/>
    <xf numFmtId="164" fontId="21" fillId="2" borderId="9" xfId="1" applyNumberFormat="1" applyFont="1" applyFill="1" applyBorder="1"/>
    <xf numFmtId="43" fontId="21" fillId="4" borderId="14" xfId="1" applyFont="1" applyFill="1" applyBorder="1"/>
    <xf numFmtId="164" fontId="21" fillId="8" borderId="14" xfId="1" applyNumberFormat="1" applyFont="1" applyFill="1" applyBorder="1"/>
    <xf numFmtId="164" fontId="21" fillId="8" borderId="1" xfId="1" applyNumberFormat="1" applyFont="1" applyFill="1" applyBorder="1"/>
    <xf numFmtId="43" fontId="21" fillId="2" borderId="14" xfId="1" applyFont="1" applyFill="1" applyBorder="1"/>
    <xf numFmtId="164" fontId="21" fillId="8" borderId="9" xfId="1" applyNumberFormat="1" applyFont="1" applyFill="1" applyBorder="1"/>
    <xf numFmtId="164" fontId="23" fillId="0" borderId="10" xfId="1" applyNumberFormat="1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left"/>
    </xf>
    <xf numFmtId="0" fontId="23" fillId="0" borderId="10" xfId="1" applyNumberFormat="1" applyFont="1" applyFill="1" applyBorder="1" applyAlignment="1">
      <alignment horizontal="left" vertical="center"/>
    </xf>
    <xf numFmtId="43" fontId="23" fillId="0" borderId="10" xfId="1" applyFont="1" applyFill="1" applyBorder="1" applyAlignment="1">
      <alignment horizontal="right" vertical="center"/>
    </xf>
    <xf numFmtId="0" fontId="23" fillId="0" borderId="35" xfId="1" applyNumberFormat="1" applyFont="1" applyFill="1" applyBorder="1" applyAlignment="1">
      <alignment horizontal="left" vertical="center"/>
    </xf>
    <xf numFmtId="43" fontId="23" fillId="0" borderId="35" xfId="1" applyFont="1" applyFill="1" applyBorder="1" applyAlignment="1">
      <alignment horizontal="right" vertical="center"/>
    </xf>
    <xf numFmtId="43" fontId="21" fillId="0" borderId="35" xfId="1" applyFont="1" applyFill="1" applyBorder="1"/>
    <xf numFmtId="164" fontId="21" fillId="0" borderId="10" xfId="1" applyNumberFormat="1" applyFont="1" applyFill="1" applyBorder="1"/>
    <xf numFmtId="0" fontId="21" fillId="0" borderId="10" xfId="0" applyFont="1" applyFill="1" applyBorder="1"/>
    <xf numFmtId="0" fontId="21" fillId="4" borderId="10" xfId="0" applyFont="1" applyFill="1" applyBorder="1"/>
    <xf numFmtId="43" fontId="42" fillId="0" borderId="10" xfId="1" applyFont="1" applyFill="1" applyBorder="1"/>
    <xf numFmtId="0" fontId="42" fillId="0" borderId="10" xfId="0" applyFont="1" applyFill="1" applyBorder="1"/>
    <xf numFmtId="43" fontId="42" fillId="0" borderId="35" xfId="1" applyFont="1" applyFill="1" applyBorder="1"/>
    <xf numFmtId="0" fontId="42" fillId="0" borderId="35" xfId="0" applyFont="1" applyFill="1" applyBorder="1"/>
    <xf numFmtId="0" fontId="42" fillId="0" borderId="10" xfId="0" applyFont="1" applyFill="1" applyBorder="1" applyAlignment="1">
      <alignment horizontal="center" wrapText="1"/>
    </xf>
    <xf numFmtId="0" fontId="42" fillId="0" borderId="35" xfId="0" applyFont="1" applyFill="1" applyBorder="1" applyAlignment="1">
      <alignment horizontal="center" wrapText="1"/>
    </xf>
    <xf numFmtId="0" fontId="12" fillId="0" borderId="35" xfId="0" applyFont="1" applyFill="1" applyBorder="1" applyAlignment="1">
      <alignment horizontal="center" wrapText="1"/>
    </xf>
    <xf numFmtId="0" fontId="18" fillId="0" borderId="10" xfId="0" applyFont="1" applyFill="1" applyBorder="1" applyAlignment="1">
      <alignment horizontal="center" wrapText="1"/>
    </xf>
    <xf numFmtId="43" fontId="18" fillId="0" borderId="10" xfId="1" applyFont="1" applyFill="1" applyBorder="1" applyAlignment="1">
      <alignment horizontal="center" wrapText="1"/>
    </xf>
    <xf numFmtId="0" fontId="18" fillId="0" borderId="35" xfId="0" applyFont="1" applyFill="1" applyBorder="1" applyAlignment="1">
      <alignment horizontal="center" wrapText="1"/>
    </xf>
    <xf numFmtId="0" fontId="42" fillId="12" borderId="10" xfId="0" applyFont="1" applyFill="1" applyBorder="1" applyAlignment="1">
      <alignment horizontal="center" wrapText="1"/>
    </xf>
    <xf numFmtId="0" fontId="18" fillId="12" borderId="14" xfId="0" applyFont="1" applyFill="1" applyBorder="1" applyAlignment="1">
      <alignment horizontal="center" wrapText="1"/>
    </xf>
    <xf numFmtId="0" fontId="18" fillId="12" borderId="1" xfId="0" applyFont="1" applyFill="1" applyBorder="1" applyAlignment="1">
      <alignment horizontal="center" wrapText="1"/>
    </xf>
    <xf numFmtId="0" fontId="18" fillId="12" borderId="9" xfId="0" applyFont="1" applyFill="1" applyBorder="1" applyAlignment="1">
      <alignment horizontal="center" wrapText="1"/>
    </xf>
    <xf numFmtId="0" fontId="18" fillId="12" borderId="35" xfId="0" applyFont="1" applyFill="1" applyBorder="1" applyAlignment="1">
      <alignment horizontal="center" wrapText="1"/>
    </xf>
    <xf numFmtId="43" fontId="18" fillId="0" borderId="10" xfId="0" applyNumberFormat="1" applyFont="1" applyFill="1" applyBorder="1" applyAlignment="1">
      <alignment horizontal="center" wrapText="1"/>
    </xf>
    <xf numFmtId="43" fontId="18" fillId="0" borderId="35" xfId="0" applyNumberFormat="1" applyFont="1" applyFill="1" applyBorder="1" applyAlignment="1">
      <alignment horizontal="center" wrapText="1"/>
    </xf>
    <xf numFmtId="43" fontId="18" fillId="0" borderId="35" xfId="1" applyFont="1" applyFill="1" applyBorder="1" applyAlignment="1">
      <alignment horizontal="center" wrapText="1"/>
    </xf>
    <xf numFmtId="164" fontId="21" fillId="2" borderId="1" xfId="1" applyNumberFormat="1" applyFont="1" applyFill="1" applyBorder="1" applyAlignment="1">
      <alignment wrapText="1"/>
    </xf>
    <xf numFmtId="164" fontId="21" fillId="2" borderId="9" xfId="1" applyNumberFormat="1" applyFont="1" applyFill="1" applyBorder="1" applyAlignment="1">
      <alignment wrapText="1"/>
    </xf>
    <xf numFmtId="164" fontId="18" fillId="0" borderId="0" xfId="1" applyNumberFormat="1" applyFont="1" applyBorder="1" applyAlignment="1">
      <alignment horizontal="right"/>
    </xf>
    <xf numFmtId="164" fontId="21" fillId="8" borderId="14" xfId="1" applyNumberFormat="1" applyFont="1" applyFill="1" applyBorder="1" applyAlignment="1">
      <alignment wrapText="1"/>
    </xf>
    <xf numFmtId="164" fontId="21" fillId="8" borderId="1" xfId="1" applyNumberFormat="1" applyFont="1" applyFill="1" applyBorder="1" applyAlignment="1">
      <alignment wrapText="1"/>
    </xf>
    <xf numFmtId="164" fontId="21" fillId="8" borderId="9" xfId="1" applyNumberFormat="1" applyFont="1" applyFill="1" applyBorder="1" applyAlignment="1">
      <alignment wrapText="1"/>
    </xf>
    <xf numFmtId="164" fontId="21" fillId="0" borderId="10" xfId="1" applyNumberFormat="1" applyFont="1" applyFill="1" applyBorder="1" applyAlignment="1">
      <alignment wrapText="1"/>
    </xf>
    <xf numFmtId="0" fontId="21" fillId="0" borderId="10" xfId="1" applyNumberFormat="1" applyFont="1" applyFill="1" applyBorder="1" applyAlignment="1">
      <alignment horizontal="left" wrapText="1"/>
    </xf>
    <xf numFmtId="164" fontId="18" fillId="0" borderId="10" xfId="1" applyNumberFormat="1" applyFont="1" applyFill="1" applyBorder="1"/>
    <xf numFmtId="164" fontId="42" fillId="0" borderId="10" xfId="1" applyNumberFormat="1" applyFont="1" applyFill="1" applyBorder="1"/>
    <xf numFmtId="164" fontId="21" fillId="0" borderId="35" xfId="1" applyNumberFormat="1" applyFont="1" applyFill="1" applyBorder="1" applyAlignment="1">
      <alignment wrapText="1"/>
    </xf>
    <xf numFmtId="0" fontId="21" fillId="0" borderId="35" xfId="1" applyNumberFormat="1" applyFont="1" applyFill="1" applyBorder="1" applyAlignment="1">
      <alignment horizontal="left" wrapText="1"/>
    </xf>
    <xf numFmtId="164" fontId="18" fillId="0" borderId="35" xfId="1" applyNumberFormat="1" applyFont="1" applyFill="1" applyBorder="1"/>
    <xf numFmtId="164" fontId="42" fillId="0" borderId="35" xfId="1" applyNumberFormat="1" applyFont="1" applyFill="1" applyBorder="1"/>
    <xf numFmtId="164" fontId="35" fillId="4" borderId="15" xfId="1" applyNumberFormat="1" applyFont="1" applyFill="1" applyBorder="1"/>
    <xf numFmtId="164" fontId="35" fillId="4" borderId="10" xfId="1" applyNumberFormat="1" applyFont="1" applyFill="1" applyBorder="1"/>
    <xf numFmtId="164" fontId="35" fillId="4" borderId="1" xfId="1" applyNumberFormat="1" applyFont="1" applyFill="1" applyBorder="1"/>
    <xf numFmtId="164" fontId="39" fillId="8" borderId="1" xfId="1" applyNumberFormat="1" applyFont="1" applyFill="1" applyBorder="1" applyAlignment="1">
      <alignment horizontal="center" vertical="center"/>
    </xf>
    <xf numFmtId="164" fontId="39" fillId="2" borderId="2" xfId="1" applyNumberFormat="1" applyFont="1" applyFill="1" applyBorder="1" applyAlignment="1">
      <alignment horizontal="center" vertical="center"/>
    </xf>
    <xf numFmtId="164" fontId="39" fillId="2" borderId="1" xfId="1" applyNumberFormat="1" applyFont="1" applyFill="1" applyBorder="1" applyAlignment="1">
      <alignment horizontal="center" vertical="center"/>
    </xf>
    <xf numFmtId="164" fontId="39" fillId="8" borderId="14" xfId="1" applyNumberFormat="1" applyFont="1" applyFill="1" applyBorder="1" applyAlignment="1">
      <alignment horizontal="center" vertical="center"/>
    </xf>
    <xf numFmtId="164" fontId="35" fillId="4" borderId="14" xfId="1" applyNumberFormat="1" applyFont="1" applyFill="1" applyBorder="1"/>
    <xf numFmtId="164" fontId="39" fillId="2" borderId="9" xfId="1" applyNumberFormat="1" applyFont="1" applyFill="1" applyBorder="1" applyAlignment="1">
      <alignment horizontal="center" vertical="center"/>
    </xf>
    <xf numFmtId="164" fontId="39" fillId="8" borderId="9" xfId="1" applyNumberFormat="1" applyFont="1" applyFill="1" applyBorder="1" applyAlignment="1">
      <alignment horizontal="center" vertical="center"/>
    </xf>
    <xf numFmtId="164" fontId="39" fillId="0" borderId="10" xfId="1" applyNumberFormat="1" applyFont="1" applyFill="1" applyBorder="1" applyAlignment="1">
      <alignment horizontal="center" vertical="center"/>
    </xf>
    <xf numFmtId="0" fontId="40" fillId="0" borderId="10" xfId="0" applyFont="1" applyFill="1" applyBorder="1" applyAlignment="1">
      <alignment horizontal="left"/>
    </xf>
    <xf numFmtId="164" fontId="40" fillId="0" borderId="10" xfId="1" applyNumberFormat="1" applyFont="1" applyFill="1" applyBorder="1"/>
    <xf numFmtId="164" fontId="40" fillId="4" borderId="10" xfId="1" applyNumberFormat="1" applyFont="1" applyFill="1" applyBorder="1" applyAlignment="1">
      <alignment horizontal="center" vertical="center"/>
    </xf>
    <xf numFmtId="43" fontId="35" fillId="0" borderId="10" xfId="1" applyFont="1" applyFill="1" applyBorder="1"/>
    <xf numFmtId="164" fontId="39" fillId="0" borderId="35" xfId="1" applyNumberFormat="1" applyFont="1" applyFill="1" applyBorder="1" applyAlignment="1">
      <alignment horizontal="center" vertical="center"/>
    </xf>
    <xf numFmtId="0" fontId="40" fillId="0" borderId="35" xfId="0" applyFont="1" applyFill="1" applyBorder="1" applyAlignment="1">
      <alignment horizontal="left"/>
    </xf>
    <xf numFmtId="164" fontId="40" fillId="0" borderId="35" xfId="1" applyNumberFormat="1" applyFont="1" applyFill="1" applyBorder="1"/>
    <xf numFmtId="164" fontId="35" fillId="4" borderId="35" xfId="1" applyNumberFormat="1" applyFont="1" applyFill="1" applyBorder="1"/>
    <xf numFmtId="43" fontId="35" fillId="0" borderId="35" xfId="1" applyFont="1" applyFill="1" applyBorder="1"/>
    <xf numFmtId="0" fontId="21" fillId="0" borderId="35" xfId="0" applyFont="1" applyFill="1" applyBorder="1"/>
    <xf numFmtId="164" fontId="36" fillId="0" borderId="10" xfId="1" applyNumberFormat="1" applyFont="1" applyFill="1" applyBorder="1" applyAlignment="1">
      <alignment horizontal="center" vertical="center"/>
    </xf>
    <xf numFmtId="0" fontId="36" fillId="0" borderId="10" xfId="1" applyNumberFormat="1" applyFont="1" applyFill="1" applyBorder="1" applyAlignment="1">
      <alignment horizontal="left" vertical="center"/>
    </xf>
    <xf numFmtId="43" fontId="17" fillId="0" borderId="10" xfId="1" applyFont="1" applyFill="1" applyBorder="1" applyAlignment="1">
      <alignment horizontal="right" vertical="center"/>
    </xf>
    <xf numFmtId="164" fontId="17" fillId="0" borderId="10" xfId="1" applyNumberFormat="1" applyFont="1" applyFill="1" applyBorder="1" applyAlignment="1">
      <alignment horizontal="right" vertical="center"/>
    </xf>
    <xf numFmtId="0" fontId="12" fillId="0" borderId="10" xfId="0" applyFont="1" applyFill="1" applyBorder="1" applyAlignment="1">
      <alignment horizontal="center" wrapText="1"/>
    </xf>
    <xf numFmtId="164" fontId="9" fillId="0" borderId="10" xfId="1" applyNumberFormat="1" applyFont="1" applyFill="1" applyBorder="1" applyAlignment="1">
      <alignment horizontal="center" wrapText="1"/>
    </xf>
    <xf numFmtId="0" fontId="8" fillId="0" borderId="10" xfId="0" applyFont="1" applyFill="1" applyBorder="1" applyAlignment="1">
      <alignment horizontal="center" wrapText="1"/>
    </xf>
    <xf numFmtId="164" fontId="9" fillId="0" borderId="35" xfId="1" applyNumberFormat="1" applyFont="1" applyFill="1" applyBorder="1" applyAlignment="1">
      <alignment horizontal="center" wrapText="1"/>
    </xf>
    <xf numFmtId="0" fontId="8" fillId="0" borderId="35" xfId="0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wrapText="1"/>
    </xf>
    <xf numFmtId="43" fontId="21" fillId="0" borderId="35" xfId="1" applyFont="1" applyFill="1" applyBorder="1" applyAlignment="1">
      <alignment horizontal="center" wrapText="1"/>
    </xf>
    <xf numFmtId="164" fontId="21" fillId="0" borderId="10" xfId="1" applyNumberFormat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 wrapText="1"/>
    </xf>
    <xf numFmtId="0" fontId="21" fillId="0" borderId="10" xfId="0" applyFont="1" applyFill="1" applyBorder="1" applyAlignment="1">
      <alignment horizontal="center" wrapText="1"/>
    </xf>
    <xf numFmtId="164" fontId="21" fillId="0" borderId="35" xfId="1" applyNumberFormat="1" applyFont="1" applyFill="1" applyBorder="1" applyAlignment="1">
      <alignment horizontal="center" wrapText="1"/>
    </xf>
    <xf numFmtId="0" fontId="21" fillId="0" borderId="35" xfId="0" applyFont="1" applyFill="1" applyBorder="1" applyAlignment="1">
      <alignment horizontal="center" wrapText="1"/>
    </xf>
    <xf numFmtId="43" fontId="21" fillId="0" borderId="9" xfId="0" applyNumberFormat="1" applyFont="1" applyFill="1" applyBorder="1" applyAlignment="1">
      <alignment horizontal="center" wrapText="1"/>
    </xf>
    <xf numFmtId="43" fontId="21" fillId="0" borderId="10" xfId="0" applyNumberFormat="1" applyFont="1" applyFill="1" applyBorder="1" applyAlignment="1">
      <alignment horizontal="center" wrapText="1"/>
    </xf>
    <xf numFmtId="164" fontId="42" fillId="0" borderId="10" xfId="1" applyNumberFormat="1" applyFont="1" applyFill="1" applyBorder="1" applyAlignment="1">
      <alignment horizontal="center" vertical="center" wrapText="1"/>
    </xf>
    <xf numFmtId="43" fontId="21" fillId="12" borderId="10" xfId="1" applyFont="1" applyFill="1" applyBorder="1"/>
    <xf numFmtId="43" fontId="21" fillId="6" borderId="10" xfId="1" applyFont="1" applyFill="1" applyBorder="1"/>
    <xf numFmtId="164" fontId="21" fillId="12" borderId="10" xfId="1" applyNumberFormat="1" applyFont="1" applyFill="1" applyBorder="1"/>
    <xf numFmtId="164" fontId="21" fillId="0" borderId="14" xfId="1" applyNumberFormat="1" applyFont="1" applyFill="1" applyBorder="1" applyAlignment="1">
      <alignment horizontal="center"/>
    </xf>
    <xf numFmtId="164" fontId="21" fillId="0" borderId="9" xfId="1" applyNumberFormat="1" applyFont="1" applyFill="1" applyBorder="1" applyAlignment="1">
      <alignment horizontal="center"/>
    </xf>
    <xf numFmtId="14" fontId="21" fillId="0" borderId="35" xfId="0" applyNumberFormat="1" applyFont="1" applyFill="1" applyBorder="1"/>
    <xf numFmtId="164" fontId="21" fillId="0" borderId="35" xfId="1" applyNumberFormat="1" applyFont="1" applyFill="1" applyBorder="1" applyAlignment="1">
      <alignment horizontal="center"/>
    </xf>
    <xf numFmtId="14" fontId="21" fillId="0" borderId="10" xfId="0" applyNumberFormat="1" applyFont="1" applyFill="1" applyBorder="1"/>
    <xf numFmtId="164" fontId="21" fillId="0" borderId="10" xfId="1" applyNumberFormat="1" applyFont="1" applyFill="1" applyBorder="1" applyAlignment="1">
      <alignment horizontal="center"/>
    </xf>
    <xf numFmtId="0" fontId="42" fillId="0" borderId="0" xfId="0" applyFont="1" applyFill="1" applyBorder="1" applyAlignment="1">
      <alignment horizontal="left"/>
    </xf>
    <xf numFmtId="0" fontId="42" fillId="0" borderId="0" xfId="0" applyFont="1" applyFill="1" applyBorder="1" applyAlignment="1">
      <alignment horizontal="right"/>
    </xf>
    <xf numFmtId="0" fontId="18" fillId="0" borderId="0" xfId="0" applyFont="1" applyFill="1" applyBorder="1" applyAlignment="1">
      <alignment horizontal="right"/>
    </xf>
    <xf numFmtId="0" fontId="21" fillId="0" borderId="35" xfId="0" applyFont="1" applyBorder="1"/>
    <xf numFmtId="43" fontId="21" fillId="0" borderId="35" xfId="1" applyFont="1" applyBorder="1"/>
    <xf numFmtId="14" fontId="21" fillId="12" borderId="35" xfId="0" applyNumberFormat="1" applyFont="1" applyFill="1" applyBorder="1"/>
    <xf numFmtId="0" fontId="21" fillId="12" borderId="35" xfId="0" applyFont="1" applyFill="1" applyBorder="1"/>
    <xf numFmtId="0" fontId="42" fillId="13" borderId="14" xfId="0" applyFont="1" applyFill="1" applyBorder="1"/>
    <xf numFmtId="0" fontId="43" fillId="0" borderId="14" xfId="0" applyFont="1" applyFill="1" applyBorder="1" applyAlignment="1">
      <alignment horizontal="center"/>
    </xf>
    <xf numFmtId="0" fontId="42" fillId="13" borderId="14" xfId="0" applyFont="1" applyFill="1" applyBorder="1" applyAlignment="1">
      <alignment horizontal="left"/>
    </xf>
    <xf numFmtId="0" fontId="42" fillId="0" borderId="14" xfId="0" applyFont="1" applyFill="1" applyBorder="1" applyAlignment="1">
      <alignment horizontal="left"/>
    </xf>
    <xf numFmtId="0" fontId="42" fillId="0" borderId="35" xfId="0" applyFont="1" applyFill="1" applyBorder="1" applyAlignment="1">
      <alignment horizontal="left"/>
    </xf>
    <xf numFmtId="165" fontId="42" fillId="0" borderId="14" xfId="1" applyNumberFormat="1" applyFont="1" applyFill="1" applyBorder="1" applyAlignment="1">
      <alignment horizontal="center" wrapText="1"/>
    </xf>
    <xf numFmtId="165" fontId="42" fillId="0" borderId="9" xfId="1" applyNumberFormat="1" applyFont="1" applyFill="1" applyBorder="1" applyAlignment="1">
      <alignment horizontal="center" wrapText="1"/>
    </xf>
    <xf numFmtId="165" fontId="42" fillId="0" borderId="10" xfId="1" applyNumberFormat="1" applyFont="1" applyFill="1" applyBorder="1" applyAlignment="1">
      <alignment horizontal="center" wrapText="1"/>
    </xf>
    <xf numFmtId="164" fontId="42" fillId="0" borderId="35" xfId="1" applyNumberFormat="1" applyFont="1" applyFill="1" applyBorder="1" applyAlignment="1">
      <alignment horizontal="center" vertical="center" wrapText="1"/>
    </xf>
    <xf numFmtId="43" fontId="21" fillId="12" borderId="35" xfId="1" applyFont="1" applyFill="1" applyBorder="1"/>
    <xf numFmtId="164" fontId="21" fillId="12" borderId="35" xfId="1" applyNumberFormat="1" applyFont="1" applyFill="1" applyBorder="1"/>
    <xf numFmtId="164" fontId="36" fillId="2" borderId="14" xfId="1" applyNumberFormat="1" applyFont="1" applyFill="1" applyBorder="1" applyAlignment="1">
      <alignment horizontal="center" vertical="center"/>
    </xf>
    <xf numFmtId="164" fontId="23" fillId="2" borderId="14" xfId="1" applyNumberFormat="1" applyFont="1" applyFill="1" applyBorder="1" applyAlignment="1">
      <alignment horizontal="center" vertical="center"/>
    </xf>
    <xf numFmtId="164" fontId="21" fillId="2" borderId="14" xfId="1" applyNumberFormat="1" applyFont="1" applyFill="1" applyBorder="1"/>
    <xf numFmtId="43" fontId="21" fillId="0" borderId="6" xfId="1" applyFont="1" applyFill="1" applyBorder="1"/>
    <xf numFmtId="0" fontId="42" fillId="0" borderId="0" xfId="0" applyFont="1" applyAlignment="1">
      <alignment horizontal="right"/>
    </xf>
    <xf numFmtId="0" fontId="34" fillId="0" borderId="9" xfId="0" applyFont="1" applyBorder="1" applyAlignment="1">
      <alignment horizontal="center"/>
    </xf>
    <xf numFmtId="164" fontId="21" fillId="2" borderId="14" xfId="1" applyNumberFormat="1" applyFont="1" applyFill="1" applyBorder="1" applyAlignment="1">
      <alignment wrapText="1"/>
    </xf>
    <xf numFmtId="164" fontId="36" fillId="2" borderId="10" xfId="1" applyNumberFormat="1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left"/>
    </xf>
    <xf numFmtId="164" fontId="11" fillId="0" borderId="10" xfId="1" applyNumberFormat="1" applyFont="1" applyFill="1" applyBorder="1"/>
    <xf numFmtId="164" fontId="17" fillId="0" borderId="10" xfId="1" applyNumberFormat="1" applyFont="1" applyFill="1" applyBorder="1"/>
    <xf numFmtId="0" fontId="41" fillId="0" borderId="10" xfId="0" applyFont="1" applyFill="1" applyBorder="1" applyAlignment="1">
      <alignment horizontal="center" wrapText="1"/>
    </xf>
    <xf numFmtId="0" fontId="18" fillId="12" borderId="10" xfId="0" applyFont="1" applyFill="1" applyBorder="1" applyAlignment="1">
      <alignment horizontal="center" wrapText="1"/>
    </xf>
    <xf numFmtId="164" fontId="23" fillId="2" borderId="10" xfId="1" applyNumberFormat="1" applyFont="1" applyFill="1" applyBorder="1" applyAlignment="1">
      <alignment horizontal="center" vertical="center"/>
    </xf>
    <xf numFmtId="43" fontId="18" fillId="5" borderId="14" xfId="1" applyFont="1" applyFill="1" applyBorder="1"/>
    <xf numFmtId="43" fontId="18" fillId="5" borderId="1" xfId="1" applyFont="1" applyFill="1" applyBorder="1"/>
    <xf numFmtId="43" fontId="18" fillId="5" borderId="9" xfId="1" applyFont="1" applyFill="1" applyBorder="1"/>
    <xf numFmtId="164" fontId="39" fillId="2" borderId="14" xfId="1" applyNumberFormat="1" applyFont="1" applyFill="1" applyBorder="1" applyAlignment="1">
      <alignment horizontal="center" vertical="center"/>
    </xf>
    <xf numFmtId="43" fontId="21" fillId="3" borderId="14" xfId="1" applyFont="1" applyFill="1" applyBorder="1" applyAlignment="1">
      <alignment horizontal="center"/>
    </xf>
    <xf numFmtId="43" fontId="21" fillId="3" borderId="9" xfId="1" applyFont="1" applyFill="1" applyBorder="1" applyAlignment="1">
      <alignment horizontal="center"/>
    </xf>
    <xf numFmtId="0" fontId="18" fillId="0" borderId="14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43" fontId="42" fillId="7" borderId="0" xfId="1" applyFont="1" applyFill="1" applyAlignment="1">
      <alignment horizontal="center"/>
    </xf>
    <xf numFmtId="14" fontId="18" fillId="0" borderId="14" xfId="0" applyNumberFormat="1" applyFont="1" applyBorder="1" applyAlignment="1">
      <alignment horizontal="center"/>
    </xf>
    <xf numFmtId="14" fontId="18" fillId="0" borderId="35" xfId="0" applyNumberFormat="1" applyFont="1" applyBorder="1" applyAlignment="1">
      <alignment horizontal="center"/>
    </xf>
    <xf numFmtId="43" fontId="43" fillId="0" borderId="0" xfId="1" applyFont="1" applyAlignment="1">
      <alignment horizontal="right"/>
    </xf>
    <xf numFmtId="164" fontId="1" fillId="0" borderId="35" xfId="1" applyNumberFormat="1" applyFont="1" applyFill="1" applyBorder="1"/>
    <xf numFmtId="43" fontId="42" fillId="7" borderId="0" xfId="1" applyFont="1" applyFill="1" applyAlignment="1"/>
    <xf numFmtId="14" fontId="18" fillId="0" borderId="1" xfId="0" applyNumberFormat="1" applyFont="1" applyBorder="1" applyAlignment="1">
      <alignment horizontal="center"/>
    </xf>
    <xf numFmtId="14" fontId="18" fillId="0" borderId="10" xfId="1" applyNumberFormat="1" applyFont="1" applyFill="1" applyBorder="1" applyAlignment="1">
      <alignment horizontal="center" vertical="center"/>
    </xf>
    <xf numFmtId="0" fontId="18" fillId="0" borderId="10" xfId="0" applyFont="1" applyBorder="1" applyAlignment="1">
      <alignment horizontal="center"/>
    </xf>
    <xf numFmtId="0" fontId="18" fillId="0" borderId="35" xfId="0" applyFont="1" applyBorder="1" applyAlignment="1">
      <alignment horizontal="center"/>
    </xf>
    <xf numFmtId="0" fontId="43" fillId="0" borderId="35" xfId="0" applyFont="1" applyFill="1" applyBorder="1" applyAlignment="1">
      <alignment horizontal="center" wrapText="1"/>
    </xf>
    <xf numFmtId="43" fontId="17" fillId="6" borderId="35" xfId="1" applyFont="1" applyFill="1" applyBorder="1" applyAlignment="1">
      <alignment horizontal="right" vertical="center"/>
    </xf>
    <xf numFmtId="0" fontId="48" fillId="0" borderId="9" xfId="0" applyFont="1" applyFill="1" applyBorder="1" applyAlignment="1">
      <alignment horizontal="left"/>
    </xf>
    <xf numFmtId="43" fontId="21" fillId="0" borderId="35" xfId="0" applyNumberFormat="1" applyFont="1" applyFill="1" applyBorder="1" applyAlignment="1">
      <alignment horizontal="center" wrapText="1"/>
    </xf>
    <xf numFmtId="43" fontId="42" fillId="7" borderId="0" xfId="1" applyFont="1" applyFill="1" applyAlignment="1">
      <alignment horizontal="center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34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9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164" fontId="21" fillId="2" borderId="22" xfId="1" applyNumberFormat="1" applyFont="1" applyFill="1" applyBorder="1" applyAlignment="1">
      <alignment horizontal="right"/>
    </xf>
    <xf numFmtId="164" fontId="21" fillId="2" borderId="23" xfId="1" applyNumberFormat="1" applyFont="1" applyFill="1" applyBorder="1" applyAlignment="1">
      <alignment horizontal="right"/>
    </xf>
    <xf numFmtId="164" fontId="21" fillId="2" borderId="24" xfId="1" applyNumberFormat="1" applyFont="1" applyFill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22" xfId="0" applyFont="1" applyFill="1" applyBorder="1" applyAlignment="1">
      <alignment horizontal="right"/>
    </xf>
    <xf numFmtId="0" fontId="28" fillId="2" borderId="23" xfId="0" applyFont="1" applyFill="1" applyBorder="1" applyAlignment="1">
      <alignment horizontal="right"/>
    </xf>
    <xf numFmtId="0" fontId="28" fillId="2" borderId="24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164" fontId="26" fillId="0" borderId="34" xfId="1" applyNumberFormat="1" applyFont="1" applyBorder="1" applyAlignment="1">
      <alignment horizontal="center" vertical="center" wrapText="1"/>
    </xf>
    <xf numFmtId="0" fontId="26" fillId="0" borderId="19" xfId="0" applyFont="1" applyFill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9" xfId="0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9" xfId="0" applyFont="1" applyFill="1" applyBorder="1" applyAlignment="1">
      <alignment horizontal="center" vertical="center" wrapText="1"/>
    </xf>
    <xf numFmtId="0" fontId="19" fillId="2" borderId="24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164" fontId="20" fillId="0" borderId="8" xfId="1" applyNumberFormat="1" applyFont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right"/>
    </xf>
    <xf numFmtId="43" fontId="20" fillId="2" borderId="23" xfId="1" applyFont="1" applyFill="1" applyBorder="1" applyAlignment="1">
      <alignment horizontal="right"/>
    </xf>
    <xf numFmtId="43" fontId="20" fillId="2" borderId="24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 wrapText="1"/>
    </xf>
    <xf numFmtId="0" fontId="45" fillId="0" borderId="10" xfId="0" applyFont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4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164" fontId="34" fillId="7" borderId="0" xfId="1" applyNumberFormat="1" applyFont="1" applyFill="1" applyAlignment="1">
      <alignment horizontal="center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43" fontId="26" fillId="5" borderId="15" xfId="1" applyFont="1" applyFill="1" applyBorder="1" applyAlignment="1">
      <alignment horizontal="center" vertical="center" wrapText="1"/>
    </xf>
    <xf numFmtId="43" fontId="26" fillId="5" borderId="10" xfId="1" applyFont="1" applyFill="1" applyBorder="1" applyAlignment="1">
      <alignment horizontal="center" vertical="center" wrapText="1"/>
    </xf>
    <xf numFmtId="43" fontId="20" fillId="5" borderId="28" xfId="1" applyFont="1" applyFill="1" applyBorder="1" applyAlignment="1">
      <alignment horizontal="center" vertical="center" wrapText="1"/>
    </xf>
    <xf numFmtId="43" fontId="20" fillId="5" borderId="30" xfId="1" applyFont="1" applyFill="1" applyBorder="1" applyAlignment="1">
      <alignment horizontal="center" vertical="center" wrapText="1"/>
    </xf>
    <xf numFmtId="164" fontId="49" fillId="14" borderId="3" xfId="1" applyNumberFormat="1" applyFont="1" applyFill="1" applyBorder="1" applyAlignment="1">
      <alignment horizontal="center" vertical="center" wrapText="1"/>
    </xf>
    <xf numFmtId="164" fontId="49" fillId="14" borderId="12" xfId="1" applyNumberFormat="1" applyFont="1" applyFill="1" applyBorder="1" applyAlignment="1">
      <alignment horizontal="center" vertical="center" wrapText="1"/>
    </xf>
    <xf numFmtId="164" fontId="49" fillId="14" borderId="13" xfId="1" applyNumberFormat="1" applyFont="1" applyFill="1" applyBorder="1" applyAlignment="1">
      <alignment horizontal="center" vertical="center" wrapText="1"/>
    </xf>
    <xf numFmtId="164" fontId="49" fillId="0" borderId="10" xfId="1" applyNumberFormat="1" applyFont="1" applyFill="1" applyBorder="1" applyAlignment="1">
      <alignment horizontal="center" vertical="center" wrapText="1"/>
    </xf>
    <xf numFmtId="164" fontId="49" fillId="14" borderId="10" xfId="1" applyNumberFormat="1" applyFont="1" applyFill="1" applyBorder="1" applyAlignment="1">
      <alignment horizontal="center" vertical="center" wrapText="1"/>
    </xf>
    <xf numFmtId="14" fontId="21" fillId="0" borderId="14" xfId="1" applyNumberFormat="1" applyFont="1" applyFill="1" applyBorder="1"/>
    <xf numFmtId="14" fontId="21" fillId="0" borderId="10" xfId="1" applyNumberFormat="1" applyFont="1" applyFill="1" applyBorder="1"/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154"/>
  <sheetViews>
    <sheetView tabSelected="1" workbookViewId="0">
      <pane ySplit="2" topLeftCell="A3" activePane="bottomLeft" state="frozen"/>
      <selection pane="bottomLeft" activeCell="A27" sqref="A27"/>
    </sheetView>
  </sheetViews>
  <sheetFormatPr defaultRowHeight="11.25"/>
  <cols>
    <col min="1" max="1" width="7.28515625" style="7" bestFit="1" customWidth="1"/>
    <col min="2" max="2" width="9" style="349" customWidth="1"/>
    <col min="3" max="3" width="68" style="3" bestFit="1" customWidth="1"/>
    <col min="4" max="4" width="11.140625" style="2" customWidth="1"/>
    <col min="5" max="6" width="11.140625" style="2" bestFit="1" customWidth="1"/>
    <col min="7" max="7" width="9.140625" style="2" bestFit="1" customWidth="1"/>
    <col min="8" max="8" width="8.7109375" style="2" bestFit="1" customWidth="1"/>
    <col min="9" max="9" width="12.42578125" style="2" bestFit="1" customWidth="1"/>
    <col min="10" max="10" width="11.140625" style="2" bestFit="1" customWidth="1"/>
    <col min="11" max="11" width="11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7" style="3" customWidth="1"/>
    <col min="17" max="18" width="9.85546875" style="3" customWidth="1"/>
    <col min="19" max="19" width="5.85546875" style="3" customWidth="1"/>
    <col min="20" max="20" width="7.5703125" style="3" customWidth="1"/>
    <col min="21" max="21" width="5.85546875" style="3" customWidth="1"/>
    <col min="22" max="24" width="8" style="3" customWidth="1"/>
    <col min="25" max="25" width="31.5703125" style="3" bestFit="1" customWidth="1"/>
    <col min="26" max="26" width="32.85546875" style="3" bestFit="1" customWidth="1"/>
    <col min="27" max="27" width="12" style="3" bestFit="1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715" t="s">
        <v>1</v>
      </c>
      <c r="B1" s="717" t="s">
        <v>2</v>
      </c>
      <c r="C1" s="719" t="s">
        <v>0</v>
      </c>
      <c r="D1" s="721" t="s">
        <v>62</v>
      </c>
      <c r="E1" s="711" t="s">
        <v>82</v>
      </c>
      <c r="F1" s="712"/>
      <c r="G1" s="712"/>
      <c r="H1" s="712"/>
      <c r="I1" s="712"/>
      <c r="J1" s="712"/>
      <c r="K1" s="712"/>
      <c r="L1" s="725" t="s">
        <v>365</v>
      </c>
      <c r="M1" s="725"/>
      <c r="N1" s="723" t="s">
        <v>510</v>
      </c>
      <c r="O1" s="724"/>
      <c r="P1" s="708" t="s">
        <v>29</v>
      </c>
      <c r="Q1" s="709"/>
      <c r="R1" s="709"/>
      <c r="S1" s="709"/>
      <c r="T1" s="709"/>
      <c r="U1" s="709"/>
      <c r="V1" s="709"/>
      <c r="W1" s="709"/>
      <c r="X1" s="709"/>
      <c r="Y1" s="709"/>
      <c r="Z1" s="709"/>
      <c r="AA1" s="710"/>
    </row>
    <row r="2" spans="1:27" ht="12" thickBot="1">
      <c r="A2" s="716"/>
      <c r="B2" s="718"/>
      <c r="C2" s="720"/>
      <c r="D2" s="722"/>
      <c r="E2" s="375" t="s">
        <v>91</v>
      </c>
      <c r="F2" s="375" t="s">
        <v>3</v>
      </c>
      <c r="G2" s="375" t="s">
        <v>142</v>
      </c>
      <c r="H2" s="375" t="s">
        <v>92</v>
      </c>
      <c r="I2" s="375" t="s">
        <v>93</v>
      </c>
      <c r="J2" s="375" t="s">
        <v>94</v>
      </c>
      <c r="K2" s="376" t="s">
        <v>140</v>
      </c>
      <c r="L2" s="377" t="s">
        <v>23</v>
      </c>
      <c r="M2" s="378" t="s">
        <v>68</v>
      </c>
      <c r="N2" s="132" t="s">
        <v>23</v>
      </c>
      <c r="O2" s="93" t="s">
        <v>141</v>
      </c>
      <c r="P2" s="140">
        <v>1</v>
      </c>
      <c r="Q2" s="140" t="s">
        <v>220</v>
      </c>
      <c r="R2" s="140" t="s">
        <v>221</v>
      </c>
      <c r="S2" s="140" t="s">
        <v>222</v>
      </c>
      <c r="T2" s="140" t="s">
        <v>223</v>
      </c>
      <c r="U2" s="140" t="s">
        <v>376</v>
      </c>
      <c r="V2" s="140" t="s">
        <v>377</v>
      </c>
      <c r="W2" s="140" t="s">
        <v>378</v>
      </c>
      <c r="X2" s="140" t="s">
        <v>379</v>
      </c>
      <c r="Y2" s="140"/>
      <c r="Z2" s="140"/>
      <c r="AA2" s="141"/>
    </row>
    <row r="3" spans="1:27" s="5" customFormat="1">
      <c r="A3" s="367" t="s">
        <v>617</v>
      </c>
      <c r="B3" s="348">
        <v>37581</v>
      </c>
      <c r="C3" s="369" t="s">
        <v>543</v>
      </c>
      <c r="D3" s="311"/>
      <c r="E3" s="312">
        <f>'2-δικαιώμ'!M3</f>
        <v>26.121500000000001</v>
      </c>
      <c r="F3" s="312">
        <f>'3-φύλλα2α'!F3</f>
        <v>4.7</v>
      </c>
      <c r="G3" s="312">
        <f>'4-πολλυπρ'!P3</f>
        <v>0</v>
      </c>
      <c r="H3" s="311">
        <f>'5-αντίγρ'!M3</f>
        <v>17.248199999999997</v>
      </c>
      <c r="I3" s="311">
        <f>'6-μεταγρ'!H3</f>
        <v>6.46</v>
      </c>
      <c r="J3" s="311">
        <f>'7-προςΔΟΥ'!E3</f>
        <v>6.46</v>
      </c>
      <c r="K3" s="311"/>
      <c r="L3" s="312">
        <f t="shared" ref="L3" si="0">E3+F3+G3+H3+I3+J3+K3</f>
        <v>60.989699999999999</v>
      </c>
      <c r="M3" s="312">
        <v>56.36</v>
      </c>
      <c r="N3" s="314">
        <f>M3-P3-'8-κ-15-17'!AF3-'14-βιβλΕσ'!L3</f>
        <v>51</v>
      </c>
      <c r="O3" s="314">
        <f t="shared" ref="O3" si="1">L3-N3</f>
        <v>9.9896999999999991</v>
      </c>
      <c r="P3" s="337"/>
      <c r="Q3" s="315"/>
      <c r="R3" s="315"/>
      <c r="S3" s="315"/>
      <c r="T3" s="315"/>
      <c r="U3" s="315"/>
      <c r="V3" s="315"/>
      <c r="W3" s="315"/>
      <c r="X3" s="315"/>
      <c r="Y3" s="315"/>
      <c r="Z3" s="71"/>
      <c r="AA3" s="71"/>
    </row>
    <row r="4" spans="1:27" s="5" customFormat="1">
      <c r="A4" s="367"/>
      <c r="B4" s="348"/>
      <c r="C4" s="369" t="s">
        <v>553</v>
      </c>
      <c r="D4" s="351">
        <v>1111.1099999999999</v>
      </c>
      <c r="E4" s="312">
        <f>'2-δικαιώμ'!M4</f>
        <v>22.917021999999999</v>
      </c>
      <c r="F4" s="312">
        <f>'3-φύλλα2α'!F4</f>
        <v>5.86</v>
      </c>
      <c r="G4" s="312">
        <f>'4-πολλυπρ'!P4</f>
        <v>0</v>
      </c>
      <c r="H4" s="311">
        <f>'5-αντίγρ'!M4</f>
        <v>0</v>
      </c>
      <c r="I4" s="311">
        <f>'6-μεταγρ'!H4</f>
        <v>6.46</v>
      </c>
      <c r="J4" s="311">
        <f>'7-προςΔΟΥ'!E4</f>
        <v>6.46</v>
      </c>
      <c r="K4" s="311"/>
      <c r="L4" s="312">
        <f t="shared" ref="L4" si="2">E4+F4+G4+H4+I4+J4+K4</f>
        <v>41.697021999999997</v>
      </c>
      <c r="M4" s="312"/>
      <c r="N4" s="314"/>
      <c r="O4" s="323">
        <f t="shared" ref="O4" si="3">L4-N4</f>
        <v>41.697021999999997</v>
      </c>
      <c r="P4" s="337"/>
      <c r="Q4" s="315"/>
      <c r="R4" s="315"/>
      <c r="S4" s="315"/>
      <c r="T4" s="315"/>
      <c r="U4" s="315"/>
      <c r="V4" s="315"/>
      <c r="W4" s="315"/>
      <c r="X4" s="315"/>
      <c r="Y4" s="315"/>
      <c r="Z4" s="71"/>
      <c r="AA4" s="71"/>
    </row>
    <row r="5" spans="1:27" s="5" customFormat="1">
      <c r="A5" s="367"/>
      <c r="B5" s="348"/>
      <c r="C5" s="310" t="s">
        <v>555</v>
      </c>
      <c r="D5" s="351">
        <v>11.11</v>
      </c>
      <c r="E5" s="312">
        <f>'2-δικαιώμ'!M5</f>
        <v>11.697022</v>
      </c>
      <c r="F5" s="312">
        <f>'3-φύλλα2α'!F5</f>
        <v>5.86</v>
      </c>
      <c r="G5" s="312">
        <f>'4-πολλυπρ'!P5</f>
        <v>0</v>
      </c>
      <c r="H5" s="311">
        <f>'5-αντίγρ'!M5</f>
        <v>0</v>
      </c>
      <c r="I5" s="311">
        <f>'6-μεταγρ'!H5</f>
        <v>6.46</v>
      </c>
      <c r="J5" s="311">
        <f>'7-προςΔΟΥ'!E5</f>
        <v>6.46</v>
      </c>
      <c r="K5" s="311"/>
      <c r="L5" s="312">
        <f t="shared" ref="L5:L15" si="4">E5+F5+G5+H5+I5+J5+K5</f>
        <v>30.477022000000002</v>
      </c>
      <c r="M5" s="312"/>
      <c r="N5" s="314"/>
      <c r="O5" s="323">
        <f t="shared" ref="O5:O15" si="5">L5-N5</f>
        <v>30.477022000000002</v>
      </c>
      <c r="P5" s="337"/>
      <c r="Q5" s="315"/>
      <c r="R5" s="315"/>
      <c r="S5" s="315"/>
      <c r="T5" s="315"/>
      <c r="U5" s="315"/>
      <c r="V5" s="315"/>
      <c r="W5" s="315"/>
      <c r="X5" s="315"/>
      <c r="Y5" s="315"/>
      <c r="Z5" s="71"/>
      <c r="AA5" s="71"/>
    </row>
    <row r="6" spans="1:27" s="5" customFormat="1" ht="12" thickBot="1">
      <c r="A6" s="437"/>
      <c r="B6" s="438"/>
      <c r="C6" s="439" t="s">
        <v>556</v>
      </c>
      <c r="D6" s="440">
        <v>222.22</v>
      </c>
      <c r="E6" s="471">
        <f>'2-δικαιώμ'!M6</f>
        <v>13.850344</v>
      </c>
      <c r="F6" s="471">
        <f>'3-φύλλα2α'!F6</f>
        <v>5.86</v>
      </c>
      <c r="G6" s="471">
        <f>'4-πολλυπρ'!P6</f>
        <v>0</v>
      </c>
      <c r="H6" s="469">
        <f>'5-αντίγρ'!M6</f>
        <v>0</v>
      </c>
      <c r="I6" s="469">
        <f>'6-μεταγρ'!H6</f>
        <v>6.46</v>
      </c>
      <c r="J6" s="469">
        <f>'7-προςΔΟΥ'!E6</f>
        <v>6.46</v>
      </c>
      <c r="K6" s="469"/>
      <c r="L6" s="471">
        <f t="shared" si="4"/>
        <v>32.630344000000001</v>
      </c>
      <c r="M6" s="471"/>
      <c r="N6" s="506"/>
      <c r="O6" s="506">
        <f t="shared" si="5"/>
        <v>32.630344000000001</v>
      </c>
      <c r="P6" s="507"/>
      <c r="Q6" s="508"/>
      <c r="R6" s="508"/>
      <c r="S6" s="508"/>
      <c r="T6" s="508"/>
      <c r="U6" s="508"/>
      <c r="V6" s="508"/>
      <c r="W6" s="508"/>
      <c r="X6" s="508"/>
      <c r="Y6" s="508"/>
      <c r="Z6" s="509"/>
      <c r="AA6" s="509"/>
    </row>
    <row r="7" spans="1:27" s="5" customFormat="1">
      <c r="A7" s="436" t="s">
        <v>621</v>
      </c>
      <c r="B7" s="348">
        <v>37581</v>
      </c>
      <c r="C7" s="369" t="s">
        <v>543</v>
      </c>
      <c r="D7" s="319"/>
      <c r="E7" s="313">
        <f>'2-δικαιώμ'!M7</f>
        <v>26.121500000000001</v>
      </c>
      <c r="F7" s="313">
        <f>'3-φύλλα2α'!F7</f>
        <v>4.7</v>
      </c>
      <c r="G7" s="313">
        <f>'4-πολλυπρ'!P7</f>
        <v>0</v>
      </c>
      <c r="H7" s="319">
        <f>'5-αντίγρ'!M7</f>
        <v>17.248199999999997</v>
      </c>
      <c r="I7" s="319">
        <f>'6-μεταγρ'!H7</f>
        <v>6.46</v>
      </c>
      <c r="J7" s="319">
        <f>'7-προςΔΟΥ'!E7</f>
        <v>6.46</v>
      </c>
      <c r="K7" s="319"/>
      <c r="L7" s="313">
        <f t="shared" si="4"/>
        <v>60.989699999999999</v>
      </c>
      <c r="M7" s="313">
        <v>85.71</v>
      </c>
      <c r="N7" s="314">
        <f>M7-P7-'8-κ-15-17'!AF7-'14-βιβλΕσ'!L7-G63</f>
        <v>50.999999999999993</v>
      </c>
      <c r="O7" s="314">
        <f t="shared" si="5"/>
        <v>9.9897000000000062</v>
      </c>
      <c r="P7" s="340"/>
      <c r="Q7" s="502"/>
      <c r="R7" s="502"/>
      <c r="S7" s="502"/>
      <c r="T7" s="502"/>
      <c r="U7" s="502"/>
      <c r="V7" s="502"/>
      <c r="W7" s="502"/>
      <c r="X7" s="502"/>
      <c r="Y7" s="502"/>
      <c r="Z7" s="503"/>
      <c r="AA7" s="503"/>
    </row>
    <row r="8" spans="1:27" s="5" customFormat="1">
      <c r="A8" s="388"/>
      <c r="B8" s="348"/>
      <c r="C8" s="369" t="s">
        <v>559</v>
      </c>
      <c r="D8" s="351">
        <v>11111.11</v>
      </c>
      <c r="E8" s="312">
        <f>'2-δικαιώμ'!M8</f>
        <v>124.91702200000003</v>
      </c>
      <c r="F8" s="312">
        <f>'3-φύλλα2α'!F8</f>
        <v>5.86</v>
      </c>
      <c r="G8" s="312">
        <f>'4-πολλυπρ'!P8</f>
        <v>0</v>
      </c>
      <c r="H8" s="311">
        <f>'5-αντίγρ'!M8</f>
        <v>0</v>
      </c>
      <c r="I8" s="311">
        <f>'6-μεταγρ'!H8</f>
        <v>6.46</v>
      </c>
      <c r="J8" s="311">
        <f>'7-προςΔΟΥ'!E8</f>
        <v>6.46</v>
      </c>
      <c r="K8" s="311"/>
      <c r="L8" s="312">
        <f t="shared" ref="L8" si="6">E8+F8+G8+H8+I8+J8+K8</f>
        <v>143.69702200000006</v>
      </c>
      <c r="M8" s="312"/>
      <c r="N8" s="314"/>
      <c r="O8" s="323">
        <f t="shared" ref="O8" si="7">L8-N8</f>
        <v>143.69702200000006</v>
      </c>
      <c r="P8" s="337"/>
      <c r="Q8" s="315"/>
      <c r="R8" s="315"/>
      <c r="S8" s="315"/>
      <c r="T8" s="315"/>
      <c r="U8" s="315"/>
      <c r="V8" s="315"/>
      <c r="W8" s="315"/>
      <c r="X8" s="315"/>
      <c r="Y8" s="315"/>
      <c r="Z8" s="71"/>
      <c r="AA8" s="71"/>
    </row>
    <row r="9" spans="1:27" s="5" customFormat="1">
      <c r="A9" s="388"/>
      <c r="B9" s="348"/>
      <c r="C9" s="310" t="s">
        <v>557</v>
      </c>
      <c r="D9" s="351">
        <v>11.11</v>
      </c>
      <c r="E9" s="312">
        <f>'2-δικαιώμ'!M9</f>
        <v>11.697022</v>
      </c>
      <c r="F9" s="312">
        <f>'3-φύλλα2α'!F9</f>
        <v>5.86</v>
      </c>
      <c r="G9" s="312">
        <f>'4-πολλυπρ'!P9</f>
        <v>0</v>
      </c>
      <c r="H9" s="311">
        <f>'5-αντίγρ'!M9</f>
        <v>0</v>
      </c>
      <c r="I9" s="311">
        <f>'6-μεταγρ'!H9</f>
        <v>6.46</v>
      </c>
      <c r="J9" s="311">
        <f>'7-προςΔΟΥ'!E9</f>
        <v>6.46</v>
      </c>
      <c r="K9" s="311"/>
      <c r="L9" s="312">
        <f t="shared" si="4"/>
        <v>30.477022000000002</v>
      </c>
      <c r="M9" s="312"/>
      <c r="N9" s="314"/>
      <c r="O9" s="323">
        <f t="shared" si="5"/>
        <v>30.477022000000002</v>
      </c>
      <c r="P9" s="337"/>
      <c r="Q9" s="315"/>
      <c r="R9" s="315"/>
      <c r="S9" s="315"/>
      <c r="T9" s="315"/>
      <c r="U9" s="315"/>
      <c r="V9" s="315"/>
      <c r="W9" s="315"/>
      <c r="X9" s="315"/>
      <c r="Y9" s="315"/>
      <c r="Z9" s="71"/>
      <c r="AA9" s="71"/>
    </row>
    <row r="10" spans="1:27" s="5" customFormat="1" ht="12" thickBot="1">
      <c r="A10" s="475"/>
      <c r="B10" s="438"/>
      <c r="C10" s="439" t="s">
        <v>558</v>
      </c>
      <c r="D10" s="440">
        <v>222.22</v>
      </c>
      <c r="E10" s="471">
        <f>'2-δικαιώμ'!M10</f>
        <v>13.850344</v>
      </c>
      <c r="F10" s="471">
        <f>'3-φύλλα2α'!F10</f>
        <v>5.86</v>
      </c>
      <c r="G10" s="471">
        <f>'4-πολλυπρ'!P10</f>
        <v>0</v>
      </c>
      <c r="H10" s="469">
        <f>'5-αντίγρ'!M10</f>
        <v>0</v>
      </c>
      <c r="I10" s="469">
        <f>'6-μεταγρ'!H10</f>
        <v>6.46</v>
      </c>
      <c r="J10" s="469">
        <f>'7-προςΔΟΥ'!E10</f>
        <v>6.46</v>
      </c>
      <c r="K10" s="469"/>
      <c r="L10" s="471">
        <f t="shared" si="4"/>
        <v>32.630344000000001</v>
      </c>
      <c r="M10" s="471"/>
      <c r="N10" s="506"/>
      <c r="O10" s="506">
        <f t="shared" si="5"/>
        <v>32.630344000000001</v>
      </c>
      <c r="P10" s="507"/>
      <c r="Q10" s="508"/>
      <c r="R10" s="508"/>
      <c r="S10" s="508"/>
      <c r="T10" s="508"/>
      <c r="U10" s="508"/>
      <c r="V10" s="508"/>
      <c r="W10" s="508"/>
      <c r="X10" s="508"/>
      <c r="Y10" s="508"/>
      <c r="Z10" s="509"/>
      <c r="AA10" s="509"/>
    </row>
    <row r="11" spans="1:27" s="5" customFormat="1" ht="12" thickBot="1">
      <c r="A11" s="480" t="s">
        <v>623</v>
      </c>
      <c r="B11" s="481">
        <v>37581</v>
      </c>
      <c r="C11" s="482" t="s">
        <v>544</v>
      </c>
      <c r="D11" s="483"/>
      <c r="E11" s="484">
        <f>'2-δικαιώμ'!M11</f>
        <v>52.234099999999998</v>
      </c>
      <c r="F11" s="484">
        <f>'3-φύλλα2α'!F11</f>
        <v>7.0500000000000007</v>
      </c>
      <c r="G11" s="484">
        <f>'4-πολλυπρ'!P11</f>
        <v>0</v>
      </c>
      <c r="H11" s="483">
        <f>'5-αντίγρ'!M11</f>
        <v>34.496399999999994</v>
      </c>
      <c r="I11" s="483">
        <f>'6-μεταγρ'!H11</f>
        <v>36</v>
      </c>
      <c r="J11" s="483">
        <f>'7-προςΔΟΥ'!E11</f>
        <v>6.46</v>
      </c>
      <c r="K11" s="483"/>
      <c r="L11" s="484">
        <f t="shared" si="4"/>
        <v>136.2405</v>
      </c>
      <c r="M11" s="484">
        <v>107.43</v>
      </c>
      <c r="N11" s="568">
        <f>M11-P11-'8-κ-15-17'!AF11-'14-βιβλΕσ'!L11</f>
        <v>96.710000000000008</v>
      </c>
      <c r="O11" s="568">
        <f t="shared" si="5"/>
        <v>39.530499999999989</v>
      </c>
      <c r="P11" s="574"/>
      <c r="Q11" s="575"/>
      <c r="R11" s="575"/>
      <c r="S11" s="575"/>
      <c r="T11" s="575"/>
      <c r="U11" s="575"/>
      <c r="V11" s="573"/>
      <c r="W11" s="573"/>
      <c r="X11" s="573"/>
      <c r="Y11" s="573"/>
      <c r="Z11" s="570"/>
      <c r="AA11" s="570"/>
    </row>
    <row r="12" spans="1:27" s="5" customFormat="1" ht="12" thickBot="1">
      <c r="A12" s="480" t="s">
        <v>624</v>
      </c>
      <c r="B12" s="481">
        <v>37581</v>
      </c>
      <c r="C12" s="482" t="s">
        <v>545</v>
      </c>
      <c r="D12" s="483">
        <v>19272.79</v>
      </c>
      <c r="E12" s="484">
        <f>'2-δικαιώμ'!M12</f>
        <v>208.166158</v>
      </c>
      <c r="F12" s="484">
        <f>'3-φύλλα2α'!F12</f>
        <v>8.7900000000000009</v>
      </c>
      <c r="G12" s="484">
        <f>'4-πολλυπρ'!P12</f>
        <v>0</v>
      </c>
      <c r="H12" s="483">
        <f>'5-αντίγρ'!M12</f>
        <v>22.997599999999998</v>
      </c>
      <c r="I12" s="483">
        <f>'6-μεταγρ'!H12</f>
        <v>12</v>
      </c>
      <c r="J12" s="483">
        <f>'7-προςΔΟΥ'!E12</f>
        <v>6.46</v>
      </c>
      <c r="K12" s="483"/>
      <c r="L12" s="484">
        <f t="shared" si="4"/>
        <v>258.41375799999997</v>
      </c>
      <c r="M12" s="504">
        <v>424.27</v>
      </c>
      <c r="N12" s="505">
        <f>M12-P12-3-'8-κ-15-17'!AF12-'14-βιβλΕσ'!L12</f>
        <v>232.50999999999996</v>
      </c>
      <c r="O12" s="505">
        <f t="shared" si="5"/>
        <v>25.90375800000001</v>
      </c>
      <c r="P12" s="572"/>
      <c r="Q12" s="573"/>
      <c r="R12" s="573"/>
      <c r="S12" s="573"/>
      <c r="T12" s="573">
        <v>13</v>
      </c>
      <c r="U12" s="573"/>
      <c r="V12" s="573"/>
      <c r="W12" s="573"/>
      <c r="X12" s="573"/>
      <c r="Y12" s="573"/>
      <c r="Z12" s="570"/>
      <c r="AA12" s="570"/>
    </row>
    <row r="13" spans="1:27" s="5" customFormat="1" ht="12" thickBot="1">
      <c r="A13" s="480" t="s">
        <v>641</v>
      </c>
      <c r="B13" s="481">
        <v>37895</v>
      </c>
      <c r="C13" s="482" t="s">
        <v>593</v>
      </c>
      <c r="D13" s="483"/>
      <c r="E13" s="484">
        <f>'2-δικαιώμ'!M13</f>
        <v>7.8320000000000007</v>
      </c>
      <c r="F13" s="484">
        <f>'3-φύλλα2α'!F13</f>
        <v>4.7</v>
      </c>
      <c r="G13" s="484">
        <f>'4-πολλυπρ'!P13</f>
        <v>0</v>
      </c>
      <c r="H13" s="483">
        <f>'5-αντίγρ'!M13</f>
        <v>8.6240999999999985</v>
      </c>
      <c r="I13" s="483">
        <f>'6-μεταγρ'!H13</f>
        <v>0</v>
      </c>
      <c r="J13" s="483">
        <f>'7-προςΔΟΥ'!E13</f>
        <v>0</v>
      </c>
      <c r="K13" s="483"/>
      <c r="L13" s="484">
        <f t="shared" si="4"/>
        <v>21.156099999999999</v>
      </c>
      <c r="M13" s="484">
        <v>27.28</v>
      </c>
      <c r="N13" s="568">
        <f>M13-P13-'8-κ-15-17'!AF13-'14-βιβλΕσ'!L13</f>
        <v>25.25</v>
      </c>
      <c r="O13" s="568">
        <f t="shared" si="5"/>
        <v>-4.0939000000000014</v>
      </c>
      <c r="P13" s="574"/>
      <c r="Q13" s="664"/>
      <c r="R13" s="664"/>
      <c r="S13" s="664"/>
      <c r="T13" s="664"/>
      <c r="U13" s="664"/>
      <c r="V13" s="664"/>
      <c r="W13" s="664"/>
      <c r="X13" s="664"/>
      <c r="Y13" s="664"/>
      <c r="Z13" s="664"/>
      <c r="AA13" s="664"/>
    </row>
    <row r="14" spans="1:27" s="5" customFormat="1">
      <c r="A14" s="672" t="s">
        <v>625</v>
      </c>
      <c r="B14" s="348">
        <v>38005</v>
      </c>
      <c r="C14" s="369" t="s">
        <v>546</v>
      </c>
      <c r="D14" s="319">
        <v>8109</v>
      </c>
      <c r="E14" s="313">
        <f>'2-δικαιώμ'!M14</f>
        <v>94.295500000000004</v>
      </c>
      <c r="F14" s="313">
        <f>'3-φύλλα2α'!F14</f>
        <v>8.7900000000000009</v>
      </c>
      <c r="G14" s="313">
        <f>'4-πολλυπρ'!P14</f>
        <v>0</v>
      </c>
      <c r="H14" s="319">
        <f>'5-αντίγρ'!M14</f>
        <v>34.496399999999994</v>
      </c>
      <c r="I14" s="319">
        <f>'6-μεταγρ'!H14</f>
        <v>12.92</v>
      </c>
      <c r="J14" s="319">
        <f>'7-προςΔΟΥ'!E14</f>
        <v>0</v>
      </c>
      <c r="K14" s="319"/>
      <c r="L14" s="313">
        <f t="shared" si="4"/>
        <v>150.50190000000001</v>
      </c>
      <c r="M14" s="313">
        <v>152.97</v>
      </c>
      <c r="N14" s="314">
        <f>M14-P14-0.5-'8-κ-15-17'!AF14-'14-βιβλΕσ'!L14</f>
        <v>78.570000000000007</v>
      </c>
      <c r="O14" s="314">
        <f t="shared" si="5"/>
        <v>71.931899999999999</v>
      </c>
      <c r="P14" s="340">
        <v>0.5</v>
      </c>
      <c r="Q14" s="502" t="s">
        <v>220</v>
      </c>
      <c r="R14" s="502" t="s">
        <v>221</v>
      </c>
      <c r="S14" s="660"/>
      <c r="T14" s="661" t="s">
        <v>589</v>
      </c>
      <c r="U14" s="662"/>
      <c r="V14" s="662"/>
      <c r="W14" s="502" t="s">
        <v>378</v>
      </c>
      <c r="X14" s="502" t="s">
        <v>379</v>
      </c>
      <c r="Y14" s="663" t="s">
        <v>590</v>
      </c>
      <c r="Z14" s="663" t="s">
        <v>591</v>
      </c>
      <c r="AA14" s="503"/>
    </row>
    <row r="15" spans="1:27" s="5" customFormat="1">
      <c r="A15" s="465"/>
      <c r="B15" s="317"/>
      <c r="C15" s="310" t="s">
        <v>547</v>
      </c>
      <c r="D15" s="351">
        <v>444.44</v>
      </c>
      <c r="E15" s="312">
        <f>'2-δικαιώμ'!M15</f>
        <v>16.116987999999999</v>
      </c>
      <c r="F15" s="312">
        <f>'3-φύλλα2α'!F15</f>
        <v>8.7900000000000009</v>
      </c>
      <c r="G15" s="312">
        <f>'4-πολλυπρ'!P15</f>
        <v>0</v>
      </c>
      <c r="H15" s="311">
        <f>'5-αντίγρ'!M15</f>
        <v>0</v>
      </c>
      <c r="I15" s="311">
        <f>'6-μεταγρ'!H15</f>
        <v>0</v>
      </c>
      <c r="J15" s="311">
        <f>'7-προςΔΟΥ'!E15</f>
        <v>0</v>
      </c>
      <c r="K15" s="311"/>
      <c r="L15" s="312">
        <f t="shared" si="4"/>
        <v>24.906987999999998</v>
      </c>
      <c r="M15" s="312"/>
      <c r="N15" s="314"/>
      <c r="O15" s="323">
        <f t="shared" si="5"/>
        <v>24.906987999999998</v>
      </c>
      <c r="P15" s="337"/>
      <c r="Q15" s="315"/>
      <c r="R15" s="315"/>
      <c r="S15" s="315"/>
      <c r="T15" s="315"/>
      <c r="U15" s="315"/>
      <c r="V15" s="315"/>
      <c r="W15" s="315"/>
      <c r="X15" s="315"/>
      <c r="Y15" s="315"/>
      <c r="Z15" s="71"/>
      <c r="AA15" s="71"/>
    </row>
    <row r="16" spans="1:27" s="5" customFormat="1">
      <c r="A16" s="465"/>
      <c r="B16" s="317"/>
      <c r="C16" s="310" t="s">
        <v>596</v>
      </c>
      <c r="D16" s="351">
        <v>2222.2199999999998</v>
      </c>
      <c r="E16" s="312">
        <f>'2-δικαιώμ'!M16</f>
        <v>34.250343999999998</v>
      </c>
      <c r="F16" s="312">
        <f>'3-φύλλα2α'!F16</f>
        <v>8.7900000000000009</v>
      </c>
      <c r="G16" s="312">
        <f>'4-πολλυπρ'!P16</f>
        <v>0</v>
      </c>
      <c r="H16" s="311">
        <f>'5-αντίγρ'!M16</f>
        <v>0</v>
      </c>
      <c r="I16" s="311">
        <f>'6-μεταγρ'!H16</f>
        <v>0</v>
      </c>
      <c r="J16" s="311">
        <f>'7-προςΔΟΥ'!E16</f>
        <v>0</v>
      </c>
      <c r="K16" s="311"/>
      <c r="L16" s="312">
        <f t="shared" ref="L16:L21" si="8">E16+F16+G16+H16+I16+J16+K16</f>
        <v>43.040343999999997</v>
      </c>
      <c r="M16" s="312"/>
      <c r="N16" s="323"/>
      <c r="O16" s="323">
        <f t="shared" ref="O16:O21" si="9">L16-N16</f>
        <v>43.040343999999997</v>
      </c>
      <c r="P16" s="337"/>
      <c r="Q16" s="315"/>
      <c r="R16" s="315"/>
      <c r="S16" s="315"/>
      <c r="T16" s="315"/>
      <c r="U16" s="315"/>
      <c r="V16" s="315"/>
      <c r="W16" s="315"/>
      <c r="X16" s="315"/>
      <c r="Y16" s="315"/>
      <c r="Z16" s="71"/>
      <c r="AA16" s="71"/>
    </row>
    <row r="17" spans="1:27" s="5" customFormat="1" ht="12" thickBot="1">
      <c r="A17" s="467"/>
      <c r="B17" s="438"/>
      <c r="C17" s="439" t="s">
        <v>602</v>
      </c>
      <c r="D17" s="440">
        <v>11111.11</v>
      </c>
      <c r="E17" s="471">
        <f>'2-δικαιώμ'!M17</f>
        <v>124.91702200000003</v>
      </c>
      <c r="F17" s="471">
        <f>'3-φύλλα2α'!F17</f>
        <v>8.7900000000000009</v>
      </c>
      <c r="G17" s="471">
        <f>'4-πολλυπρ'!P17</f>
        <v>0</v>
      </c>
      <c r="H17" s="469">
        <f>'5-αντίγρ'!M17</f>
        <v>0</v>
      </c>
      <c r="I17" s="469">
        <f>'6-μεταγρ'!H17</f>
        <v>0</v>
      </c>
      <c r="J17" s="469">
        <f>'7-προςΔΟΥ'!E17</f>
        <v>0</v>
      </c>
      <c r="K17" s="469"/>
      <c r="L17" s="471">
        <f t="shared" si="8"/>
        <v>133.70702200000002</v>
      </c>
      <c r="M17" s="471"/>
      <c r="N17" s="506"/>
      <c r="O17" s="506">
        <f t="shared" si="9"/>
        <v>133.70702200000002</v>
      </c>
      <c r="P17" s="507"/>
      <c r="Q17" s="508"/>
      <c r="R17" s="508"/>
      <c r="S17" s="508"/>
      <c r="T17" s="508"/>
      <c r="U17" s="508"/>
      <c r="V17" s="508"/>
      <c r="W17" s="508"/>
      <c r="X17" s="508"/>
      <c r="Y17" s="508"/>
      <c r="Z17" s="509"/>
      <c r="AA17" s="509"/>
    </row>
    <row r="18" spans="1:27" s="5" customFormat="1" ht="12" thickBot="1">
      <c r="A18" s="480" t="s">
        <v>638</v>
      </c>
      <c r="B18" s="481">
        <v>38437</v>
      </c>
      <c r="C18" s="482" t="s">
        <v>548</v>
      </c>
      <c r="D18" s="483"/>
      <c r="E18" s="484">
        <f>'2-δικαιώμ'!M18</f>
        <v>7.8320000000000007</v>
      </c>
      <c r="F18" s="484">
        <f>'3-φύλλα2α'!F18</f>
        <v>4.7</v>
      </c>
      <c r="G18" s="484">
        <f>'4-πολλυπρ'!P18</f>
        <v>0</v>
      </c>
      <c r="H18" s="483">
        <f>'5-αντίγρ'!M18</f>
        <v>25.872299999999999</v>
      </c>
      <c r="I18" s="483">
        <f>'6-μεταγρ'!H18</f>
        <v>6.46</v>
      </c>
      <c r="J18" s="483">
        <f>'7-προςΔΟΥ'!E18</f>
        <v>0</v>
      </c>
      <c r="K18" s="483"/>
      <c r="L18" s="484">
        <f t="shared" si="8"/>
        <v>44.8643</v>
      </c>
      <c r="M18" s="484">
        <v>95.57</v>
      </c>
      <c r="N18" s="568">
        <f>M18-P18-0.5-'8-κ-15-17'!AF18-'14-βιβλΕσ'!L18</f>
        <v>84.71</v>
      </c>
      <c r="O18" s="568">
        <f t="shared" si="9"/>
        <v>-39.845699999999994</v>
      </c>
      <c r="P18" s="574">
        <v>0.5</v>
      </c>
      <c r="Q18" s="575"/>
      <c r="R18" s="575"/>
      <c r="S18" s="575"/>
      <c r="T18" s="575"/>
      <c r="U18" s="575"/>
      <c r="V18" s="502"/>
      <c r="W18" s="502"/>
      <c r="X18" s="502"/>
      <c r="Y18" s="502"/>
      <c r="Z18" s="503"/>
      <c r="AA18" s="503"/>
    </row>
    <row r="19" spans="1:27" s="5" customFormat="1" ht="12" thickBot="1">
      <c r="A19" s="480" t="s">
        <v>639</v>
      </c>
      <c r="B19" s="481">
        <v>38437</v>
      </c>
      <c r="C19" s="482" t="s">
        <v>549</v>
      </c>
      <c r="D19" s="483"/>
      <c r="E19" s="484">
        <f>'2-δικαιώμ'!M19</f>
        <v>7.8320000000000007</v>
      </c>
      <c r="F19" s="484">
        <f>'3-φύλλα2α'!F19</f>
        <v>7.0500000000000007</v>
      </c>
      <c r="G19" s="484">
        <f>'4-πολλυπρ'!P19</f>
        <v>0</v>
      </c>
      <c r="H19" s="483">
        <f>'5-αντίγρ'!M19</f>
        <v>34.496399999999994</v>
      </c>
      <c r="I19" s="483">
        <f>'6-μεταγρ'!H19</f>
        <v>6.46</v>
      </c>
      <c r="J19" s="483">
        <f>'7-προςΔΟΥ'!E19</f>
        <v>0</v>
      </c>
      <c r="K19" s="483"/>
      <c r="L19" s="484">
        <f t="shared" si="8"/>
        <v>55.8384</v>
      </c>
      <c r="M19" s="484">
        <v>59.28</v>
      </c>
      <c r="N19" s="568">
        <f>M19-P19-0.5-'8-κ-15-17'!AF19-'14-βιβλΕσ'!L19</f>
        <v>53.05</v>
      </c>
      <c r="O19" s="568">
        <f t="shared" si="9"/>
        <v>2.7884000000000029</v>
      </c>
      <c r="P19" s="574">
        <v>0.5</v>
      </c>
      <c r="Q19" s="575"/>
      <c r="R19" s="575"/>
      <c r="S19" s="575"/>
      <c r="T19" s="575"/>
      <c r="U19" s="575"/>
      <c r="V19" s="315"/>
      <c r="W19" s="315"/>
      <c r="X19" s="315"/>
      <c r="Y19" s="315"/>
      <c r="Z19" s="71"/>
      <c r="AA19" s="71"/>
    </row>
    <row r="20" spans="1:27" s="5" customFormat="1">
      <c r="A20" s="672" t="s">
        <v>640</v>
      </c>
      <c r="B20" s="348">
        <v>38437</v>
      </c>
      <c r="C20" s="369" t="s">
        <v>524</v>
      </c>
      <c r="D20" s="319">
        <v>1400</v>
      </c>
      <c r="E20" s="313">
        <f>'2-δικαιώμ'!M20</f>
        <v>25.863699999999998</v>
      </c>
      <c r="F20" s="313">
        <f>'3-φύλλα2α'!F20</f>
        <v>11.72</v>
      </c>
      <c r="G20" s="313">
        <f>'4-πολλυπρ'!P20</f>
        <v>0</v>
      </c>
      <c r="H20" s="319">
        <f>'5-αντίγρ'!M20</f>
        <v>43.1205</v>
      </c>
      <c r="I20" s="319">
        <f>'6-μεταγρ'!H20</f>
        <v>9.69</v>
      </c>
      <c r="J20" s="319">
        <f>'7-προςΔΟΥ'!E20</f>
        <v>6.46</v>
      </c>
      <c r="K20" s="319">
        <v>14.67</v>
      </c>
      <c r="L20" s="313">
        <f t="shared" si="8"/>
        <v>111.52419999999999</v>
      </c>
      <c r="M20" s="313">
        <v>98.55</v>
      </c>
      <c r="N20" s="314">
        <f>M20-P20-'8-κ-15-17'!AF20-'14-βιβλΕσ'!L20</f>
        <v>91.89</v>
      </c>
      <c r="O20" s="314">
        <f t="shared" si="9"/>
        <v>19.634199999999993</v>
      </c>
      <c r="P20" s="340"/>
      <c r="Q20" s="502"/>
      <c r="R20" s="502"/>
      <c r="S20" s="502"/>
      <c r="T20" s="502"/>
      <c r="U20" s="502"/>
      <c r="V20" s="315"/>
      <c r="W20" s="315"/>
      <c r="X20" s="315"/>
      <c r="Y20" s="315"/>
      <c r="Z20" s="71"/>
      <c r="AA20" s="71"/>
    </row>
    <row r="21" spans="1:27" s="5" customFormat="1" ht="12" thickBot="1">
      <c r="A21" s="467"/>
      <c r="B21" s="438"/>
      <c r="C21" s="439" t="s">
        <v>612</v>
      </c>
      <c r="D21" s="440">
        <v>111.11</v>
      </c>
      <c r="E21" s="471">
        <f>'2-δικαιώμ'!M21</f>
        <v>12.717022</v>
      </c>
      <c r="F21" s="471">
        <f>'3-φύλλα2α'!F21</f>
        <v>11.72</v>
      </c>
      <c r="G21" s="471">
        <f>'4-πολλυπρ'!P21</f>
        <v>0</v>
      </c>
      <c r="H21" s="469">
        <f>'5-αντίγρ'!M21</f>
        <v>0</v>
      </c>
      <c r="I21" s="469">
        <f>'6-μεταγρ'!H21</f>
        <v>0</v>
      </c>
      <c r="J21" s="469">
        <f>'7-προςΔΟΥ'!E21</f>
        <v>6.46</v>
      </c>
      <c r="K21" s="469">
        <v>14.67</v>
      </c>
      <c r="L21" s="471">
        <f t="shared" si="8"/>
        <v>45.567022000000001</v>
      </c>
      <c r="M21" s="471"/>
      <c r="N21" s="506"/>
      <c r="O21" s="506">
        <f t="shared" si="9"/>
        <v>45.567022000000001</v>
      </c>
      <c r="P21" s="507"/>
      <c r="Q21" s="508"/>
      <c r="R21" s="508"/>
      <c r="S21" s="508"/>
      <c r="T21" s="508"/>
      <c r="U21" s="508"/>
      <c r="V21" s="315"/>
      <c r="W21" s="315"/>
      <c r="X21" s="315"/>
      <c r="Y21" s="315"/>
      <c r="Z21" s="71"/>
      <c r="AA21" s="71"/>
    </row>
    <row r="22" spans="1:27">
      <c r="A22" s="713" t="s">
        <v>47</v>
      </c>
      <c r="B22" s="714"/>
      <c r="C22" s="714"/>
      <c r="D22" s="714"/>
      <c r="E22" s="395">
        <f t="shared" ref="E22:O22" si="10">SUM(E3:E21)</f>
        <v>843.22861000000023</v>
      </c>
      <c r="F22" s="395">
        <f t="shared" si="10"/>
        <v>135.45000000000002</v>
      </c>
      <c r="G22" s="395">
        <f t="shared" si="10"/>
        <v>0</v>
      </c>
      <c r="H22" s="395">
        <f t="shared" si="10"/>
        <v>238.60009999999997</v>
      </c>
      <c r="I22" s="395">
        <f t="shared" si="10"/>
        <v>135.21</v>
      </c>
      <c r="J22" s="395">
        <f t="shared" si="10"/>
        <v>77.519999999999982</v>
      </c>
      <c r="K22" s="395">
        <f t="shared" si="10"/>
        <v>29.34</v>
      </c>
      <c r="L22" s="395">
        <f t="shared" si="10"/>
        <v>1459.3487100000002</v>
      </c>
      <c r="M22" s="395">
        <f t="shared" si="10"/>
        <v>1107.4199999999998</v>
      </c>
      <c r="N22" s="395">
        <f t="shared" si="10"/>
        <v>764.68999999999994</v>
      </c>
      <c r="O22" s="395">
        <f t="shared" si="10"/>
        <v>694.65870999999993</v>
      </c>
    </row>
    <row r="23" spans="1:27">
      <c r="C23" s="8"/>
    </row>
    <row r="24" spans="1:27">
      <c r="C24" s="8"/>
      <c r="P24" s="185" t="s">
        <v>97</v>
      </c>
      <c r="Q24" s="118"/>
      <c r="R24" s="118"/>
      <c r="S24" s="118"/>
      <c r="T24" s="124"/>
      <c r="U24" s="124"/>
      <c r="V24" s="124"/>
      <c r="W24" s="124"/>
      <c r="X24" s="124"/>
      <c r="Z24" s="118"/>
      <c r="AA24" s="118"/>
    </row>
    <row r="25" spans="1:27">
      <c r="C25" s="389" t="s">
        <v>651</v>
      </c>
      <c r="D25" s="7"/>
      <c r="K25" s="199" t="s">
        <v>478</v>
      </c>
      <c r="L25" s="7"/>
      <c r="M25" s="7"/>
      <c r="P25" s="7"/>
      <c r="Q25" s="108" t="s">
        <v>370</v>
      </c>
      <c r="R25" s="108"/>
      <c r="S25" s="108"/>
      <c r="T25" s="120"/>
      <c r="U25" s="124"/>
      <c r="V25" s="124"/>
      <c r="W25" s="124"/>
      <c r="X25" s="124"/>
      <c r="Z25" s="119"/>
      <c r="AA25" s="108"/>
    </row>
    <row r="26" spans="1:27">
      <c r="C26" s="500" t="s">
        <v>655</v>
      </c>
      <c r="D26" s="7"/>
      <c r="K26" s="143" t="s">
        <v>224</v>
      </c>
      <c r="L26" s="110"/>
      <c r="M26" s="110"/>
      <c r="P26" s="7"/>
      <c r="Q26" s="108"/>
      <c r="R26" s="108" t="s">
        <v>137</v>
      </c>
      <c r="S26" s="108"/>
      <c r="T26" s="124"/>
      <c r="U26" s="124"/>
      <c r="V26" s="124"/>
      <c r="W26" s="124"/>
      <c r="X26" s="124"/>
      <c r="Z26" s="108"/>
    </row>
    <row r="27" spans="1:27">
      <c r="C27" s="124" t="s">
        <v>652</v>
      </c>
      <c r="D27" s="7"/>
      <c r="K27" s="198" t="s">
        <v>225</v>
      </c>
      <c r="P27" s="7"/>
      <c r="S27" s="108" t="s">
        <v>369</v>
      </c>
      <c r="T27" s="88"/>
      <c r="U27" s="88"/>
      <c r="V27" s="88"/>
      <c r="W27" s="88"/>
      <c r="X27" s="88"/>
    </row>
    <row r="28" spans="1:27">
      <c r="C28" s="653" t="s">
        <v>653</v>
      </c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T28" s="108" t="s">
        <v>371</v>
      </c>
      <c r="U28" s="124"/>
      <c r="V28" s="124"/>
      <c r="W28" s="124"/>
      <c r="X28" s="124"/>
    </row>
    <row r="29" spans="1:27">
      <c r="C29" s="654" t="s">
        <v>592</v>
      </c>
      <c r="D29" s="357"/>
      <c r="P29" s="7"/>
      <c r="T29" s="88"/>
      <c r="U29" s="124" t="s">
        <v>372</v>
      </c>
      <c r="V29" s="124"/>
      <c r="W29" s="124"/>
      <c r="X29" s="124"/>
    </row>
    <row r="30" spans="1:27">
      <c r="C30" s="675" t="s">
        <v>597</v>
      </c>
      <c r="P30" s="7"/>
      <c r="T30" s="88"/>
      <c r="U30" s="88"/>
      <c r="V30" s="124" t="s">
        <v>373</v>
      </c>
      <c r="W30" s="88"/>
      <c r="X30" s="88"/>
    </row>
    <row r="31" spans="1:27">
      <c r="C31" s="675" t="s">
        <v>598</v>
      </c>
      <c r="F31" s="356"/>
      <c r="P31" s="7"/>
      <c r="T31" s="88"/>
      <c r="U31" s="88"/>
      <c r="V31" s="88"/>
      <c r="W31" s="200" t="s">
        <v>374</v>
      </c>
      <c r="X31" s="88"/>
    </row>
    <row r="32" spans="1:27">
      <c r="C32" s="675" t="s">
        <v>599</v>
      </c>
      <c r="U32" s="124"/>
      <c r="V32" s="124"/>
      <c r="W32" s="88"/>
      <c r="X32" s="89" t="s">
        <v>375</v>
      </c>
      <c r="Y32" s="124"/>
    </row>
    <row r="33" spans="3:25">
      <c r="C33" s="675" t="s">
        <v>603</v>
      </c>
      <c r="F33" s="357"/>
      <c r="P33" s="7"/>
      <c r="Q33" s="108"/>
      <c r="R33" s="108"/>
      <c r="S33" s="108"/>
      <c r="T33" s="124"/>
      <c r="U33" s="124"/>
      <c r="V33" s="124"/>
      <c r="W33" s="124"/>
      <c r="X33" s="124"/>
    </row>
    <row r="34" spans="3:25">
      <c r="C34" s="675" t="s">
        <v>604</v>
      </c>
      <c r="F34" s="357"/>
      <c r="P34" s="7"/>
      <c r="Q34" s="108"/>
      <c r="R34" s="108"/>
      <c r="S34" s="108"/>
      <c r="T34" s="124"/>
      <c r="U34" s="124"/>
      <c r="V34" s="124"/>
      <c r="W34" s="124"/>
      <c r="X34" s="124"/>
    </row>
    <row r="35" spans="3:25">
      <c r="C35" s="675" t="s">
        <v>605</v>
      </c>
      <c r="F35" s="357"/>
      <c r="P35" s="7"/>
      <c r="Q35" s="108"/>
      <c r="R35" s="108"/>
      <c r="S35" s="108"/>
      <c r="T35" s="124"/>
      <c r="U35" s="124"/>
      <c r="V35" s="124"/>
      <c r="W35" s="124"/>
      <c r="X35" s="124"/>
    </row>
    <row r="36" spans="3:25">
      <c r="C36" s="675" t="s">
        <v>606</v>
      </c>
      <c r="F36" s="357"/>
      <c r="P36" s="7"/>
      <c r="Q36" s="108"/>
      <c r="R36" s="108"/>
      <c r="S36" s="108"/>
      <c r="T36" s="124"/>
      <c r="U36" s="124"/>
      <c r="V36" s="124"/>
      <c r="W36" s="124"/>
      <c r="X36" s="124"/>
    </row>
    <row r="37" spans="3:25">
      <c r="C37" s="675" t="s">
        <v>608</v>
      </c>
      <c r="F37" s="357"/>
      <c r="P37" s="7"/>
      <c r="Q37" s="108"/>
      <c r="R37" s="108"/>
      <c r="S37" s="108"/>
      <c r="T37" s="124"/>
      <c r="U37" s="124"/>
      <c r="V37" s="124"/>
      <c r="W37" s="124"/>
      <c r="X37" s="124"/>
    </row>
    <row r="38" spans="3:25">
      <c r="C38" s="675" t="s">
        <v>654</v>
      </c>
      <c r="F38" s="357"/>
      <c r="P38" s="7"/>
      <c r="Q38" s="108"/>
      <c r="R38" s="108"/>
      <c r="S38" s="108"/>
      <c r="T38" s="124"/>
      <c r="U38" s="124"/>
      <c r="V38" s="124"/>
      <c r="W38" s="124"/>
      <c r="X38" s="124"/>
    </row>
    <row r="39" spans="3:25">
      <c r="C39" s="124" t="s">
        <v>656</v>
      </c>
      <c r="F39" s="357"/>
      <c r="P39" s="7"/>
      <c r="Q39" s="108"/>
      <c r="R39" s="108"/>
      <c r="S39" s="108"/>
      <c r="T39" s="124"/>
      <c r="U39" s="124"/>
      <c r="V39" s="124"/>
      <c r="W39" s="124"/>
      <c r="X39" s="124"/>
    </row>
    <row r="40" spans="3:25">
      <c r="C40" s="8"/>
      <c r="E40" s="208"/>
      <c r="F40" s="357"/>
      <c r="G40" s="157"/>
      <c r="P40" s="2"/>
      <c r="Q40" s="2"/>
      <c r="R40" s="2"/>
      <c r="S40" s="2"/>
      <c r="U40" s="124"/>
      <c r="V40" s="124"/>
      <c r="W40" s="88"/>
      <c r="X40" s="89"/>
      <c r="Y40" s="124"/>
    </row>
    <row r="41" spans="3:25">
      <c r="C41" s="8" t="s">
        <v>618</v>
      </c>
      <c r="D41" s="357" t="s">
        <v>617</v>
      </c>
      <c r="E41" s="2">
        <v>56.36</v>
      </c>
      <c r="F41" s="7"/>
      <c r="G41" s="157" t="s">
        <v>574</v>
      </c>
      <c r="H41" s="7" t="s">
        <v>251</v>
      </c>
      <c r="I41" s="7" t="s">
        <v>516</v>
      </c>
      <c r="K41" s="707" t="s">
        <v>517</v>
      </c>
      <c r="L41" s="707"/>
      <c r="M41" s="707"/>
      <c r="N41" s="707"/>
      <c r="P41" s="2"/>
      <c r="Q41" s="2"/>
      <c r="R41" s="2"/>
      <c r="U41" s="88"/>
      <c r="V41" s="124"/>
      <c r="W41" s="124"/>
      <c r="X41" s="124"/>
      <c r="Y41" s="124"/>
    </row>
    <row r="42" spans="3:25">
      <c r="C42" s="88" t="s">
        <v>550</v>
      </c>
      <c r="D42" s="396"/>
      <c r="E42" s="396"/>
      <c r="F42" s="360" t="s">
        <v>316</v>
      </c>
      <c r="G42" s="498"/>
      <c r="H42" s="4"/>
      <c r="I42" s="4">
        <v>0.5</v>
      </c>
      <c r="J42" s="4"/>
      <c r="K42" s="4">
        <v>0.5</v>
      </c>
      <c r="L42" s="4">
        <v>0.5</v>
      </c>
      <c r="M42" s="2">
        <v>0.5</v>
      </c>
      <c r="N42" s="2">
        <v>0.5</v>
      </c>
      <c r="P42" s="2"/>
      <c r="Q42" s="2"/>
      <c r="R42" s="2"/>
      <c r="U42" s="88"/>
      <c r="V42" s="88"/>
      <c r="W42" s="200"/>
      <c r="X42" s="88"/>
      <c r="Y42" s="88"/>
    </row>
    <row r="43" spans="3:25">
      <c r="C43" s="435" t="s">
        <v>551</v>
      </c>
      <c r="D43" s="363"/>
      <c r="E43" s="363"/>
      <c r="F43" s="360" t="s">
        <v>518</v>
      </c>
      <c r="G43" s="4">
        <v>29.35</v>
      </c>
      <c r="H43" s="4">
        <v>3.23</v>
      </c>
      <c r="I43" s="4">
        <v>29.35</v>
      </c>
      <c r="J43" s="4"/>
      <c r="K43" s="4">
        <v>29.35</v>
      </c>
      <c r="L43" s="4"/>
      <c r="P43" s="2"/>
      <c r="Q43" s="2"/>
      <c r="R43" s="2"/>
      <c r="U43" s="88"/>
      <c r="V43" s="88"/>
      <c r="W43" s="88"/>
      <c r="X43" s="89"/>
      <c r="Y43" s="88"/>
    </row>
    <row r="44" spans="3:25">
      <c r="C44" s="435" t="s">
        <v>552</v>
      </c>
      <c r="D44" s="276"/>
      <c r="F44" s="360" t="s">
        <v>519</v>
      </c>
      <c r="G44" s="4">
        <v>2.93</v>
      </c>
      <c r="H44" s="4"/>
      <c r="I44" s="4">
        <v>2.93</v>
      </c>
      <c r="J44" s="4"/>
      <c r="K44" s="4"/>
      <c r="L44" s="4">
        <v>2.93</v>
      </c>
      <c r="M44" s="4">
        <v>2.93</v>
      </c>
      <c r="N44" s="4">
        <v>2.93</v>
      </c>
      <c r="P44" s="2"/>
      <c r="Q44" s="2"/>
      <c r="R44" s="2"/>
    </row>
    <row r="45" spans="3:25">
      <c r="C45" s="88" t="s">
        <v>619</v>
      </c>
      <c r="D45" s="276"/>
      <c r="F45" s="360">
        <v>3600</v>
      </c>
      <c r="G45" s="4"/>
      <c r="H45" s="4"/>
      <c r="I45" s="4">
        <v>10.56</v>
      </c>
      <c r="J45" s="4"/>
      <c r="K45" s="4"/>
      <c r="L45" s="4">
        <v>10.56</v>
      </c>
      <c r="M45" s="4">
        <v>10.56</v>
      </c>
      <c r="N45" s="4">
        <v>10.56</v>
      </c>
      <c r="P45" s="2"/>
      <c r="Q45" s="2"/>
      <c r="R45" s="2"/>
    </row>
    <row r="46" spans="3:25">
      <c r="C46" s="88" t="s">
        <v>620</v>
      </c>
      <c r="D46" s="276"/>
      <c r="F46" s="360" t="s">
        <v>368</v>
      </c>
      <c r="G46" s="4"/>
      <c r="H46" s="4"/>
      <c r="I46" s="4"/>
      <c r="J46" s="4"/>
      <c r="K46" s="4"/>
      <c r="L46" s="4">
        <v>13.33</v>
      </c>
      <c r="M46" s="2">
        <v>0.13</v>
      </c>
      <c r="N46" s="2">
        <v>2.67</v>
      </c>
      <c r="P46" s="2"/>
      <c r="Q46" s="2"/>
      <c r="R46" s="2"/>
    </row>
    <row r="47" spans="3:25">
      <c r="C47" s="88"/>
      <c r="D47" s="276"/>
      <c r="F47" s="360" t="s">
        <v>520</v>
      </c>
      <c r="G47" s="4">
        <v>4.7</v>
      </c>
      <c r="H47" s="4"/>
      <c r="I47" s="4">
        <v>4.7</v>
      </c>
      <c r="J47" s="4"/>
      <c r="K47" s="4">
        <v>4.7</v>
      </c>
      <c r="L47" s="4">
        <v>4.7</v>
      </c>
      <c r="M47" s="2">
        <v>4.7</v>
      </c>
      <c r="N47" s="2">
        <v>4.7</v>
      </c>
      <c r="P47" s="2"/>
      <c r="Q47" s="2"/>
      <c r="R47" s="2"/>
    </row>
    <row r="48" spans="3:25">
      <c r="C48" s="88"/>
      <c r="D48" s="276"/>
      <c r="F48" s="361" t="s">
        <v>92</v>
      </c>
      <c r="G48" s="4">
        <v>19.38</v>
      </c>
      <c r="H48" s="4">
        <v>2.13</v>
      </c>
      <c r="I48" s="4">
        <v>19.38</v>
      </c>
      <c r="J48" s="4"/>
      <c r="K48" s="4">
        <v>19.38</v>
      </c>
      <c r="L48" s="4"/>
      <c r="P48" s="2"/>
      <c r="Q48" s="2"/>
      <c r="R48" s="2"/>
    </row>
    <row r="49" spans="3:18">
      <c r="C49" s="88"/>
      <c r="D49" s="276"/>
      <c r="F49" s="361" t="s">
        <v>364</v>
      </c>
      <c r="G49" s="4"/>
      <c r="H49" s="4"/>
      <c r="I49" s="4"/>
      <c r="J49" s="4"/>
      <c r="K49" s="4"/>
      <c r="L49" s="4">
        <v>8.61</v>
      </c>
      <c r="M49" s="2">
        <v>0.09</v>
      </c>
      <c r="N49" s="2">
        <v>1.72</v>
      </c>
      <c r="P49" s="2"/>
      <c r="Q49" s="2"/>
      <c r="R49" s="2"/>
    </row>
    <row r="50" spans="3:18">
      <c r="C50" s="8"/>
      <c r="D50" s="276"/>
      <c r="F50" s="361" t="s">
        <v>93</v>
      </c>
      <c r="G50" s="4"/>
      <c r="H50" s="4"/>
      <c r="I50" s="4"/>
      <c r="J50" s="4"/>
      <c r="K50" s="4"/>
      <c r="L50" s="4"/>
      <c r="P50" s="2"/>
      <c r="Q50" s="2"/>
      <c r="R50" s="2"/>
    </row>
    <row r="51" spans="3:18">
      <c r="C51" s="8"/>
      <c r="D51" s="276"/>
      <c r="F51" s="361" t="s">
        <v>512</v>
      </c>
      <c r="G51" s="4"/>
      <c r="H51" s="4"/>
      <c r="I51" s="4"/>
      <c r="J51" s="4"/>
      <c r="K51" s="4"/>
      <c r="L51" s="4"/>
      <c r="P51" s="2"/>
      <c r="Q51" s="2"/>
      <c r="R51" s="2"/>
    </row>
    <row r="52" spans="3:18">
      <c r="C52" s="8"/>
      <c r="F52" s="361"/>
      <c r="G52" s="157">
        <f>SUM(G42:G51)</f>
        <v>56.36</v>
      </c>
      <c r="H52" s="157">
        <f t="shared" ref="H52" si="11">SUM(H42:H51)</f>
        <v>5.3599999999999994</v>
      </c>
      <c r="I52" s="157">
        <f t="shared" ref="I52" si="12">SUM(I42:I51)</f>
        <v>67.42</v>
      </c>
      <c r="J52" s="157"/>
      <c r="K52" s="362">
        <f t="shared" ref="K52:N52" si="13">SUM(K42:K51)</f>
        <v>53.930000000000007</v>
      </c>
      <c r="L52" s="362">
        <f t="shared" si="13"/>
        <v>40.630000000000003</v>
      </c>
      <c r="M52" s="362">
        <f t="shared" si="13"/>
        <v>18.91</v>
      </c>
      <c r="N52" s="362">
        <f t="shared" si="13"/>
        <v>23.08</v>
      </c>
      <c r="O52" s="188">
        <f>SUM(K52:N52)</f>
        <v>136.55000000000001</v>
      </c>
      <c r="P52" s="2"/>
      <c r="Q52" s="2"/>
      <c r="R52" s="2"/>
    </row>
    <row r="53" spans="3:18">
      <c r="C53" s="8"/>
      <c r="P53" s="2"/>
      <c r="Q53" s="2"/>
      <c r="R53" s="2"/>
    </row>
    <row r="54" spans="3:18">
      <c r="C54" s="8" t="s">
        <v>622</v>
      </c>
      <c r="D54" s="357" t="s">
        <v>621</v>
      </c>
      <c r="E54" s="2">
        <v>85.71</v>
      </c>
      <c r="F54" s="7"/>
      <c r="G54" s="157" t="s">
        <v>574</v>
      </c>
      <c r="H54" s="7" t="s">
        <v>251</v>
      </c>
      <c r="I54" s="7" t="s">
        <v>516</v>
      </c>
      <c r="K54" s="707" t="s">
        <v>517</v>
      </c>
      <c r="L54" s="707"/>
      <c r="M54" s="707"/>
      <c r="N54" s="707"/>
    </row>
    <row r="55" spans="3:18">
      <c r="C55" s="88" t="s">
        <v>550</v>
      </c>
      <c r="D55" s="396"/>
      <c r="E55" s="396"/>
      <c r="F55" s="360" t="s">
        <v>316</v>
      </c>
      <c r="G55" s="498"/>
      <c r="H55" s="4"/>
      <c r="I55" s="4">
        <v>0.5</v>
      </c>
      <c r="J55" s="4"/>
      <c r="K55" s="4">
        <v>0.5</v>
      </c>
      <c r="L55" s="4">
        <v>0.5</v>
      </c>
      <c r="M55" s="2">
        <v>0.5</v>
      </c>
      <c r="N55" s="2">
        <v>0.5</v>
      </c>
    </row>
    <row r="56" spans="3:18">
      <c r="C56" s="435" t="s">
        <v>551</v>
      </c>
      <c r="D56" s="363"/>
      <c r="E56" s="363"/>
      <c r="F56" s="360" t="s">
        <v>518</v>
      </c>
      <c r="G56" s="4">
        <v>29.35</v>
      </c>
      <c r="H56" s="4">
        <v>3.23</v>
      </c>
      <c r="I56" s="4">
        <v>29.35</v>
      </c>
      <c r="J56" s="4"/>
      <c r="K56" s="4">
        <v>29.35</v>
      </c>
      <c r="L56" s="4"/>
    </row>
    <row r="57" spans="3:18">
      <c r="C57" s="435" t="s">
        <v>552</v>
      </c>
      <c r="D57" s="276"/>
      <c r="F57" s="360" t="s">
        <v>519</v>
      </c>
      <c r="G57" s="4">
        <v>2.93</v>
      </c>
      <c r="H57" s="4"/>
      <c r="I57" s="4">
        <v>2.93</v>
      </c>
      <c r="J57" s="4"/>
      <c r="K57" s="4"/>
      <c r="L57" s="4">
        <v>2.93</v>
      </c>
      <c r="M57" s="4">
        <v>2.93</v>
      </c>
      <c r="N57" s="4">
        <v>2.93</v>
      </c>
    </row>
    <row r="58" spans="3:18">
      <c r="C58" s="88" t="s">
        <v>619</v>
      </c>
      <c r="D58" s="276"/>
      <c r="F58" s="360">
        <v>3600</v>
      </c>
      <c r="G58" s="4"/>
      <c r="H58" s="4"/>
      <c r="I58" s="4">
        <v>10.56</v>
      </c>
      <c r="J58" s="4"/>
      <c r="K58" s="4"/>
      <c r="L58" s="4">
        <v>10.56</v>
      </c>
      <c r="M58" s="4">
        <v>10.56</v>
      </c>
      <c r="N58" s="4">
        <v>10.56</v>
      </c>
    </row>
    <row r="59" spans="3:18">
      <c r="C59" s="88" t="s">
        <v>620</v>
      </c>
      <c r="D59" s="276"/>
      <c r="F59" s="360" t="s">
        <v>368</v>
      </c>
      <c r="G59" s="4"/>
      <c r="H59" s="4"/>
      <c r="I59" s="4"/>
      <c r="J59" s="4"/>
      <c r="K59" s="4"/>
      <c r="L59" s="4">
        <v>133.33000000000001</v>
      </c>
      <c r="M59" s="4">
        <v>0.13</v>
      </c>
      <c r="N59" s="4">
        <v>2.67</v>
      </c>
    </row>
    <row r="60" spans="3:18">
      <c r="D60" s="276"/>
      <c r="F60" s="360" t="s">
        <v>520</v>
      </c>
      <c r="G60" s="4">
        <v>4.7</v>
      </c>
      <c r="H60" s="4"/>
      <c r="I60" s="4">
        <v>4.7</v>
      </c>
      <c r="J60" s="4"/>
      <c r="K60" s="4">
        <v>4.7</v>
      </c>
      <c r="L60" s="4">
        <v>4.7</v>
      </c>
      <c r="M60" s="4">
        <v>4.7</v>
      </c>
      <c r="N60" s="4">
        <v>4.7</v>
      </c>
    </row>
    <row r="61" spans="3:18">
      <c r="D61" s="276"/>
      <c r="F61" s="361" t="s">
        <v>92</v>
      </c>
      <c r="G61" s="4">
        <v>19.38</v>
      </c>
      <c r="H61" s="4">
        <v>2.13</v>
      </c>
      <c r="I61" s="4">
        <v>19.38</v>
      </c>
      <c r="J61" s="4"/>
      <c r="K61" s="4">
        <v>19.38</v>
      </c>
      <c r="L61" s="4"/>
      <c r="M61" s="4"/>
      <c r="N61" s="4"/>
    </row>
    <row r="62" spans="3:18">
      <c r="D62" s="276"/>
      <c r="F62" s="361" t="s">
        <v>364</v>
      </c>
      <c r="G62" s="4"/>
      <c r="H62" s="4"/>
      <c r="I62" s="4"/>
      <c r="J62" s="4"/>
      <c r="K62" s="4"/>
      <c r="L62" s="139">
        <v>8.61</v>
      </c>
      <c r="M62" s="139">
        <v>0.09</v>
      </c>
      <c r="N62" s="139">
        <v>1.72</v>
      </c>
    </row>
    <row r="63" spans="3:18">
      <c r="D63" s="276"/>
      <c r="F63" s="361" t="s">
        <v>93</v>
      </c>
      <c r="G63" s="499">
        <v>29.35</v>
      </c>
      <c r="H63" s="4"/>
      <c r="I63" s="4"/>
      <c r="J63" s="4"/>
      <c r="K63" s="4"/>
      <c r="L63" s="4"/>
    </row>
    <row r="64" spans="3:18">
      <c r="D64" s="276"/>
      <c r="F64" s="361" t="s">
        <v>512</v>
      </c>
      <c r="G64" s="4"/>
      <c r="H64" s="4"/>
      <c r="I64" s="4"/>
      <c r="J64" s="4"/>
      <c r="K64" s="4"/>
      <c r="L64" s="4"/>
    </row>
    <row r="65" spans="3:15">
      <c r="F65" s="361"/>
      <c r="G65" s="157">
        <f>SUM(G55:G64)</f>
        <v>85.710000000000008</v>
      </c>
      <c r="H65" s="157">
        <f t="shared" ref="H65:I65" si="14">SUM(H55:H64)</f>
        <v>5.3599999999999994</v>
      </c>
      <c r="I65" s="157">
        <f t="shared" si="14"/>
        <v>67.42</v>
      </c>
      <c r="J65" s="157"/>
      <c r="K65" s="362">
        <f t="shared" ref="K65:N65" si="15">SUM(K55:K64)</f>
        <v>53.930000000000007</v>
      </c>
      <c r="L65" s="362">
        <f t="shared" si="15"/>
        <v>160.63</v>
      </c>
      <c r="M65" s="362">
        <f t="shared" si="15"/>
        <v>18.91</v>
      </c>
      <c r="N65" s="362">
        <f t="shared" si="15"/>
        <v>23.08</v>
      </c>
      <c r="O65" s="188">
        <f>SUM(K65:N65)</f>
        <v>256.55</v>
      </c>
    </row>
    <row r="68" spans="3:15">
      <c r="C68" s="3" t="s">
        <v>561</v>
      </c>
      <c r="D68" s="357" t="s">
        <v>623</v>
      </c>
      <c r="E68" s="2">
        <v>107.43</v>
      </c>
      <c r="F68" s="7"/>
      <c r="G68" s="157" t="s">
        <v>574</v>
      </c>
      <c r="H68" s="7" t="s">
        <v>251</v>
      </c>
      <c r="I68" s="7" t="s">
        <v>516</v>
      </c>
      <c r="K68" s="373" t="s">
        <v>517</v>
      </c>
    </row>
    <row r="69" spans="3:15">
      <c r="C69" s="435" t="s">
        <v>562</v>
      </c>
      <c r="D69" s="396"/>
      <c r="E69" s="396"/>
      <c r="F69" s="360" t="s">
        <v>316</v>
      </c>
      <c r="G69" s="498"/>
      <c r="H69" s="4"/>
      <c r="I69" s="4">
        <v>0.5</v>
      </c>
      <c r="J69" s="4"/>
      <c r="K69" s="4">
        <v>0.5</v>
      </c>
      <c r="L69" s="4"/>
    </row>
    <row r="70" spans="3:15">
      <c r="C70" s="435" t="s">
        <v>563</v>
      </c>
      <c r="D70" s="363"/>
      <c r="E70" s="363"/>
      <c r="F70" s="360" t="s">
        <v>518</v>
      </c>
      <c r="G70" s="192">
        <v>64.28</v>
      </c>
      <c r="H70" s="4">
        <v>6.46</v>
      </c>
      <c r="I70" s="4">
        <v>58.69</v>
      </c>
      <c r="J70" s="4"/>
      <c r="K70" s="4">
        <v>58.69</v>
      </c>
      <c r="L70" s="4"/>
      <c r="M70" s="192" t="s">
        <v>576</v>
      </c>
    </row>
    <row r="71" spans="3:15">
      <c r="C71" s="435" t="s">
        <v>564</v>
      </c>
      <c r="D71" s="276"/>
      <c r="F71" s="360" t="s">
        <v>519</v>
      </c>
      <c r="G71" s="4"/>
      <c r="H71" s="4"/>
      <c r="I71" s="4"/>
      <c r="J71" s="4"/>
      <c r="K71" s="4"/>
      <c r="L71" s="4"/>
    </row>
    <row r="72" spans="3:15">
      <c r="C72" s="435"/>
      <c r="D72" s="276"/>
      <c r="F72" s="360">
        <v>3600</v>
      </c>
      <c r="G72" s="4"/>
      <c r="H72" s="4"/>
      <c r="I72" s="4"/>
      <c r="J72" s="4"/>
      <c r="K72" s="4"/>
      <c r="L72" s="4"/>
    </row>
    <row r="73" spans="3:15">
      <c r="C73" s="435"/>
      <c r="D73" s="276"/>
      <c r="F73" s="360" t="s">
        <v>368</v>
      </c>
      <c r="G73" s="4"/>
      <c r="H73" s="4"/>
      <c r="I73" s="4"/>
      <c r="J73" s="4"/>
      <c r="K73" s="4"/>
      <c r="L73" s="4"/>
    </row>
    <row r="74" spans="3:15">
      <c r="D74" s="276"/>
      <c r="F74" s="360" t="s">
        <v>520</v>
      </c>
      <c r="G74" s="4">
        <v>5.87</v>
      </c>
      <c r="H74" s="4"/>
      <c r="I74" s="4">
        <v>7.05</v>
      </c>
      <c r="J74" s="4"/>
      <c r="K74" s="4">
        <v>7.05</v>
      </c>
      <c r="L74" s="4"/>
    </row>
    <row r="75" spans="3:15">
      <c r="D75" s="276"/>
      <c r="F75" s="361" t="s">
        <v>92</v>
      </c>
      <c r="G75" s="499">
        <v>28.91</v>
      </c>
      <c r="H75" s="4">
        <v>4.26</v>
      </c>
      <c r="I75" s="4">
        <v>38.76</v>
      </c>
      <c r="J75" s="4"/>
      <c r="K75" s="4">
        <v>38.76</v>
      </c>
      <c r="L75" s="4"/>
    </row>
    <row r="76" spans="3:15">
      <c r="D76" s="276"/>
      <c r="F76" s="361" t="s">
        <v>364</v>
      </c>
      <c r="G76" s="4"/>
      <c r="H76" s="4"/>
      <c r="I76" s="4"/>
      <c r="J76" s="4"/>
      <c r="K76" s="4"/>
      <c r="L76" s="4"/>
    </row>
    <row r="77" spans="3:15">
      <c r="D77" s="276"/>
      <c r="F77" s="361" t="s">
        <v>93</v>
      </c>
      <c r="G77" s="4">
        <v>57.64</v>
      </c>
      <c r="H77" s="4"/>
      <c r="I77" s="4"/>
      <c r="J77" s="4"/>
      <c r="K77" s="4"/>
      <c r="L77" s="4"/>
    </row>
    <row r="78" spans="3:15">
      <c r="D78" s="276"/>
      <c r="F78" s="361" t="s">
        <v>512</v>
      </c>
      <c r="G78" s="4">
        <v>17.87</v>
      </c>
      <c r="H78" s="4"/>
      <c r="I78" s="4"/>
      <c r="J78" s="4"/>
      <c r="K78" s="4"/>
      <c r="L78" s="4"/>
    </row>
    <row r="79" spans="3:15">
      <c r="F79" s="361"/>
      <c r="G79" s="157"/>
      <c r="H79" s="157">
        <f t="shared" ref="H79:I79" si="16">SUM(H69:H78)</f>
        <v>10.719999999999999</v>
      </c>
      <c r="I79" s="157">
        <f t="shared" si="16"/>
        <v>105</v>
      </c>
      <c r="J79" s="157"/>
      <c r="K79" s="362">
        <f t="shared" ref="K79" si="17">SUM(K69:K78)</f>
        <v>105</v>
      </c>
      <c r="L79" s="4"/>
    </row>
    <row r="80" spans="3:15">
      <c r="L80" s="4"/>
    </row>
    <row r="82" spans="3:14">
      <c r="G82" s="157" t="s">
        <v>574</v>
      </c>
      <c r="H82" s="7" t="s">
        <v>320</v>
      </c>
      <c r="I82" s="7" t="s">
        <v>321</v>
      </c>
      <c r="J82" s="7" t="s">
        <v>516</v>
      </c>
      <c r="L82" s="155" t="s">
        <v>517</v>
      </c>
    </row>
    <row r="83" spans="3:14">
      <c r="C83" s="3" t="s">
        <v>566</v>
      </c>
      <c r="D83" s="357" t="s">
        <v>624</v>
      </c>
      <c r="E83" s="2">
        <v>424.27</v>
      </c>
      <c r="F83" s="360" t="s">
        <v>316</v>
      </c>
      <c r="G83" s="498"/>
      <c r="J83" s="2">
        <v>3</v>
      </c>
      <c r="L83" s="2">
        <v>0.5</v>
      </c>
    </row>
    <row r="84" spans="3:14">
      <c r="C84" s="435" t="s">
        <v>562</v>
      </c>
      <c r="D84" s="357"/>
      <c r="E84" s="7"/>
      <c r="F84" s="360" t="s">
        <v>518</v>
      </c>
    </row>
    <row r="85" spans="3:14">
      <c r="D85" s="374"/>
      <c r="E85" s="7"/>
      <c r="F85" s="360" t="s">
        <v>519</v>
      </c>
      <c r="G85" s="2">
        <v>2.93</v>
      </c>
      <c r="J85" s="2">
        <v>2.93</v>
      </c>
      <c r="L85" s="2">
        <v>2.93</v>
      </c>
    </row>
    <row r="86" spans="3:14">
      <c r="D86" s="7"/>
      <c r="E86" s="7"/>
      <c r="F86" s="360">
        <v>3600</v>
      </c>
      <c r="G86" s="498"/>
      <c r="J86" s="2">
        <v>10.56</v>
      </c>
      <c r="L86" s="2">
        <v>10.56</v>
      </c>
    </row>
    <row r="87" spans="3:14">
      <c r="D87" s="7"/>
      <c r="E87" s="7"/>
      <c r="F87" s="360" t="s">
        <v>368</v>
      </c>
      <c r="G87" s="2">
        <v>227.05</v>
      </c>
      <c r="H87" s="2">
        <v>36.56</v>
      </c>
      <c r="J87" s="2">
        <v>231.15</v>
      </c>
      <c r="L87" s="2">
        <v>231.15</v>
      </c>
    </row>
    <row r="88" spans="3:14">
      <c r="D88" s="7"/>
      <c r="E88" s="7"/>
      <c r="F88" s="360" t="s">
        <v>520</v>
      </c>
      <c r="G88" s="2">
        <v>9.4</v>
      </c>
      <c r="J88" s="2">
        <v>8.7899999999999991</v>
      </c>
      <c r="L88" s="2">
        <v>8.7899999999999991</v>
      </c>
    </row>
    <row r="89" spans="3:14">
      <c r="D89" s="7"/>
      <c r="F89" s="361" t="s">
        <v>92</v>
      </c>
      <c r="G89" s="499">
        <v>32.299999999999997</v>
      </c>
      <c r="H89" s="2">
        <v>2.84</v>
      </c>
      <c r="J89" s="2">
        <v>23</v>
      </c>
      <c r="L89" s="2">
        <v>23</v>
      </c>
    </row>
    <row r="90" spans="3:14">
      <c r="D90" s="7"/>
      <c r="F90" s="361" t="s">
        <v>364</v>
      </c>
      <c r="G90" s="2">
        <v>149.36000000000001</v>
      </c>
      <c r="J90" s="2">
        <v>149.36000000000001</v>
      </c>
      <c r="L90" s="2">
        <v>149.36000000000001</v>
      </c>
    </row>
    <row r="91" spans="3:14">
      <c r="D91" s="276"/>
      <c r="F91" s="361" t="s">
        <v>512</v>
      </c>
      <c r="G91" s="2">
        <v>3.23</v>
      </c>
    </row>
    <row r="92" spans="3:14">
      <c r="D92" s="276"/>
      <c r="F92" s="361"/>
      <c r="G92" s="157">
        <f>SUM(G83:G91)</f>
        <v>424.27000000000004</v>
      </c>
      <c r="H92" s="157">
        <f>SUM(H83:H91)</f>
        <v>39.400000000000006</v>
      </c>
      <c r="I92" s="157">
        <f>SUM(I83:I91)</f>
        <v>0</v>
      </c>
      <c r="J92" s="157">
        <f>SUM(J83:J91)</f>
        <v>428.79</v>
      </c>
      <c r="K92" s="157"/>
      <c r="L92" s="159">
        <f>SUM(L83:L91)</f>
        <v>426.29</v>
      </c>
    </row>
    <row r="95" spans="3:14">
      <c r="C95" s="389" t="s">
        <v>546</v>
      </c>
      <c r="D95" s="357" t="s">
        <v>625</v>
      </c>
      <c r="E95" s="2">
        <v>152.97</v>
      </c>
      <c r="F95" s="7"/>
      <c r="G95" s="157" t="s">
        <v>574</v>
      </c>
      <c r="H95" s="7" t="s">
        <v>251</v>
      </c>
      <c r="I95" s="7" t="s">
        <v>516</v>
      </c>
      <c r="K95" s="707" t="s">
        <v>517</v>
      </c>
      <c r="L95" s="707"/>
      <c r="M95" s="707"/>
      <c r="N95" s="707"/>
    </row>
    <row r="96" spans="3:14">
      <c r="C96" s="655" t="s">
        <v>626</v>
      </c>
      <c r="D96" s="396"/>
      <c r="E96" s="396"/>
      <c r="F96" s="360" t="s">
        <v>316</v>
      </c>
      <c r="G96" s="498"/>
      <c r="H96" s="4"/>
      <c r="I96" s="4">
        <v>3</v>
      </c>
      <c r="J96" s="4"/>
      <c r="K96" s="4">
        <v>0.5</v>
      </c>
      <c r="L96" s="4">
        <v>0.5</v>
      </c>
      <c r="M96" s="4">
        <v>0.5</v>
      </c>
      <c r="N96" s="4">
        <v>0.5</v>
      </c>
    </row>
    <row r="97" spans="3:15">
      <c r="C97" s="655" t="s">
        <v>594</v>
      </c>
      <c r="D97" s="363"/>
      <c r="E97" s="363"/>
      <c r="F97" s="360" t="s">
        <v>518</v>
      </c>
      <c r="G97" s="4"/>
      <c r="H97" s="4"/>
      <c r="I97" s="4"/>
      <c r="J97" s="4"/>
      <c r="K97" s="4"/>
      <c r="L97" s="4"/>
      <c r="M97" s="4"/>
      <c r="N97" s="4"/>
    </row>
    <row r="98" spans="3:15">
      <c r="C98" s="655" t="s">
        <v>595</v>
      </c>
      <c r="D98" s="276"/>
      <c r="F98" s="360" t="s">
        <v>519</v>
      </c>
      <c r="G98" s="4">
        <v>2.93</v>
      </c>
      <c r="H98" s="4"/>
      <c r="I98" s="4">
        <v>2.93</v>
      </c>
      <c r="J98" s="4"/>
      <c r="K98" s="4">
        <v>2.93</v>
      </c>
      <c r="L98" s="4">
        <v>2.93</v>
      </c>
      <c r="M98" s="4">
        <v>2.93</v>
      </c>
      <c r="N98" s="4">
        <v>2.93</v>
      </c>
    </row>
    <row r="99" spans="3:15">
      <c r="C99" s="655" t="s">
        <v>627</v>
      </c>
      <c r="D99" s="276"/>
      <c r="F99" s="360">
        <v>3600</v>
      </c>
      <c r="G99" s="499">
        <v>8.8000000000000007</v>
      </c>
      <c r="H99" s="4"/>
      <c r="I99" s="4">
        <v>10.56</v>
      </c>
      <c r="J99" s="4"/>
      <c r="K99" s="4">
        <v>10.56</v>
      </c>
      <c r="L99" s="4">
        <v>10.56</v>
      </c>
      <c r="M99" s="4">
        <v>10.56</v>
      </c>
      <c r="N99" s="4">
        <v>10.56</v>
      </c>
    </row>
    <row r="100" spans="3:15">
      <c r="C100" s="655" t="s">
        <v>628</v>
      </c>
      <c r="D100" s="276"/>
      <c r="F100" s="360" t="s">
        <v>368</v>
      </c>
      <c r="G100" s="499">
        <v>93.08</v>
      </c>
      <c r="H100" s="4">
        <v>16.5</v>
      </c>
      <c r="I100" s="4">
        <v>97.31</v>
      </c>
      <c r="J100" s="4"/>
      <c r="K100" s="4">
        <v>97.31</v>
      </c>
      <c r="L100" s="4">
        <v>5.33</v>
      </c>
      <c r="M100" s="4">
        <v>26.67</v>
      </c>
      <c r="N100" s="4">
        <v>133.33000000000001</v>
      </c>
    </row>
    <row r="101" spans="3:15">
      <c r="C101" s="655" t="s">
        <v>629</v>
      </c>
      <c r="D101" s="276"/>
      <c r="F101" s="360" t="s">
        <v>520</v>
      </c>
      <c r="G101" s="498"/>
      <c r="H101" s="4"/>
      <c r="I101" s="4">
        <v>8.7899999999999991</v>
      </c>
      <c r="J101" s="4"/>
      <c r="K101" s="4">
        <v>8.7899999999999991</v>
      </c>
      <c r="L101" s="4">
        <v>8.7899999999999991</v>
      </c>
      <c r="M101" s="4">
        <v>8.7899999999999991</v>
      </c>
      <c r="N101" s="4">
        <v>8.7899999999999991</v>
      </c>
    </row>
    <row r="102" spans="3:15">
      <c r="C102" s="655" t="s">
        <v>630</v>
      </c>
      <c r="D102" s="276"/>
      <c r="F102" s="361" t="s">
        <v>92</v>
      </c>
      <c r="G102" s="498"/>
      <c r="H102" s="4"/>
      <c r="I102" s="4">
        <v>38.76</v>
      </c>
      <c r="J102" s="4"/>
      <c r="K102" s="4">
        <v>38.76</v>
      </c>
      <c r="L102" s="4"/>
      <c r="M102" s="4"/>
      <c r="N102" s="4"/>
    </row>
    <row r="103" spans="3:15">
      <c r="C103" s="655" t="s">
        <v>631</v>
      </c>
      <c r="D103" s="276"/>
      <c r="F103" s="361" t="s">
        <v>364</v>
      </c>
      <c r="G103" s="499">
        <v>57.85</v>
      </c>
      <c r="H103" s="4"/>
      <c r="I103" s="4">
        <v>105.42</v>
      </c>
      <c r="J103" s="4"/>
      <c r="K103" s="4">
        <v>105.42</v>
      </c>
      <c r="L103" s="4">
        <v>3.44</v>
      </c>
      <c r="M103" s="4">
        <v>17.22</v>
      </c>
      <c r="N103" s="4"/>
    </row>
    <row r="104" spans="3:15">
      <c r="C104" s="655" t="s">
        <v>632</v>
      </c>
      <c r="D104" s="276"/>
      <c r="F104" s="361" t="s">
        <v>93</v>
      </c>
      <c r="G104" s="4"/>
      <c r="H104" s="4"/>
      <c r="I104" s="4"/>
      <c r="J104" s="4"/>
      <c r="K104" s="4"/>
      <c r="L104" s="4"/>
      <c r="M104" s="4"/>
      <c r="N104" s="4"/>
    </row>
    <row r="105" spans="3:15">
      <c r="C105" s="655" t="s">
        <v>633</v>
      </c>
      <c r="D105" s="276"/>
      <c r="F105" s="361" t="s">
        <v>512</v>
      </c>
      <c r="G105" s="4"/>
      <c r="H105" s="4"/>
      <c r="I105" s="4"/>
      <c r="J105" s="4"/>
      <c r="K105" s="4"/>
      <c r="L105" s="4"/>
    </row>
    <row r="106" spans="3:15">
      <c r="C106" s="655" t="s">
        <v>634</v>
      </c>
      <c r="F106" s="361"/>
      <c r="G106" s="157">
        <f>SUM(G96:G105)</f>
        <v>162.66</v>
      </c>
      <c r="H106" s="157">
        <f t="shared" ref="H106:I106" si="18">SUM(H96:H105)</f>
        <v>16.5</v>
      </c>
      <c r="I106" s="157">
        <f t="shared" si="18"/>
        <v>266.77</v>
      </c>
      <c r="J106" s="157"/>
      <c r="K106" s="362">
        <f t="shared" ref="K106:M106" si="19">SUM(K96:K105)</f>
        <v>264.27</v>
      </c>
      <c r="L106" s="362">
        <f t="shared" si="19"/>
        <v>31.55</v>
      </c>
      <c r="M106" s="362">
        <f t="shared" si="19"/>
        <v>66.67</v>
      </c>
      <c r="N106" s="362">
        <f t="shared" ref="N106" si="20">SUM(N96:N105)</f>
        <v>156.11000000000001</v>
      </c>
      <c r="O106" s="188">
        <f>SUM(K106:N106)</f>
        <v>518.6</v>
      </c>
    </row>
    <row r="107" spans="3:15">
      <c r="C107" s="655" t="s">
        <v>635</v>
      </c>
    </row>
    <row r="108" spans="3:15">
      <c r="C108" s="655" t="s">
        <v>636</v>
      </c>
    </row>
    <row r="109" spans="3:15">
      <c r="C109" s="655" t="s">
        <v>637</v>
      </c>
    </row>
    <row r="110" spans="3:15">
      <c r="C110" s="435" t="s">
        <v>607</v>
      </c>
    </row>
    <row r="111" spans="3:15">
      <c r="C111" s="435"/>
    </row>
    <row r="112" spans="3:15">
      <c r="C112" s="3" t="s">
        <v>649</v>
      </c>
      <c r="D112" s="357" t="s">
        <v>638</v>
      </c>
      <c r="E112" s="2">
        <v>96.57</v>
      </c>
      <c r="F112" s="7"/>
      <c r="G112" s="157" t="s">
        <v>574</v>
      </c>
      <c r="H112" s="7" t="s">
        <v>251</v>
      </c>
      <c r="I112" s="7" t="s">
        <v>516</v>
      </c>
      <c r="K112" s="693" t="s">
        <v>517</v>
      </c>
    </row>
    <row r="113" spans="3:11">
      <c r="C113" s="435" t="s">
        <v>609</v>
      </c>
      <c r="D113" s="396"/>
      <c r="E113" s="396"/>
      <c r="F113" s="360" t="s">
        <v>316</v>
      </c>
      <c r="G113" s="498"/>
      <c r="H113" s="4"/>
      <c r="I113" s="4">
        <v>0.5</v>
      </c>
      <c r="J113" s="4"/>
      <c r="K113" s="4">
        <v>0.5</v>
      </c>
    </row>
    <row r="114" spans="3:11">
      <c r="C114" s="435" t="s">
        <v>610</v>
      </c>
      <c r="D114" s="363"/>
      <c r="E114" s="363"/>
      <c r="F114" s="360" t="s">
        <v>518</v>
      </c>
      <c r="G114" s="192">
        <v>58.69</v>
      </c>
      <c r="H114" s="4">
        <v>6.66</v>
      </c>
      <c r="I114" s="4">
        <v>8.8000000000000007</v>
      </c>
      <c r="J114" s="4"/>
      <c r="K114" s="4">
        <v>8.8000000000000007</v>
      </c>
    </row>
    <row r="115" spans="3:11">
      <c r="C115" s="435" t="s">
        <v>611</v>
      </c>
      <c r="D115" s="276"/>
      <c r="F115" s="360" t="s">
        <v>519</v>
      </c>
      <c r="G115" s="4"/>
      <c r="H115" s="4"/>
      <c r="I115" s="4"/>
      <c r="J115" s="4"/>
      <c r="K115" s="4"/>
    </row>
    <row r="116" spans="3:11">
      <c r="D116" s="276"/>
      <c r="F116" s="360">
        <v>3600</v>
      </c>
      <c r="G116" s="4"/>
      <c r="H116" s="4"/>
      <c r="I116" s="4"/>
      <c r="J116" s="4"/>
      <c r="K116" s="4"/>
    </row>
    <row r="117" spans="3:11">
      <c r="D117" s="276"/>
      <c r="F117" s="360" t="s">
        <v>368</v>
      </c>
      <c r="G117" s="4"/>
      <c r="H117" s="4"/>
      <c r="I117" s="4"/>
      <c r="J117" s="4"/>
      <c r="K117" s="4"/>
    </row>
    <row r="118" spans="3:11">
      <c r="D118" s="276"/>
      <c r="F118" s="360" t="s">
        <v>520</v>
      </c>
      <c r="G118" s="192">
        <v>5.86</v>
      </c>
      <c r="H118" s="4"/>
      <c r="I118" s="4">
        <v>4.7</v>
      </c>
      <c r="J118" s="4"/>
      <c r="K118" s="4">
        <v>4.7</v>
      </c>
    </row>
    <row r="119" spans="3:11">
      <c r="D119" s="276"/>
      <c r="F119" s="361" t="s">
        <v>92</v>
      </c>
      <c r="G119" s="192">
        <v>29.09</v>
      </c>
      <c r="H119" s="4">
        <v>3.2</v>
      </c>
      <c r="I119" s="4">
        <v>29.07</v>
      </c>
      <c r="J119" s="4"/>
      <c r="K119" s="4">
        <v>29.07</v>
      </c>
    </row>
    <row r="120" spans="3:11">
      <c r="D120" s="276"/>
      <c r="F120" s="361" t="s">
        <v>364</v>
      </c>
      <c r="G120" s="4"/>
      <c r="H120" s="4"/>
      <c r="I120" s="4"/>
      <c r="J120" s="4"/>
      <c r="K120" s="4"/>
    </row>
    <row r="121" spans="3:11">
      <c r="D121" s="276"/>
      <c r="F121" s="361" t="s">
        <v>93</v>
      </c>
      <c r="G121" s="4"/>
      <c r="H121" s="4"/>
      <c r="I121" s="4"/>
      <c r="J121" s="4"/>
      <c r="K121" s="4"/>
    </row>
    <row r="122" spans="3:11">
      <c r="D122" s="276"/>
      <c r="E122" s="696"/>
      <c r="F122" s="361" t="s">
        <v>512</v>
      </c>
      <c r="G122" s="4">
        <v>2.93</v>
      </c>
      <c r="H122" s="4"/>
      <c r="I122" s="4"/>
      <c r="J122" s="4"/>
      <c r="K122" s="4"/>
    </row>
    <row r="123" spans="3:11">
      <c r="F123" s="361"/>
      <c r="G123" s="157">
        <f t="shared" ref="G123:I123" si="21">SUM(G113:G122)</f>
        <v>96.570000000000007</v>
      </c>
      <c r="H123" s="157">
        <f t="shared" si="21"/>
        <v>9.86</v>
      </c>
      <c r="I123" s="157">
        <f t="shared" si="21"/>
        <v>43.07</v>
      </c>
      <c r="J123" s="157"/>
      <c r="K123" s="362">
        <f t="shared" ref="K123" si="22">SUM(K113:K122)</f>
        <v>43.07</v>
      </c>
    </row>
    <row r="124" spans="3:11">
      <c r="G124" s="2">
        <f>E112-G123</f>
        <v>0</v>
      </c>
    </row>
    <row r="127" spans="3:11">
      <c r="C127" s="3" t="s">
        <v>650</v>
      </c>
      <c r="D127" s="357" t="s">
        <v>639</v>
      </c>
      <c r="E127" s="2">
        <v>59.28</v>
      </c>
      <c r="F127" s="7"/>
      <c r="G127" s="157" t="s">
        <v>574</v>
      </c>
      <c r="H127" s="7" t="s">
        <v>251</v>
      </c>
      <c r="I127" s="7" t="s">
        <v>516</v>
      </c>
      <c r="K127" s="693" t="s">
        <v>517</v>
      </c>
    </row>
    <row r="128" spans="3:11">
      <c r="D128" s="396"/>
      <c r="E128" s="396"/>
      <c r="F128" s="360" t="s">
        <v>316</v>
      </c>
      <c r="G128" s="498"/>
      <c r="H128" s="4"/>
      <c r="I128" s="4"/>
      <c r="J128" s="4"/>
      <c r="K128" s="4"/>
    </row>
    <row r="129" spans="3:12">
      <c r="D129" s="363"/>
      <c r="E129" s="363"/>
      <c r="F129" s="360" t="s">
        <v>518</v>
      </c>
      <c r="G129" s="4">
        <v>8.8000000000000007</v>
      </c>
      <c r="H129" s="4">
        <v>0.97</v>
      </c>
      <c r="I129" s="4">
        <v>8.8000000000000007</v>
      </c>
      <c r="J129" s="4"/>
      <c r="K129" s="4">
        <v>8.8000000000000007</v>
      </c>
    </row>
    <row r="130" spans="3:12">
      <c r="D130" s="276"/>
      <c r="F130" s="360" t="s">
        <v>519</v>
      </c>
      <c r="G130" s="4"/>
      <c r="H130" s="4"/>
      <c r="I130" s="4"/>
      <c r="J130" s="4"/>
      <c r="K130" s="4"/>
    </row>
    <row r="131" spans="3:12">
      <c r="D131" s="276"/>
      <c r="F131" s="360">
        <v>3600</v>
      </c>
      <c r="G131" s="4"/>
      <c r="H131" s="4"/>
      <c r="I131" s="4"/>
      <c r="J131" s="4"/>
      <c r="K131" s="4"/>
    </row>
    <row r="132" spans="3:12">
      <c r="D132" s="276"/>
      <c r="F132" s="360" t="s">
        <v>368</v>
      </c>
      <c r="G132" s="4"/>
      <c r="H132" s="4"/>
      <c r="I132" s="4"/>
      <c r="J132" s="4"/>
      <c r="K132" s="4"/>
    </row>
    <row r="133" spans="3:12">
      <c r="D133" s="276"/>
      <c r="F133" s="360" t="s">
        <v>520</v>
      </c>
      <c r="G133" s="192">
        <v>8.7899999999999991</v>
      </c>
      <c r="H133" s="4"/>
      <c r="I133" s="4">
        <v>7.05</v>
      </c>
      <c r="J133" s="4"/>
      <c r="K133" s="4">
        <v>7.05</v>
      </c>
    </row>
    <row r="134" spans="3:12">
      <c r="D134" s="276"/>
      <c r="F134" s="361" t="s">
        <v>92</v>
      </c>
      <c r="G134" s="192">
        <v>38.76</v>
      </c>
      <c r="H134" s="4">
        <v>4.26</v>
      </c>
      <c r="I134" s="4">
        <v>36.76</v>
      </c>
      <c r="J134" s="4"/>
      <c r="K134" s="4">
        <v>36.76</v>
      </c>
    </row>
    <row r="135" spans="3:12">
      <c r="D135" s="276"/>
      <c r="F135" s="361" t="s">
        <v>364</v>
      </c>
      <c r="G135" s="4"/>
      <c r="H135" s="4"/>
      <c r="I135" s="4"/>
      <c r="J135" s="4"/>
      <c r="K135" s="4"/>
    </row>
    <row r="136" spans="3:12">
      <c r="D136" s="276"/>
      <c r="F136" s="361" t="s">
        <v>93</v>
      </c>
      <c r="G136" s="4"/>
      <c r="H136" s="4"/>
      <c r="I136" s="4"/>
      <c r="J136" s="4"/>
      <c r="K136" s="4"/>
    </row>
    <row r="137" spans="3:12">
      <c r="D137" s="276"/>
      <c r="E137" s="696"/>
      <c r="F137" s="361" t="s">
        <v>512</v>
      </c>
      <c r="G137" s="4">
        <v>2.93</v>
      </c>
      <c r="H137" s="4"/>
      <c r="I137" s="4"/>
      <c r="J137" s="4"/>
      <c r="K137" s="4"/>
    </row>
    <row r="138" spans="3:12">
      <c r="F138" s="361"/>
      <c r="G138" s="157">
        <f t="shared" ref="G138:I138" si="23">SUM(G128:G137)</f>
        <v>59.279999999999994</v>
      </c>
      <c r="H138" s="157">
        <f t="shared" si="23"/>
        <v>5.2299999999999995</v>
      </c>
      <c r="I138" s="157">
        <f t="shared" si="23"/>
        <v>52.61</v>
      </c>
      <c r="J138" s="157"/>
      <c r="K138" s="362">
        <f t="shared" ref="K138" si="24">SUM(K128:K137)</f>
        <v>52.61</v>
      </c>
    </row>
    <row r="139" spans="3:12">
      <c r="G139" s="2">
        <f>E127-G138</f>
        <v>0</v>
      </c>
    </row>
    <row r="140" spans="3:12">
      <c r="D140" s="357" t="s">
        <v>640</v>
      </c>
      <c r="E140" s="2">
        <v>98.55</v>
      </c>
      <c r="F140" s="7"/>
      <c r="G140" s="157" t="s">
        <v>574</v>
      </c>
      <c r="H140" s="7" t="s">
        <v>251</v>
      </c>
      <c r="I140" s="7" t="s">
        <v>516</v>
      </c>
      <c r="K140" s="698" t="s">
        <v>517</v>
      </c>
      <c r="L140" s="698"/>
    </row>
    <row r="141" spans="3:12">
      <c r="C141" s="3" t="s">
        <v>614</v>
      </c>
      <c r="D141" s="396"/>
      <c r="E141" s="396"/>
      <c r="F141" s="360" t="s">
        <v>316</v>
      </c>
      <c r="G141" s="498"/>
      <c r="H141" s="4"/>
      <c r="I141" s="4">
        <v>3</v>
      </c>
      <c r="J141" s="4"/>
      <c r="K141" s="4">
        <v>0.5</v>
      </c>
      <c r="L141" s="4">
        <v>0.5</v>
      </c>
    </row>
    <row r="142" spans="3:12">
      <c r="D142" s="363"/>
      <c r="E142" s="363"/>
      <c r="F142" s="360" t="s">
        <v>518</v>
      </c>
      <c r="G142" s="4"/>
      <c r="H142" s="4"/>
      <c r="I142" s="4"/>
      <c r="J142" s="4"/>
      <c r="K142" s="4"/>
      <c r="L142" s="4"/>
    </row>
    <row r="143" spans="3:12">
      <c r="D143" s="276"/>
      <c r="F143" s="360" t="s">
        <v>519</v>
      </c>
      <c r="G143" s="4">
        <v>2.93</v>
      </c>
      <c r="H143" s="4"/>
      <c r="I143" s="4">
        <v>2.93</v>
      </c>
      <c r="J143" s="4"/>
      <c r="K143" s="4">
        <v>2.93</v>
      </c>
      <c r="L143" s="4">
        <v>2.93</v>
      </c>
    </row>
    <row r="144" spans="3:12">
      <c r="D144" s="276"/>
      <c r="F144" s="360">
        <v>3600</v>
      </c>
      <c r="G144" s="499">
        <v>8.8000000000000007</v>
      </c>
      <c r="H144" s="4"/>
      <c r="I144" s="4">
        <v>10.56</v>
      </c>
      <c r="J144" s="4"/>
      <c r="K144" s="4">
        <v>10.56</v>
      </c>
      <c r="L144" s="4">
        <v>10.56</v>
      </c>
    </row>
    <row r="145" spans="2:13">
      <c r="D145" s="276"/>
      <c r="F145" s="360" t="s">
        <v>368</v>
      </c>
      <c r="G145" s="499">
        <v>12.57</v>
      </c>
      <c r="H145" s="4">
        <v>3.33</v>
      </c>
      <c r="I145" s="4">
        <v>16.8</v>
      </c>
      <c r="J145" s="4"/>
      <c r="K145" s="4">
        <v>16.8</v>
      </c>
      <c r="L145" s="4">
        <v>1.33</v>
      </c>
    </row>
    <row r="146" spans="2:13">
      <c r="D146" s="276"/>
      <c r="F146" s="360" t="s">
        <v>520</v>
      </c>
      <c r="G146" s="4">
        <v>11.72</v>
      </c>
      <c r="H146" s="4"/>
      <c r="I146" s="4">
        <v>11.72</v>
      </c>
      <c r="J146" s="4"/>
      <c r="K146" s="4">
        <v>11.72</v>
      </c>
      <c r="L146" s="4">
        <v>11.72</v>
      </c>
    </row>
    <row r="147" spans="2:13">
      <c r="D147" s="276"/>
      <c r="F147" s="361" t="s">
        <v>92</v>
      </c>
      <c r="G147" s="499">
        <v>32.299999999999997</v>
      </c>
      <c r="H147" s="4">
        <v>3.33</v>
      </c>
      <c r="I147" s="4">
        <v>48.45</v>
      </c>
      <c r="J147" s="4"/>
      <c r="K147" s="4">
        <v>48.45</v>
      </c>
      <c r="L147" s="4"/>
    </row>
    <row r="148" spans="2:13">
      <c r="D148" s="276"/>
      <c r="F148" s="361" t="s">
        <v>364</v>
      </c>
      <c r="G148" s="4">
        <v>10.85</v>
      </c>
      <c r="H148" s="4"/>
      <c r="I148" s="4">
        <v>10.85</v>
      </c>
      <c r="J148" s="4"/>
      <c r="K148" s="4">
        <v>10.85</v>
      </c>
      <c r="L148" s="4">
        <v>0.86</v>
      </c>
    </row>
    <row r="149" spans="2:13">
      <c r="D149" s="276"/>
      <c r="F149" s="361" t="s">
        <v>93</v>
      </c>
      <c r="G149" s="4"/>
      <c r="H149" s="4"/>
      <c r="I149" s="4"/>
      <c r="J149" s="4"/>
      <c r="K149" s="4"/>
      <c r="L149" s="4"/>
    </row>
    <row r="150" spans="2:13">
      <c r="D150" s="276"/>
      <c r="F150" s="361" t="s">
        <v>512</v>
      </c>
      <c r="G150" s="4">
        <v>19.38</v>
      </c>
      <c r="H150" s="4"/>
      <c r="I150" s="4"/>
      <c r="J150" s="4"/>
      <c r="K150" s="4"/>
      <c r="L150" s="4"/>
    </row>
    <row r="151" spans="2:13">
      <c r="F151" s="361"/>
      <c r="G151" s="157">
        <f>SUM(G141:G150)</f>
        <v>98.549999999999983</v>
      </c>
      <c r="H151" s="157">
        <f t="shared" ref="H151:I151" si="25">SUM(H141:H150)</f>
        <v>6.66</v>
      </c>
      <c r="I151" s="157">
        <f t="shared" si="25"/>
        <v>104.31</v>
      </c>
      <c r="J151" s="157"/>
      <c r="K151" s="362">
        <f t="shared" ref="K151:L151" si="26">SUM(K141:K150)</f>
        <v>101.81</v>
      </c>
      <c r="L151" s="362">
        <f t="shared" si="26"/>
        <v>27.9</v>
      </c>
      <c r="M151" s="188">
        <f>SUM(K151:L151)</f>
        <v>129.71</v>
      </c>
    </row>
    <row r="154" spans="2:13">
      <c r="B154" s="357"/>
      <c r="C154" s="8"/>
    </row>
  </sheetData>
  <mergeCells count="12">
    <mergeCell ref="K95:N95"/>
    <mergeCell ref="P1:AA1"/>
    <mergeCell ref="E1:K1"/>
    <mergeCell ref="K54:N54"/>
    <mergeCell ref="A22:D22"/>
    <mergeCell ref="A1:A2"/>
    <mergeCell ref="B1:B2"/>
    <mergeCell ref="C1:C2"/>
    <mergeCell ref="D1:D2"/>
    <mergeCell ref="K41:N41"/>
    <mergeCell ref="N1:O1"/>
    <mergeCell ref="L1:M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8"/>
  <sheetViews>
    <sheetView workbookViewId="0">
      <pane ySplit="2" topLeftCell="A3" activePane="bottomLeft" state="frozen"/>
      <selection pane="bottomLeft" activeCell="A21" sqref="A21"/>
    </sheetView>
  </sheetViews>
  <sheetFormatPr defaultRowHeight="11.25"/>
  <cols>
    <col min="1" max="1" width="8.140625" style="3" bestFit="1" customWidth="1"/>
    <col min="2" max="2" width="59.7109375" style="3" customWidth="1"/>
    <col min="3" max="3" width="14.5703125" style="3" bestFit="1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864" t="s">
        <v>19</v>
      </c>
      <c r="B1" s="866" t="s">
        <v>349</v>
      </c>
      <c r="C1" s="866" t="s">
        <v>84</v>
      </c>
      <c r="D1" s="868" t="s">
        <v>350</v>
      </c>
      <c r="E1" s="869"/>
      <c r="F1" s="869"/>
      <c r="G1" s="870" t="s">
        <v>320</v>
      </c>
      <c r="H1" s="871"/>
      <c r="I1" s="860" t="s">
        <v>321</v>
      </c>
      <c r="J1" s="860"/>
      <c r="K1" s="241"/>
      <c r="L1" s="242"/>
      <c r="M1" s="861" t="s">
        <v>351</v>
      </c>
      <c r="N1" s="861"/>
      <c r="O1" s="861"/>
      <c r="P1" s="242"/>
      <c r="Q1" s="861" t="s">
        <v>352</v>
      </c>
      <c r="R1" s="861"/>
      <c r="S1" s="861"/>
      <c r="T1" s="861"/>
      <c r="U1" s="243"/>
      <c r="V1" s="862" t="s">
        <v>320</v>
      </c>
      <c r="W1" s="862" t="s">
        <v>353</v>
      </c>
      <c r="X1" s="862" t="s">
        <v>354</v>
      </c>
      <c r="Y1" s="243"/>
      <c r="Z1" s="854" t="s">
        <v>355</v>
      </c>
      <c r="AA1" s="855"/>
      <c r="AB1" s="855"/>
      <c r="AC1" s="855"/>
      <c r="AD1" s="856"/>
    </row>
    <row r="2" spans="1:30" ht="12" thickBot="1">
      <c r="A2" s="865"/>
      <c r="B2" s="867"/>
      <c r="C2" s="867"/>
      <c r="D2" s="193" t="s">
        <v>327</v>
      </c>
      <c r="E2" s="193" t="s">
        <v>333</v>
      </c>
      <c r="F2" s="135" t="s">
        <v>334</v>
      </c>
      <c r="G2" s="194" t="s">
        <v>356</v>
      </c>
      <c r="H2" s="195" t="s">
        <v>357</v>
      </c>
      <c r="I2" s="194" t="s">
        <v>358</v>
      </c>
      <c r="J2" s="196" t="s">
        <v>359</v>
      </c>
      <c r="K2" s="244" t="s">
        <v>360</v>
      </c>
      <c r="L2" s="245"/>
      <c r="M2" s="246" t="s">
        <v>363</v>
      </c>
      <c r="N2" s="246" t="s">
        <v>361</v>
      </c>
      <c r="O2" s="246" t="s">
        <v>362</v>
      </c>
      <c r="P2" s="245"/>
      <c r="Q2" s="247" t="s">
        <v>363</v>
      </c>
      <c r="R2" s="248">
        <v>1.2999999999999999E-2</v>
      </c>
      <c r="S2" s="248">
        <v>6.4999999999999997E-3</v>
      </c>
      <c r="T2" s="249">
        <v>1.25E-3</v>
      </c>
      <c r="U2" s="250"/>
      <c r="V2" s="863"/>
      <c r="W2" s="863"/>
      <c r="X2" s="863"/>
      <c r="Y2" s="250"/>
      <c r="Z2" s="251" t="s">
        <v>363</v>
      </c>
      <c r="AA2" s="251" t="s">
        <v>361</v>
      </c>
      <c r="AB2" s="252" t="s">
        <v>362</v>
      </c>
      <c r="AC2" s="251" t="s">
        <v>353</v>
      </c>
      <c r="AD2" s="251" t="s">
        <v>354</v>
      </c>
    </row>
    <row r="3" spans="1:30" s="16" customFormat="1">
      <c r="A3" s="115" t="str">
        <f>'1-συμβολαια'!A3</f>
        <v>1ο</v>
      </c>
      <c r="B3" s="115" t="str">
        <f>'1-συμβολαια'!C3</f>
        <v>κληρονομιάς ΑΠΟΔΟΧΗ</v>
      </c>
      <c r="C3" s="197">
        <f>'1-συμβολαια'!D3</f>
        <v>0</v>
      </c>
      <c r="D3" s="26">
        <f>'8-κ-15-17'!D3</f>
        <v>0</v>
      </c>
      <c r="E3" s="26">
        <f>'8-κ-15-17'!M3</f>
        <v>0</v>
      </c>
      <c r="F3" s="26">
        <f>'8-κ-15-17'!V3</f>
        <v>0</v>
      </c>
      <c r="G3" s="26">
        <f>'2-δικαιώμ'!I3</f>
        <v>0</v>
      </c>
      <c r="H3" s="26">
        <f>'2-δικαιώμ'!J3</f>
        <v>1.4675000000000002</v>
      </c>
      <c r="I3" s="26">
        <f>'2-δικαιώμ'!K3</f>
        <v>1.4675000000000002</v>
      </c>
      <c r="J3" s="26">
        <f>'2-δικαιώμ'!L3</f>
        <v>0.29350000000000004</v>
      </c>
      <c r="K3" s="139"/>
      <c r="L3" s="139"/>
      <c r="M3" s="33"/>
      <c r="N3" s="33"/>
      <c r="O3" s="33"/>
      <c r="P3" s="139"/>
      <c r="Q3" s="33"/>
      <c r="R3" s="33"/>
      <c r="S3" s="33"/>
      <c r="T3" s="33"/>
      <c r="U3" s="139"/>
      <c r="V3" s="33">
        <f>'2-δικαιώμ'!I3+'2-δικαιώμ'!J3</f>
        <v>1.4675000000000002</v>
      </c>
      <c r="W3" s="33">
        <f>'2-δικαιώμ'!K3</f>
        <v>1.4675000000000002</v>
      </c>
      <c r="X3" s="33">
        <f>'2-δικαιώμ'!L3</f>
        <v>0.29350000000000004</v>
      </c>
      <c r="Y3" s="139"/>
      <c r="Z3" s="33"/>
      <c r="AA3" s="33"/>
      <c r="AB3" s="33"/>
      <c r="AC3" s="33"/>
      <c r="AD3" s="33"/>
    </row>
    <row r="4" spans="1:30" s="16" customFormat="1">
      <c r="A4" s="115"/>
      <c r="B4" s="115" t="str">
        <f>'1-συμβολαια'!C4</f>
        <v>χρησικτησία οικοπεδου = 194? γεωργούδηΝικολαο ΑΓΟΡΑΠΩΛΗΣΙΑ (ως αγροτεμάχιο) άτυπος</v>
      </c>
      <c r="C4" s="197">
        <f>'1-συμβολαια'!D4</f>
        <v>1111.1099999999999</v>
      </c>
      <c r="D4" s="26">
        <f>'8-κ-15-17'!D4</f>
        <v>0</v>
      </c>
      <c r="E4" s="26">
        <f>'8-κ-15-17'!M4</f>
        <v>7.2222150000000003</v>
      </c>
      <c r="F4" s="26">
        <f>'8-κ-15-17'!V4</f>
        <v>1.3888874999999998</v>
      </c>
      <c r="G4" s="26">
        <f>'2-δικαιώμ'!I4</f>
        <v>2.1503988000000001</v>
      </c>
      <c r="H4" s="26">
        <f>'2-δικαιώμ'!J4</f>
        <v>0.14650000000000002</v>
      </c>
      <c r="I4" s="26">
        <f>'2-δικαιώμ'!K4</f>
        <v>1.3411660000000001</v>
      </c>
      <c r="J4" s="26">
        <f>'2-δικαιώμ'!L4</f>
        <v>0.2682332</v>
      </c>
      <c r="K4" s="139"/>
      <c r="L4" s="139"/>
      <c r="M4" s="33"/>
      <c r="N4" s="33"/>
      <c r="O4" s="33"/>
      <c r="P4" s="139"/>
      <c r="Q4" s="33"/>
      <c r="R4" s="33"/>
      <c r="S4" s="33"/>
      <c r="T4" s="33"/>
      <c r="U4" s="139"/>
      <c r="V4" s="33">
        <f>'2-δικαιώμ'!I4+'2-δικαιώμ'!J4</f>
        <v>2.2968988000000001</v>
      </c>
      <c r="W4" s="33">
        <f>'2-δικαιώμ'!K4</f>
        <v>1.3411660000000001</v>
      </c>
      <c r="X4" s="33">
        <f>'2-δικαιώμ'!L4</f>
        <v>0.2682332</v>
      </c>
      <c r="Y4" s="139"/>
      <c r="Z4" s="33"/>
      <c r="AA4" s="33"/>
      <c r="AB4" s="33"/>
      <c r="AC4" s="33"/>
      <c r="AD4" s="33"/>
    </row>
    <row r="5" spans="1:30" s="16" customFormat="1">
      <c r="A5" s="115"/>
      <c r="B5" s="115" t="str">
        <f>'1-συμβολαια'!C5</f>
        <v>χρησικτησία αγροτεμάχιο 193 = 1975 ΑΝΑΔΑΣΜΟΣ εκούσιος</v>
      </c>
      <c r="C5" s="197">
        <f>'1-συμβολαια'!D5</f>
        <v>11.11</v>
      </c>
      <c r="D5" s="26">
        <f>'8-κ-15-17'!D5</f>
        <v>0</v>
      </c>
      <c r="E5" s="26">
        <f>'8-κ-15-17'!M5</f>
        <v>7.2215000000000001E-2</v>
      </c>
      <c r="F5" s="26">
        <f>'8-κ-15-17'!V5</f>
        <v>1.3887499999999999E-2</v>
      </c>
      <c r="G5" s="26">
        <f>'2-δικαιώμ'!I5</f>
        <v>0.9623988</v>
      </c>
      <c r="H5" s="26">
        <f>'2-δικαιώμ'!J5</f>
        <v>0.14650000000000002</v>
      </c>
      <c r="I5" s="26">
        <f>'2-δικαιώμ'!K5</f>
        <v>0.68116600000000005</v>
      </c>
      <c r="J5" s="26">
        <f>'2-δικαιώμ'!L5</f>
        <v>0.1362332</v>
      </c>
      <c r="K5" s="139"/>
      <c r="L5" s="139"/>
      <c r="M5" s="33"/>
      <c r="N5" s="33"/>
      <c r="O5" s="33"/>
      <c r="P5" s="139"/>
      <c r="Q5" s="33"/>
      <c r="R5" s="33"/>
      <c r="S5" s="33"/>
      <c r="T5" s="33"/>
      <c r="U5" s="139"/>
      <c r="V5" s="33">
        <f>'2-δικαιώμ'!I5+'2-δικαιώμ'!J5</f>
        <v>1.1088988</v>
      </c>
      <c r="W5" s="33">
        <f>'2-δικαιώμ'!K5</f>
        <v>0.68116600000000005</v>
      </c>
      <c r="X5" s="33">
        <f>'2-δικαιώμ'!L5</f>
        <v>0.1362332</v>
      </c>
      <c r="Y5" s="139"/>
      <c r="Z5" s="33"/>
      <c r="AA5" s="33"/>
      <c r="AB5" s="33"/>
      <c r="AC5" s="33"/>
      <c r="AD5" s="33"/>
    </row>
    <row r="6" spans="1:30" s="16" customFormat="1">
      <c r="A6" s="115"/>
      <c r="B6" s="115" t="str">
        <f>'1-συμβολαια'!C6</f>
        <v>χρησικτησία αγροτεμάχιο 279 = 1975 ΑΝΑΔΑΣΜΟΣ εκούσιος</v>
      </c>
      <c r="C6" s="197">
        <f>'1-συμβολαια'!D6</f>
        <v>222.22</v>
      </c>
      <c r="D6" s="26">
        <f>'8-κ-15-17'!D6</f>
        <v>0</v>
      </c>
      <c r="E6" s="26">
        <f>'8-κ-15-17'!M6</f>
        <v>1.4444300000000001</v>
      </c>
      <c r="F6" s="26">
        <f>'8-κ-15-17'!V6</f>
        <v>0.27777499999999999</v>
      </c>
      <c r="G6" s="26">
        <f>'2-δικαιώμ'!I6</f>
        <v>1.1903975999999998</v>
      </c>
      <c r="H6" s="26">
        <f>'2-δικαιώμ'!J6</f>
        <v>0.14650000000000002</v>
      </c>
      <c r="I6" s="26">
        <f>'2-δικαιώμ'!K6</f>
        <v>0.80783199999999999</v>
      </c>
      <c r="J6" s="26">
        <f>'2-δικαιώμ'!L6</f>
        <v>0.1615664</v>
      </c>
      <c r="K6" s="139"/>
      <c r="L6" s="139"/>
      <c r="M6" s="33"/>
      <c r="N6" s="33"/>
      <c r="O6" s="33"/>
      <c r="P6" s="139"/>
      <c r="Q6" s="33"/>
      <c r="R6" s="33"/>
      <c r="S6" s="33"/>
      <c r="T6" s="33"/>
      <c r="U6" s="139"/>
      <c r="V6" s="33">
        <f>'2-δικαιώμ'!I6+'2-δικαιώμ'!J6</f>
        <v>1.3368975999999999</v>
      </c>
      <c r="W6" s="33">
        <f>'2-δικαιώμ'!K6</f>
        <v>0.80783199999999999</v>
      </c>
      <c r="X6" s="33">
        <f>'2-δικαιώμ'!L6</f>
        <v>0.1615664</v>
      </c>
      <c r="Y6" s="139"/>
      <c r="Z6" s="33"/>
      <c r="AA6" s="33"/>
      <c r="AB6" s="33"/>
      <c r="AC6" s="33"/>
      <c r="AD6" s="33"/>
    </row>
    <row r="7" spans="1:30" s="16" customFormat="1">
      <c r="A7" s="115" t="str">
        <f>'1-συμβολαια'!A7</f>
        <v>2ο</v>
      </c>
      <c r="B7" s="115" t="str">
        <f>'1-συμβολαια'!C7</f>
        <v>κληρονομιάς ΑΠΟΔΟΧΗ</v>
      </c>
      <c r="C7" s="197">
        <f>'1-συμβολαια'!D7</f>
        <v>0</v>
      </c>
      <c r="D7" s="26">
        <f>'8-κ-15-17'!D7</f>
        <v>0</v>
      </c>
      <c r="E7" s="26">
        <f>'8-κ-15-17'!M7</f>
        <v>0</v>
      </c>
      <c r="F7" s="26">
        <f>'8-κ-15-17'!V7</f>
        <v>0</v>
      </c>
      <c r="G7" s="26">
        <f>'2-δικαιώμ'!I7</f>
        <v>0</v>
      </c>
      <c r="H7" s="26">
        <f>'2-δικαιώμ'!J7</f>
        <v>1.4675000000000002</v>
      </c>
      <c r="I7" s="26">
        <f>'2-δικαιώμ'!K7</f>
        <v>1.4675000000000002</v>
      </c>
      <c r="J7" s="26">
        <f>'2-δικαιώμ'!L7</f>
        <v>0.29350000000000004</v>
      </c>
      <c r="K7" s="139"/>
      <c r="L7" s="139"/>
      <c r="M7" s="33"/>
      <c r="N7" s="33"/>
      <c r="O7" s="33"/>
      <c r="P7" s="139"/>
      <c r="Q7" s="33"/>
      <c r="R7" s="33"/>
      <c r="S7" s="33"/>
      <c r="T7" s="33"/>
      <c r="U7" s="139"/>
      <c r="V7" s="33">
        <f>'2-δικαιώμ'!I7+'2-δικαιώμ'!J7</f>
        <v>1.4675000000000002</v>
      </c>
      <c r="W7" s="33">
        <f>'2-δικαιώμ'!K7</f>
        <v>1.4675000000000002</v>
      </c>
      <c r="X7" s="33">
        <f>'2-δικαιώμ'!L7</f>
        <v>0.29350000000000004</v>
      </c>
      <c r="Y7" s="139"/>
      <c r="Z7" s="33"/>
      <c r="AA7" s="33"/>
      <c r="AB7" s="33"/>
      <c r="AC7" s="33"/>
      <c r="AD7" s="33"/>
    </row>
    <row r="8" spans="1:30" s="16" customFormat="1">
      <c r="A8" s="115"/>
      <c r="B8" s="115" t="str">
        <f>'1-συμβολαια'!C8</f>
        <v>χρησικτησία οικοπεδου &amp; οικίας &amp; αποθήκης = 27/7/87 πατρός ΚΛΗΡΟΝΟΜΙΑ άτυπος</v>
      </c>
      <c r="C8" s="197">
        <f>'1-συμβολαια'!D8</f>
        <v>11111.11</v>
      </c>
      <c r="D8" s="26">
        <f>'8-κ-15-17'!D8</f>
        <v>0</v>
      </c>
      <c r="E8" s="26">
        <f>'8-κ-15-17'!M8</f>
        <v>72.222215000000006</v>
      </c>
      <c r="F8" s="26">
        <f>'8-κ-15-17'!V8</f>
        <v>13.888887500000001</v>
      </c>
      <c r="G8" s="26">
        <f>'2-δικαιώμ'!I8</f>
        <v>12.9503988</v>
      </c>
      <c r="H8" s="26">
        <f>'2-δικαιώμ'!J8</f>
        <v>0.14650000000000002</v>
      </c>
      <c r="I8" s="26">
        <f>'2-δικαιώμ'!K8</f>
        <v>7.3411660000000012</v>
      </c>
      <c r="J8" s="26">
        <f>'2-δικαιώμ'!L8</f>
        <v>1.4682332000000002</v>
      </c>
      <c r="K8" s="139"/>
      <c r="L8" s="139"/>
      <c r="M8" s="33"/>
      <c r="N8" s="33"/>
      <c r="O8" s="33"/>
      <c r="P8" s="139"/>
      <c r="Q8" s="33"/>
      <c r="R8" s="33"/>
      <c r="S8" s="33"/>
      <c r="T8" s="33"/>
      <c r="U8" s="139"/>
      <c r="V8" s="33">
        <f>'2-δικαιώμ'!I8+'2-δικαιώμ'!J8</f>
        <v>13.0968988</v>
      </c>
      <c r="W8" s="33">
        <f>'2-δικαιώμ'!K8</f>
        <v>7.3411660000000012</v>
      </c>
      <c r="X8" s="33">
        <f>'2-δικαιώμ'!L8</f>
        <v>1.4682332000000002</v>
      </c>
      <c r="Y8" s="139"/>
      <c r="Z8" s="33"/>
      <c r="AA8" s="33"/>
      <c r="AB8" s="33"/>
      <c r="AC8" s="33"/>
      <c r="AD8" s="33"/>
    </row>
    <row r="9" spans="1:30" s="16" customFormat="1">
      <c r="A9" s="115"/>
      <c r="B9" s="115" t="str">
        <f>'1-συμβολαια'!C9</f>
        <v>χρησικτησία αγροτεμάχιο 193 = 27/7/87 πατρός ΚΛΗΡΟΝΟΜΙΑ άτυπος</v>
      </c>
      <c r="C9" s="197">
        <f>'1-συμβολαια'!D9</f>
        <v>11.11</v>
      </c>
      <c r="D9" s="26">
        <f>'8-κ-15-17'!D9</f>
        <v>0</v>
      </c>
      <c r="E9" s="26">
        <f>'8-κ-15-17'!M9</f>
        <v>7.2215000000000001E-2</v>
      </c>
      <c r="F9" s="26">
        <f>'8-κ-15-17'!V9</f>
        <v>1.3887499999999999E-2</v>
      </c>
      <c r="G9" s="26">
        <f>'2-δικαιώμ'!I9</f>
        <v>0.9623988</v>
      </c>
      <c r="H9" s="26">
        <f>'2-δικαιώμ'!J9</f>
        <v>0.14650000000000002</v>
      </c>
      <c r="I9" s="26">
        <f>'2-δικαιώμ'!K9</f>
        <v>0.68116600000000005</v>
      </c>
      <c r="J9" s="26">
        <f>'2-δικαιώμ'!L9</f>
        <v>0.1362332</v>
      </c>
      <c r="K9" s="139"/>
      <c r="L9" s="139"/>
      <c r="M9" s="33"/>
      <c r="N9" s="33"/>
      <c r="O9" s="33"/>
      <c r="P9" s="139"/>
      <c r="Q9" s="33"/>
      <c r="R9" s="33"/>
      <c r="S9" s="33"/>
      <c r="T9" s="33"/>
      <c r="U9" s="139"/>
      <c r="V9" s="33">
        <f>'2-δικαιώμ'!I9+'2-δικαιώμ'!J9</f>
        <v>1.1088988</v>
      </c>
      <c r="W9" s="33">
        <f>'2-δικαιώμ'!K9</f>
        <v>0.68116600000000005</v>
      </c>
      <c r="X9" s="33">
        <f>'2-δικαιώμ'!L9</f>
        <v>0.1362332</v>
      </c>
      <c r="Y9" s="139"/>
      <c r="Z9" s="33"/>
      <c r="AA9" s="33"/>
      <c r="AB9" s="33"/>
      <c r="AC9" s="33"/>
      <c r="AD9" s="33"/>
    </row>
    <row r="10" spans="1:30" s="16" customFormat="1">
      <c r="A10" s="115"/>
      <c r="B10" s="115" t="str">
        <f>'1-συμβολαια'!C10</f>
        <v>χρησικτησία αγροτεμάχιο 279 = 27/7/87 πατρός ΚΛΗΡΟΝΟΜΙΑ άτυπος</v>
      </c>
      <c r="C10" s="197">
        <f>'1-συμβολαια'!D10</f>
        <v>222.22</v>
      </c>
      <c r="D10" s="26">
        <f>'8-κ-15-17'!D10</f>
        <v>0</v>
      </c>
      <c r="E10" s="26">
        <f>'8-κ-15-17'!M10</f>
        <v>1.4444300000000001</v>
      </c>
      <c r="F10" s="26">
        <f>'8-κ-15-17'!V10</f>
        <v>0.27777499999999999</v>
      </c>
      <c r="G10" s="26">
        <f>'2-δικαιώμ'!I10</f>
        <v>1.1903975999999998</v>
      </c>
      <c r="H10" s="26">
        <f>'2-δικαιώμ'!J10</f>
        <v>0.14650000000000002</v>
      </c>
      <c r="I10" s="26">
        <f>'2-δικαιώμ'!K10</f>
        <v>0.80783199999999999</v>
      </c>
      <c r="J10" s="26">
        <f>'2-δικαιώμ'!L10</f>
        <v>0.1615664</v>
      </c>
      <c r="K10" s="139"/>
      <c r="L10" s="139"/>
      <c r="M10" s="33"/>
      <c r="N10" s="33"/>
      <c r="O10" s="33"/>
      <c r="P10" s="139"/>
      <c r="Q10" s="33"/>
      <c r="R10" s="33"/>
      <c r="S10" s="33"/>
      <c r="T10" s="33"/>
      <c r="U10" s="139"/>
      <c r="V10" s="33">
        <f>'2-δικαιώμ'!I10+'2-δικαιώμ'!J10</f>
        <v>1.3368975999999999</v>
      </c>
      <c r="W10" s="33">
        <f>'2-δικαιώμ'!K10</f>
        <v>0.80783199999999999</v>
      </c>
      <c r="X10" s="33">
        <f>'2-δικαιώμ'!L10</f>
        <v>0.1615664</v>
      </c>
      <c r="Y10" s="139"/>
      <c r="Z10" s="33"/>
      <c r="AA10" s="33"/>
      <c r="AB10" s="33"/>
      <c r="AC10" s="33"/>
      <c r="AD10" s="33"/>
    </row>
    <row r="11" spans="1:30" s="16" customFormat="1">
      <c r="A11" s="115" t="str">
        <f>'1-συμβολαια'!A11</f>
        <v>3ο</v>
      </c>
      <c r="B11" s="115" t="str">
        <f>'1-συμβολαια'!C11</f>
        <v>κάθετος ΣΥΣΤΑΣΗ</v>
      </c>
      <c r="C11" s="197">
        <f>'1-συμβολαια'!D11</f>
        <v>0</v>
      </c>
      <c r="D11" s="26">
        <f>'8-κ-15-17'!D11</f>
        <v>0</v>
      </c>
      <c r="E11" s="26">
        <f>'8-κ-15-17'!M11</f>
        <v>0</v>
      </c>
      <c r="F11" s="26">
        <f>'8-κ-15-17'!V11</f>
        <v>0</v>
      </c>
      <c r="G11" s="26">
        <f>'2-δικαιώμ'!I11</f>
        <v>0</v>
      </c>
      <c r="H11" s="26">
        <f>'2-δικαιώμ'!J11</f>
        <v>2.9344999999999999</v>
      </c>
      <c r="I11" s="26">
        <f>'2-δικαιώμ'!K11</f>
        <v>2.9344999999999999</v>
      </c>
      <c r="J11" s="26">
        <f>'2-δικαιώμ'!L11</f>
        <v>0.58689999999999998</v>
      </c>
      <c r="K11" s="139"/>
      <c r="L11" s="139"/>
      <c r="M11" s="33"/>
      <c r="N11" s="33"/>
      <c r="O11" s="33"/>
      <c r="P11" s="139"/>
      <c r="Q11" s="33"/>
      <c r="R11" s="33"/>
      <c r="S11" s="33"/>
      <c r="T11" s="33"/>
      <c r="U11" s="139"/>
      <c r="V11" s="33">
        <f>'2-δικαιώμ'!I11+'2-δικαιώμ'!J11</f>
        <v>2.9344999999999999</v>
      </c>
      <c r="W11" s="33">
        <f>'2-δικαιώμ'!K11</f>
        <v>2.9344999999999999</v>
      </c>
      <c r="X11" s="33">
        <f>'2-δικαιώμ'!L11</f>
        <v>0.58689999999999998</v>
      </c>
      <c r="Y11" s="139"/>
      <c r="Z11" s="33"/>
      <c r="AA11" s="33"/>
      <c r="AB11" s="33"/>
      <c r="AC11" s="33"/>
      <c r="AD11" s="33"/>
    </row>
    <row r="12" spans="1:30" s="16" customFormat="1">
      <c r="A12" s="115" t="str">
        <f>'1-συμβολαια'!A12</f>
        <v>4ο</v>
      </c>
      <c r="B12" s="115" t="str">
        <f>'1-συμβολαια'!C12</f>
        <v>γονική ΨΙΛΗΣ ΚΥΡΙΟΤΗΤΑΣ</v>
      </c>
      <c r="C12" s="197">
        <f>'1-συμβολαια'!D12</f>
        <v>19272.79</v>
      </c>
      <c r="D12" s="26">
        <f>'8-κ-15-17'!D12</f>
        <v>0</v>
      </c>
      <c r="E12" s="26">
        <f>'8-κ-15-17'!M12</f>
        <v>125.27313500000001</v>
      </c>
      <c r="F12" s="26">
        <f>'8-κ-15-17'!V12</f>
        <v>24.090987500000001</v>
      </c>
      <c r="G12" s="26">
        <f>'2-δικαιώμ'!I12</f>
        <v>21.765013199999999</v>
      </c>
      <c r="H12" s="26">
        <f>'2-δικαιώμ'!J12</f>
        <v>0.14650000000000002</v>
      </c>
      <c r="I12" s="26">
        <f>'2-δικαιώμ'!K12</f>
        <v>12.238174000000001</v>
      </c>
      <c r="J12" s="26">
        <f>'2-δικαιώμ'!L12</f>
        <v>2.4476348000000003</v>
      </c>
      <c r="K12" s="139"/>
      <c r="L12" s="139"/>
      <c r="M12" s="33"/>
      <c r="N12" s="33"/>
      <c r="O12" s="33"/>
      <c r="P12" s="139"/>
      <c r="Q12" s="33"/>
      <c r="R12" s="33"/>
      <c r="S12" s="33"/>
      <c r="T12" s="33"/>
      <c r="U12" s="139"/>
      <c r="V12" s="33">
        <f>'2-δικαιώμ'!I12+'2-δικαιώμ'!J12</f>
        <v>21.911513199999998</v>
      </c>
      <c r="W12" s="33">
        <f>'2-δικαιώμ'!K12</f>
        <v>12.238174000000001</v>
      </c>
      <c r="X12" s="33">
        <f>'2-δικαιώμ'!L12</f>
        <v>2.4476348000000003</v>
      </c>
      <c r="Y12" s="139"/>
      <c r="Z12" s="33"/>
      <c r="AA12" s="33"/>
      <c r="AB12" s="33"/>
      <c r="AC12" s="33"/>
      <c r="AD12" s="33"/>
    </row>
    <row r="13" spans="1:30" s="16" customFormat="1">
      <c r="A13" s="115" t="str">
        <f>'1-συμβολαια'!A13</f>
        <v>5ο</v>
      </c>
      <c r="B13" s="115" t="str">
        <f>'1-συμβολαια'!C13</f>
        <v>πληρεξούσιο</v>
      </c>
      <c r="C13" s="197">
        <f>'1-συμβολαια'!D13</f>
        <v>0</v>
      </c>
      <c r="D13" s="26">
        <f>'8-κ-15-17'!D13</f>
        <v>0</v>
      </c>
      <c r="E13" s="26">
        <f>'8-κ-15-17'!M13</f>
        <v>0</v>
      </c>
      <c r="F13" s="26">
        <f>'8-κ-15-17'!V13</f>
        <v>0</v>
      </c>
      <c r="G13" s="26">
        <f>'2-δικαιώμ'!I13</f>
        <v>0</v>
      </c>
      <c r="H13" s="26">
        <f>'2-δικαιώμ'!J13</f>
        <v>0.44000000000000006</v>
      </c>
      <c r="I13" s="26">
        <f>'2-δικαιώμ'!K13</f>
        <v>0.44000000000000006</v>
      </c>
      <c r="J13" s="26">
        <f>'2-δικαιώμ'!L13</f>
        <v>8.8000000000000009E-2</v>
      </c>
      <c r="K13" s="139"/>
      <c r="L13" s="139"/>
      <c r="M13" s="33"/>
      <c r="N13" s="33"/>
      <c r="O13" s="33"/>
      <c r="P13" s="139"/>
      <c r="Q13" s="33"/>
      <c r="R13" s="33"/>
      <c r="S13" s="33"/>
      <c r="T13" s="33"/>
      <c r="U13" s="139"/>
      <c r="V13" s="33">
        <f>'2-δικαιώμ'!I13+'2-δικαιώμ'!J13</f>
        <v>0.44000000000000006</v>
      </c>
      <c r="W13" s="33">
        <f>'2-δικαιώμ'!K13</f>
        <v>0.44000000000000006</v>
      </c>
      <c r="X13" s="33">
        <f>'2-δικαιώμ'!L13</f>
        <v>8.8000000000000009E-2</v>
      </c>
      <c r="Y13" s="139"/>
      <c r="Z13" s="33"/>
      <c r="AA13" s="33"/>
      <c r="AB13" s="33"/>
      <c r="AC13" s="33"/>
      <c r="AD13" s="33"/>
    </row>
    <row r="14" spans="1:30" s="16" customFormat="1">
      <c r="A14" s="115" t="str">
        <f>'1-συμβολαια'!A14</f>
        <v>6ο</v>
      </c>
      <c r="B14" s="115" t="str">
        <f>'1-συμβολαια'!C14</f>
        <v>μίσθωση αγροτεμαχίων 15 έτη { έως 19/1/2019 }</v>
      </c>
      <c r="C14" s="197">
        <f>'1-συμβολαια'!D14</f>
        <v>8109</v>
      </c>
      <c r="D14" s="26">
        <f>'8-κ-15-17'!D14</f>
        <v>105.41700000000002</v>
      </c>
      <c r="E14" s="26">
        <f>'8-κ-15-17'!M14</f>
        <v>0</v>
      </c>
      <c r="F14" s="26">
        <f>'8-κ-15-17'!V14</f>
        <v>0</v>
      </c>
      <c r="G14" s="26">
        <f>'2-δικαιώμ'!I14</f>
        <v>9.708120000000001</v>
      </c>
      <c r="H14" s="26">
        <f>'2-δικαιώμ'!J14</f>
        <v>0.14650000000000002</v>
      </c>
      <c r="I14" s="26">
        <f>'2-δικαιώμ'!K14</f>
        <v>5.5399000000000003</v>
      </c>
      <c r="J14" s="26">
        <f>'2-δικαιώμ'!L14</f>
        <v>1.10798</v>
      </c>
      <c r="K14" s="139"/>
      <c r="L14" s="139"/>
      <c r="M14" s="33"/>
      <c r="N14" s="33"/>
      <c r="O14" s="33"/>
      <c r="P14" s="139"/>
      <c r="Q14" s="33"/>
      <c r="R14" s="33"/>
      <c r="S14" s="33"/>
      <c r="T14" s="33"/>
      <c r="U14" s="139"/>
      <c r="V14" s="33">
        <f>'2-δικαιώμ'!I14+'2-δικαιώμ'!J14</f>
        <v>9.8546200000000006</v>
      </c>
      <c r="W14" s="33">
        <f>'2-δικαιώμ'!K14</f>
        <v>5.5399000000000003</v>
      </c>
      <c r="X14" s="33">
        <f>'2-δικαιώμ'!L14</f>
        <v>1.10798</v>
      </c>
      <c r="Y14" s="139"/>
      <c r="Z14" s="33"/>
      <c r="AA14" s="33"/>
      <c r="AB14" s="33"/>
      <c r="AC14" s="33"/>
      <c r="AD14" s="33"/>
    </row>
    <row r="15" spans="1:30" s="16" customFormat="1">
      <c r="A15" s="115"/>
      <c r="B15" s="115" t="str">
        <f>'1-συμβολαια'!C15</f>
        <v>ΧΡΗΣΙΚΤΗΣΙΑ αγροτεμαχίων 2'-3' = 19?? ΑΝΑΔΑΣΜΟΣ</v>
      </c>
      <c r="C15" s="197">
        <f>'1-συμβολαια'!D15</f>
        <v>444.44</v>
      </c>
      <c r="D15" s="26">
        <f>'8-κ-15-17'!D15</f>
        <v>0</v>
      </c>
      <c r="E15" s="26">
        <f>'8-κ-15-17'!M15</f>
        <v>2.8888600000000002</v>
      </c>
      <c r="F15" s="26">
        <f>'8-κ-15-17'!V15</f>
        <v>0.55554999999999999</v>
      </c>
      <c r="G15" s="26">
        <f>'2-δικαιώμ'!I15</f>
        <v>1.4303952</v>
      </c>
      <c r="H15" s="26">
        <f>'2-δικαιώμ'!J15</f>
        <v>0.14650000000000002</v>
      </c>
      <c r="I15" s="26">
        <f>'2-δικαιώμ'!K15</f>
        <v>0.94116400000000011</v>
      </c>
      <c r="J15" s="26">
        <f>'2-δικαιώμ'!L15</f>
        <v>0.18823280000000001</v>
      </c>
      <c r="K15" s="139"/>
      <c r="L15" s="139"/>
      <c r="M15" s="33"/>
      <c r="N15" s="33"/>
      <c r="O15" s="33"/>
      <c r="P15" s="139"/>
      <c r="Q15" s="33"/>
      <c r="R15" s="33"/>
      <c r="S15" s="33"/>
      <c r="T15" s="33"/>
      <c r="U15" s="139"/>
      <c r="V15" s="33">
        <f>'2-δικαιώμ'!I15+'2-δικαιώμ'!J15</f>
        <v>1.5768952000000001</v>
      </c>
      <c r="W15" s="33">
        <f>'2-δικαιώμ'!K15</f>
        <v>0.94116400000000011</v>
      </c>
      <c r="X15" s="33">
        <f>'2-δικαιώμ'!L15</f>
        <v>0.18823280000000001</v>
      </c>
      <c r="Y15" s="139"/>
      <c r="Z15" s="33"/>
      <c r="AA15" s="33"/>
      <c r="AB15" s="33"/>
      <c r="AC15" s="33"/>
      <c r="AD15" s="33"/>
    </row>
    <row r="16" spans="1:30" s="16" customFormat="1">
      <c r="A16" s="115"/>
      <c r="B16" s="115" t="str">
        <f>'1-συμβολαια'!C16</f>
        <v>ΧΡΗΣΙΚΤΗΣΙΑ αγροτεμαχίων υπόλοιπων 12 = πατρός 19?? ΔΩΡΕΕΣ &amp; ΚΛΗΡΟΝΟΜΙΕΣ άτυπες</v>
      </c>
      <c r="C16" s="197">
        <f>'1-συμβολαια'!D16</f>
        <v>2222.2199999999998</v>
      </c>
      <c r="D16" s="26">
        <f>'8-κ-15-17'!D16</f>
        <v>0</v>
      </c>
      <c r="E16" s="26">
        <f>'8-κ-15-17'!M16</f>
        <v>14.444430000000001</v>
      </c>
      <c r="F16" s="26">
        <f>'8-κ-15-17'!V16</f>
        <v>2.7777749999999997</v>
      </c>
      <c r="G16" s="26">
        <f>'2-δικαιώμ'!I16</f>
        <v>3.3503975999999995</v>
      </c>
      <c r="H16" s="26">
        <f>'2-δικαιώμ'!J16</f>
        <v>0.14650000000000002</v>
      </c>
      <c r="I16" s="26">
        <f>'2-δικαιώμ'!K16</f>
        <v>2.0078320000000001</v>
      </c>
      <c r="J16" s="26">
        <f>'2-δικαιώμ'!L16</f>
        <v>0.40156639999999999</v>
      </c>
      <c r="K16" s="139"/>
      <c r="L16" s="139"/>
      <c r="M16" s="33"/>
      <c r="N16" s="33"/>
      <c r="O16" s="33"/>
      <c r="P16" s="139"/>
      <c r="Q16" s="33"/>
      <c r="R16" s="33"/>
      <c r="S16" s="33"/>
      <c r="T16" s="33"/>
      <c r="U16" s="139"/>
      <c r="V16" s="33">
        <f>'2-δικαιώμ'!I16+'2-δικαιώμ'!J16</f>
        <v>3.4968975999999996</v>
      </c>
      <c r="W16" s="33">
        <f>'2-δικαιώμ'!K16</f>
        <v>2.0078320000000001</v>
      </c>
      <c r="X16" s="33">
        <f>'2-δικαιώμ'!L16</f>
        <v>0.40156639999999999</v>
      </c>
      <c r="Y16" s="139"/>
      <c r="Z16" s="33"/>
      <c r="AA16" s="33"/>
      <c r="AB16" s="33"/>
      <c r="AC16" s="33"/>
      <c r="AD16" s="33"/>
    </row>
    <row r="17" spans="1:30" s="16" customFormat="1">
      <c r="A17" s="115"/>
      <c r="B17" s="115" t="str">
        <f>'1-συμβολαια'!C17</f>
        <v>μίσθωση = ΠΑΓΙΑ ως νέος αγρότης</v>
      </c>
      <c r="C17" s="197">
        <f>'1-συμβολαια'!D17</f>
        <v>11111.11</v>
      </c>
      <c r="D17" s="26">
        <f>'8-κ-15-17'!D17</f>
        <v>144.44443000000001</v>
      </c>
      <c r="E17" s="26">
        <f>'8-κ-15-17'!M17</f>
        <v>0</v>
      </c>
      <c r="F17" s="26">
        <f>'8-κ-15-17'!V17</f>
        <v>0</v>
      </c>
      <c r="G17" s="26">
        <f>'2-δικαιώμ'!I17</f>
        <v>12.9503988</v>
      </c>
      <c r="H17" s="26">
        <f>'2-δικαιώμ'!J17</f>
        <v>0.14650000000000002</v>
      </c>
      <c r="I17" s="26">
        <f>'2-δικαιώμ'!K17</f>
        <v>7.3411660000000012</v>
      </c>
      <c r="J17" s="26">
        <f>'2-δικαιώμ'!L17</f>
        <v>1.4682332000000002</v>
      </c>
      <c r="K17" s="139"/>
      <c r="L17" s="139"/>
      <c r="M17" s="33"/>
      <c r="N17" s="33"/>
      <c r="O17" s="33"/>
      <c r="P17" s="139"/>
      <c r="Q17" s="33"/>
      <c r="R17" s="33"/>
      <c r="S17" s="33"/>
      <c r="T17" s="33"/>
      <c r="U17" s="139"/>
      <c r="V17" s="33">
        <f>'2-δικαιώμ'!I17+'2-δικαιώμ'!J17</f>
        <v>13.0968988</v>
      </c>
      <c r="W17" s="33">
        <f>'2-δικαιώμ'!K17</f>
        <v>7.3411660000000012</v>
      </c>
      <c r="X17" s="33">
        <f>'2-δικαιώμ'!L17</f>
        <v>1.4682332000000002</v>
      </c>
      <c r="Y17" s="139"/>
      <c r="Z17" s="33"/>
      <c r="AA17" s="33"/>
      <c r="AB17" s="33"/>
      <c r="AC17" s="33"/>
      <c r="AD17" s="33"/>
    </row>
    <row r="18" spans="1:30" s="16" customFormat="1">
      <c r="A18" s="115" t="str">
        <f>'1-συμβολαια'!A18</f>
        <v>7ο</v>
      </c>
      <c r="B18" s="115" t="str">
        <f>'1-συμβολαια'!C18</f>
        <v>*καθετου συστάσεως 2.539 ΔΙΟΡΘΩΣΗ</v>
      </c>
      <c r="C18" s="197">
        <f>'1-συμβολαια'!D18</f>
        <v>0</v>
      </c>
      <c r="D18" s="26">
        <f>'8-κ-15-17'!D18</f>
        <v>0</v>
      </c>
      <c r="E18" s="26">
        <f>'8-κ-15-17'!M18</f>
        <v>0</v>
      </c>
      <c r="F18" s="26">
        <f>'8-κ-15-17'!V18</f>
        <v>0</v>
      </c>
      <c r="G18" s="26">
        <f>'2-δικαιώμ'!I18</f>
        <v>0</v>
      </c>
      <c r="H18" s="26">
        <f>'2-δικαιώμ'!J18</f>
        <v>0.44000000000000006</v>
      </c>
      <c r="I18" s="26">
        <f>'2-δικαιώμ'!K18</f>
        <v>0.44000000000000006</v>
      </c>
      <c r="J18" s="26">
        <f>'2-δικαιώμ'!L18</f>
        <v>8.8000000000000009E-2</v>
      </c>
      <c r="K18" s="139"/>
      <c r="L18" s="139"/>
      <c r="M18" s="33"/>
      <c r="N18" s="33"/>
      <c r="O18" s="33"/>
      <c r="P18" s="139"/>
      <c r="Q18" s="33"/>
      <c r="R18" s="33"/>
      <c r="S18" s="33"/>
      <c r="T18" s="33"/>
      <c r="U18" s="139"/>
      <c r="V18" s="33">
        <f>'2-δικαιώμ'!I18+'2-δικαιώμ'!J18</f>
        <v>0.44000000000000006</v>
      </c>
      <c r="W18" s="33">
        <f>'2-δικαιώμ'!K18</f>
        <v>0.44000000000000006</v>
      </c>
      <c r="X18" s="33">
        <f>'2-δικαιώμ'!L18</f>
        <v>8.8000000000000009E-2</v>
      </c>
      <c r="Y18" s="139"/>
      <c r="Z18" s="33"/>
      <c r="AA18" s="33"/>
      <c r="AB18" s="33"/>
      <c r="AC18" s="33"/>
      <c r="AD18" s="33"/>
    </row>
    <row r="19" spans="1:30" s="16" customFormat="1">
      <c r="A19" s="115" t="str">
        <f>'1-συμβολαια'!A19</f>
        <v>8ο</v>
      </c>
      <c r="B19" s="115" t="str">
        <f>'1-συμβολαια'!C19</f>
        <v>*γονικής 2.540 ΔΙΟΡΘΩΣΗ</v>
      </c>
      <c r="C19" s="197">
        <f>'1-συμβολαια'!D19</f>
        <v>0</v>
      </c>
      <c r="D19" s="26">
        <f>'8-κ-15-17'!D19</f>
        <v>0</v>
      </c>
      <c r="E19" s="26">
        <f>'8-κ-15-17'!M19</f>
        <v>0</v>
      </c>
      <c r="F19" s="26">
        <f>'8-κ-15-17'!V19</f>
        <v>0</v>
      </c>
      <c r="G19" s="26">
        <f>'2-δικαιώμ'!I19</f>
        <v>0</v>
      </c>
      <c r="H19" s="26">
        <f>'2-δικαιώμ'!J19</f>
        <v>0.44000000000000006</v>
      </c>
      <c r="I19" s="26">
        <f>'2-δικαιώμ'!K19</f>
        <v>0.44000000000000006</v>
      </c>
      <c r="J19" s="26">
        <f>'2-δικαιώμ'!L19</f>
        <v>8.8000000000000009E-2</v>
      </c>
      <c r="K19" s="139"/>
      <c r="L19" s="139"/>
      <c r="M19" s="33"/>
      <c r="N19" s="33"/>
      <c r="O19" s="33"/>
      <c r="P19" s="139"/>
      <c r="Q19" s="33"/>
      <c r="R19" s="33"/>
      <c r="S19" s="33"/>
      <c r="T19" s="33"/>
      <c r="U19" s="139"/>
      <c r="V19" s="33">
        <f>'2-δικαιώμ'!I19+'2-δικαιώμ'!J19</f>
        <v>0.44000000000000006</v>
      </c>
      <c r="W19" s="33">
        <f>'2-δικαιώμ'!K19</f>
        <v>0.44000000000000006</v>
      </c>
      <c r="X19" s="33">
        <f>'2-δικαιώμ'!L19</f>
        <v>8.8000000000000009E-2</v>
      </c>
      <c r="Y19" s="139"/>
      <c r="Z19" s="33"/>
      <c r="AA19" s="33"/>
      <c r="AB19" s="33"/>
      <c r="AC19" s="33"/>
      <c r="AD19" s="33"/>
    </row>
    <row r="20" spans="1:30" s="16" customFormat="1">
      <c r="A20" s="115" t="str">
        <f>'1-συμβολαια'!A20</f>
        <v>9ο</v>
      </c>
      <c r="B20" s="115" t="str">
        <f>'1-συμβολαια'!C20</f>
        <v>γονική</v>
      </c>
      <c r="C20" s="197">
        <f>'1-συμβολαια'!D20</f>
        <v>1400</v>
      </c>
      <c r="D20" s="26">
        <f>'8-κ-15-17'!D20</f>
        <v>0</v>
      </c>
      <c r="E20" s="26">
        <f>'8-κ-15-17'!M20</f>
        <v>9.1000000000000014</v>
      </c>
      <c r="F20" s="26">
        <f>'8-κ-15-17'!V20</f>
        <v>1.75</v>
      </c>
      <c r="G20" s="26">
        <f>'2-δικαιώμ'!I20</f>
        <v>2.4623999999999997</v>
      </c>
      <c r="H20" s="26">
        <f>'2-δικαιώμ'!J20</f>
        <v>0.14650000000000002</v>
      </c>
      <c r="I20" s="26">
        <f>'2-δικαιώμ'!K20</f>
        <v>1.5145</v>
      </c>
      <c r="J20" s="26">
        <f>'2-δικαιώμ'!L20</f>
        <v>0.3029</v>
      </c>
      <c r="K20" s="139"/>
      <c r="L20" s="139"/>
      <c r="M20" s="33"/>
      <c r="N20" s="33"/>
      <c r="O20" s="33"/>
      <c r="P20" s="139"/>
      <c r="Q20" s="33"/>
      <c r="R20" s="33"/>
      <c r="S20" s="33"/>
      <c r="T20" s="33"/>
      <c r="U20" s="139"/>
      <c r="V20" s="33">
        <f>'2-δικαιώμ'!I20+'2-δικαιώμ'!J20</f>
        <v>2.6088999999999998</v>
      </c>
      <c r="W20" s="33">
        <f>'2-δικαιώμ'!K20</f>
        <v>1.5145</v>
      </c>
      <c r="X20" s="33">
        <f>'2-δικαιώμ'!L20</f>
        <v>0.3029</v>
      </c>
      <c r="Y20" s="139"/>
      <c r="Z20" s="33"/>
      <c r="AA20" s="33"/>
      <c r="AB20" s="33"/>
      <c r="AC20" s="33"/>
      <c r="AD20" s="33"/>
    </row>
    <row r="21" spans="1:30" s="16" customFormat="1">
      <c r="A21" s="115"/>
      <c r="B21" s="115" t="str">
        <f>'1-συμβολαια'!C21</f>
        <v>ΧΡΗΣΙΚΤΗΣΙΑ οικοπέδου ΄΄κάστρο'' 52,50μ2 = 1970 κυδωνηςΙωαννης ΔΩΡΕΑ άτυπη</v>
      </c>
      <c r="C21" s="197">
        <f>'1-συμβολαια'!D21</f>
        <v>111.11</v>
      </c>
      <c r="D21" s="26">
        <f>'8-κ-15-17'!D21</f>
        <v>0</v>
      </c>
      <c r="E21" s="26">
        <f>'8-κ-15-17'!M21</f>
        <v>0.72221500000000005</v>
      </c>
      <c r="F21" s="26">
        <f>'8-κ-15-17'!V21</f>
        <v>0.1388875</v>
      </c>
      <c r="G21" s="26">
        <f>'2-δικαιώμ'!I21</f>
        <v>1.0703988</v>
      </c>
      <c r="H21" s="26">
        <f>'2-δικαιώμ'!J21</f>
        <v>0.14650000000000002</v>
      </c>
      <c r="I21" s="26">
        <f>'2-δικαιώμ'!K21</f>
        <v>0.7411660000000001</v>
      </c>
      <c r="J21" s="26">
        <f>'2-δικαιώμ'!L21</f>
        <v>0.14823320000000001</v>
      </c>
      <c r="K21" s="139"/>
      <c r="L21" s="139"/>
      <c r="M21" s="33"/>
      <c r="N21" s="33"/>
      <c r="O21" s="33"/>
      <c r="P21" s="139"/>
      <c r="Q21" s="33"/>
      <c r="R21" s="33"/>
      <c r="S21" s="33"/>
      <c r="T21" s="33"/>
      <c r="U21" s="139"/>
      <c r="V21" s="33">
        <f>'2-δικαιώμ'!I21+'2-δικαιώμ'!J21</f>
        <v>1.2168988000000001</v>
      </c>
      <c r="W21" s="33">
        <f>'2-δικαιώμ'!K21</f>
        <v>0.7411660000000001</v>
      </c>
      <c r="X21" s="33">
        <f>'2-δικαιώμ'!L21</f>
        <v>0.14823320000000001</v>
      </c>
      <c r="Y21" s="139"/>
      <c r="Z21" s="33"/>
      <c r="AA21" s="33"/>
      <c r="AB21" s="33"/>
      <c r="AC21" s="33"/>
      <c r="AD21" s="33"/>
    </row>
    <row r="22" spans="1:30">
      <c r="A22" s="857" t="str">
        <f>'1-συμβολαια'!A22</f>
        <v>σύνολο</v>
      </c>
      <c r="B22" s="858"/>
      <c r="C22" s="859"/>
      <c r="D22" s="295">
        <f t="shared" ref="D22:J22" si="0">SUM(D3:D21)</f>
        <v>249.86143000000004</v>
      </c>
      <c r="E22" s="295">
        <f t="shared" si="0"/>
        <v>234.90636000000001</v>
      </c>
      <c r="F22" s="295">
        <f t="shared" si="0"/>
        <v>45.174300000000002</v>
      </c>
      <c r="G22" s="295">
        <f t="shared" si="0"/>
        <v>72.14351400000001</v>
      </c>
      <c r="H22" s="295">
        <f t="shared" si="0"/>
        <v>9.0939999999999976</v>
      </c>
      <c r="I22" s="295">
        <f t="shared" si="0"/>
        <v>49.173729999999999</v>
      </c>
      <c r="J22" s="295">
        <f t="shared" si="0"/>
        <v>9.8347459999999991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5" spans="1:30">
      <c r="B25" s="88"/>
      <c r="D25" s="2"/>
      <c r="E25" s="2"/>
      <c r="F25" s="2"/>
      <c r="G25" s="2"/>
      <c r="H25" s="2"/>
      <c r="I25" s="2"/>
      <c r="J25" s="2"/>
    </row>
    <row r="26" spans="1:30" ht="15.75">
      <c r="B26" s="205" t="s">
        <v>391</v>
      </c>
      <c r="D26" s="2"/>
      <c r="E26" s="2"/>
      <c r="F26" s="2"/>
      <c r="G26" s="126"/>
      <c r="H26" s="278">
        <v>0.15</v>
      </c>
      <c r="I26" s="279">
        <v>2.93</v>
      </c>
      <c r="J26" s="5" t="s">
        <v>394</v>
      </c>
      <c r="L26" s="280">
        <f>I26-H26</f>
        <v>2.7800000000000002</v>
      </c>
    </row>
    <row r="27" spans="1:30" ht="12.75">
      <c r="B27" s="206" t="s">
        <v>392</v>
      </c>
      <c r="D27" s="2"/>
      <c r="E27" s="2"/>
      <c r="F27" s="2"/>
      <c r="G27" s="2"/>
      <c r="H27" s="157">
        <v>0.44</v>
      </c>
      <c r="I27" s="276">
        <v>0.56000000000000005</v>
      </c>
      <c r="J27" s="3" t="s">
        <v>395</v>
      </c>
      <c r="L27" s="280">
        <f>I27-H27</f>
        <v>0.12000000000000005</v>
      </c>
    </row>
    <row r="28" spans="1:30" ht="15.75">
      <c r="B28" s="219" t="s">
        <v>393</v>
      </c>
      <c r="D28" s="2"/>
      <c r="E28" s="2"/>
      <c r="F28" s="2"/>
      <c r="G28" s="287">
        <v>0.05</v>
      </c>
      <c r="H28" s="7"/>
      <c r="I28" s="4">
        <v>0.73</v>
      </c>
      <c r="J28" s="5" t="s">
        <v>132</v>
      </c>
      <c r="L28" s="5"/>
    </row>
    <row r="29" spans="1:30">
      <c r="B29" s="88"/>
      <c r="D29" s="2"/>
      <c r="E29" s="2"/>
      <c r="F29" s="2"/>
      <c r="G29" s="287">
        <v>0.05</v>
      </c>
      <c r="H29" s="7"/>
      <c r="I29" s="4">
        <v>1.47</v>
      </c>
      <c r="J29" s="3" t="s">
        <v>396</v>
      </c>
    </row>
    <row r="30" spans="1:30">
      <c r="B30" s="88"/>
      <c r="D30" s="2"/>
      <c r="E30" s="2"/>
      <c r="F30" s="2"/>
      <c r="G30" s="287">
        <v>0.05</v>
      </c>
      <c r="H30" s="7"/>
      <c r="I30" s="4">
        <v>3.99</v>
      </c>
      <c r="J30" s="5" t="s">
        <v>397</v>
      </c>
      <c r="K30" s="5"/>
      <c r="L30" s="5"/>
    </row>
    <row r="31" spans="1:30">
      <c r="B31" s="88"/>
      <c r="D31" s="2"/>
      <c r="E31" s="2"/>
      <c r="F31" s="2"/>
      <c r="G31" s="287">
        <v>0.05</v>
      </c>
      <c r="H31" s="7"/>
      <c r="I31" s="4"/>
      <c r="J31" s="5" t="s">
        <v>472</v>
      </c>
      <c r="K31" s="5"/>
      <c r="L31" s="5"/>
    </row>
    <row r="32" spans="1:30">
      <c r="B32" s="88"/>
      <c r="D32" s="2"/>
      <c r="E32" s="2"/>
      <c r="F32" s="2"/>
      <c r="G32" s="287">
        <v>0.05</v>
      </c>
      <c r="H32" s="7"/>
      <c r="I32" s="4"/>
      <c r="J32" s="5" t="s">
        <v>474</v>
      </c>
      <c r="K32" s="5"/>
      <c r="L32" s="5"/>
    </row>
    <row r="33" spans="2:12">
      <c r="B33" s="88"/>
      <c r="D33" s="2"/>
      <c r="E33" s="2"/>
      <c r="F33" s="2"/>
      <c r="G33" s="287"/>
      <c r="H33" s="7"/>
      <c r="I33" s="4"/>
      <c r="J33" s="5"/>
      <c r="K33" s="5"/>
      <c r="L33" s="5"/>
    </row>
    <row r="34" spans="2:12">
      <c r="B34" s="88"/>
      <c r="D34" s="2"/>
      <c r="E34" s="2"/>
      <c r="F34" s="2"/>
      <c r="G34" s="2"/>
      <c r="H34" s="5" t="s">
        <v>475</v>
      </c>
      <c r="I34" s="5"/>
      <c r="J34" s="5" t="s">
        <v>132</v>
      </c>
      <c r="K34" s="5"/>
      <c r="L34" s="5"/>
    </row>
    <row r="35" spans="2:12">
      <c r="G35" s="2"/>
      <c r="H35" s="5" t="s">
        <v>476</v>
      </c>
      <c r="I35" s="5"/>
      <c r="J35" s="5" t="s">
        <v>133</v>
      </c>
      <c r="K35" s="5"/>
      <c r="L35" s="5"/>
    </row>
    <row r="36" spans="2:12">
      <c r="G36" s="2"/>
      <c r="H36" s="5" t="s">
        <v>477</v>
      </c>
      <c r="I36" s="5"/>
      <c r="J36" s="5" t="s">
        <v>134</v>
      </c>
      <c r="K36" s="5"/>
      <c r="L36" s="5"/>
    </row>
    <row r="37" spans="2:12" ht="15">
      <c r="G37" s="2"/>
      <c r="H37" s="4">
        <v>2.2000000000000002</v>
      </c>
      <c r="I37" s="292"/>
      <c r="J37" s="5" t="s">
        <v>398</v>
      </c>
      <c r="K37" s="5"/>
      <c r="L37" s="5"/>
    </row>
    <row r="38" spans="2:12" ht="15">
      <c r="G38" s="2"/>
      <c r="H38" s="2">
        <v>2.93</v>
      </c>
      <c r="I38" s="293"/>
      <c r="J38" s="3" t="s">
        <v>399</v>
      </c>
      <c r="K38" s="5"/>
      <c r="L38" s="5"/>
    </row>
  </sheetData>
  <mergeCells count="13">
    <mergeCell ref="Z1:AD1"/>
    <mergeCell ref="A22:C22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2"/>
  <sheetViews>
    <sheetView workbookViewId="0">
      <pane ySplit="2" topLeftCell="A3" activePane="bottomLeft" state="frozen"/>
      <selection pane="bottomLeft" activeCell="G30" sqref="G30"/>
    </sheetView>
  </sheetViews>
  <sheetFormatPr defaultRowHeight="11.25"/>
  <cols>
    <col min="1" max="1" width="10.42578125" style="7" bestFit="1" customWidth="1"/>
    <col min="2" max="2" width="92.85546875" style="88" bestFit="1" customWidth="1"/>
    <col min="3" max="3" width="14.28515625" style="7" bestFit="1" customWidth="1"/>
    <col min="4" max="4" width="8.140625" style="2" bestFit="1" customWidth="1"/>
    <col min="5" max="5" width="8.140625" style="2" customWidth="1"/>
    <col min="6" max="7" width="8.140625" style="2" bestFit="1" customWidth="1"/>
    <col min="8" max="8" width="8.5703125" style="2" customWidth="1"/>
    <col min="9" max="10" width="7.7109375" style="2" customWidth="1"/>
    <col min="11" max="11" width="9" style="2" customWidth="1"/>
    <col min="12" max="12" width="9.855468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19" s="6" customFormat="1" ht="34.5" customHeight="1">
      <c r="A1" s="741" t="s">
        <v>1</v>
      </c>
      <c r="B1" s="743" t="s">
        <v>0</v>
      </c>
      <c r="C1" s="784" t="s">
        <v>7</v>
      </c>
      <c r="D1" s="874" t="s">
        <v>45</v>
      </c>
      <c r="E1" s="875"/>
      <c r="F1" s="875"/>
      <c r="G1" s="876" t="s">
        <v>405</v>
      </c>
      <c r="H1" s="877"/>
      <c r="I1" s="877"/>
      <c r="J1" s="877"/>
      <c r="K1" s="878"/>
      <c r="L1" s="872" t="s">
        <v>57</v>
      </c>
      <c r="M1" s="770" t="s">
        <v>29</v>
      </c>
      <c r="N1" s="771"/>
      <c r="O1" s="771"/>
      <c r="P1" s="771"/>
      <c r="Q1" s="771"/>
      <c r="R1" s="771"/>
      <c r="S1" s="772"/>
    </row>
    <row r="2" spans="1:19" ht="34.5" customHeight="1" thickBot="1">
      <c r="A2" s="742"/>
      <c r="B2" s="744"/>
      <c r="C2" s="785"/>
      <c r="D2" s="216" t="s">
        <v>316</v>
      </c>
      <c r="E2" s="216" t="s">
        <v>404</v>
      </c>
      <c r="F2" s="222" t="s">
        <v>89</v>
      </c>
      <c r="G2" s="220" t="s">
        <v>316</v>
      </c>
      <c r="H2" s="221" t="s">
        <v>320</v>
      </c>
      <c r="I2" s="221" t="s">
        <v>406</v>
      </c>
      <c r="J2" s="221" t="s">
        <v>321</v>
      </c>
      <c r="K2" s="218" t="s">
        <v>33</v>
      </c>
      <c r="L2" s="873"/>
      <c r="M2" s="736"/>
      <c r="N2" s="737"/>
      <c r="O2" s="737"/>
      <c r="P2" s="737"/>
      <c r="Q2" s="737"/>
      <c r="R2" s="737"/>
      <c r="S2" s="738"/>
    </row>
    <row r="3" spans="1:19" s="417" customFormat="1" ht="14.25">
      <c r="A3" s="608" t="str">
        <f>'1-συμβολαια'!A3</f>
        <v>1ο</v>
      </c>
      <c r="B3" s="414" t="str">
        <f>'1-συμβολαια'!C3</f>
        <v>κληρονομιάς ΑΠΟΔΟΧΗ</v>
      </c>
      <c r="C3" s="415">
        <f>'1-συμβολαια'!D3</f>
        <v>0</v>
      </c>
      <c r="D3" s="604"/>
      <c r="E3" s="604"/>
      <c r="F3" s="604"/>
      <c r="G3" s="604"/>
      <c r="H3" s="604"/>
      <c r="I3" s="604"/>
      <c r="J3" s="604"/>
      <c r="K3" s="416"/>
      <c r="L3" s="416">
        <v>0.5</v>
      </c>
      <c r="M3" s="315" t="s">
        <v>136</v>
      </c>
      <c r="N3" s="315" t="s">
        <v>411</v>
      </c>
      <c r="O3" s="315" t="s">
        <v>131</v>
      </c>
      <c r="P3" s="315" t="s">
        <v>412</v>
      </c>
      <c r="Q3" s="315" t="s">
        <v>413</v>
      </c>
      <c r="R3" s="315" t="s">
        <v>414</v>
      </c>
      <c r="S3" s="71"/>
    </row>
    <row r="4" spans="1:19" s="417" customFormat="1" ht="14.25">
      <c r="A4" s="609">
        <f>'1-συμβολαια'!A4</f>
        <v>0</v>
      </c>
      <c r="B4" s="414" t="str">
        <f>'1-συμβολαια'!C4</f>
        <v>χρησικτησία οικοπεδου = 194? γεωργούδηΝικολαο ΑΓΟΡΑΠΩΛΗΣΙΑ (ως αγροτεμάχιο) άτυπος</v>
      </c>
      <c r="C4" s="428">
        <f>'1-συμβολαια'!D4</f>
        <v>1111.1099999999999</v>
      </c>
      <c r="D4" s="606"/>
      <c r="E4" s="606"/>
      <c r="F4" s="606"/>
      <c r="G4" s="606"/>
      <c r="H4" s="606"/>
      <c r="I4" s="606"/>
      <c r="J4" s="606"/>
      <c r="K4" s="427"/>
      <c r="L4" s="427">
        <v>3</v>
      </c>
      <c r="M4" s="315" t="s">
        <v>136</v>
      </c>
      <c r="N4" s="315" t="s">
        <v>411</v>
      </c>
      <c r="O4" s="315" t="s">
        <v>131</v>
      </c>
      <c r="P4" s="315" t="s">
        <v>412</v>
      </c>
      <c r="Q4" s="315" t="s">
        <v>413</v>
      </c>
      <c r="R4" s="315" t="s">
        <v>414</v>
      </c>
      <c r="S4" s="71"/>
    </row>
    <row r="5" spans="1:19" s="417" customFormat="1" ht="14.25">
      <c r="A5" s="609">
        <f>'1-συμβολαια'!A5</f>
        <v>0</v>
      </c>
      <c r="B5" s="414" t="str">
        <f>'1-συμβολαια'!C5</f>
        <v>χρησικτησία αγροτεμάχιο 193 = 1975 ΑΝΑΔΑΣΜΟΣ εκούσιος</v>
      </c>
      <c r="C5" s="428">
        <f>'1-συμβολαια'!D5</f>
        <v>11.11</v>
      </c>
      <c r="D5" s="606"/>
      <c r="E5" s="606"/>
      <c r="F5" s="606"/>
      <c r="G5" s="606"/>
      <c r="H5" s="606"/>
      <c r="I5" s="606"/>
      <c r="J5" s="606"/>
      <c r="K5" s="427"/>
      <c r="L5" s="427">
        <v>3</v>
      </c>
      <c r="M5" s="315" t="s">
        <v>136</v>
      </c>
      <c r="N5" s="315" t="s">
        <v>411</v>
      </c>
      <c r="O5" s="315" t="s">
        <v>131</v>
      </c>
      <c r="P5" s="315" t="s">
        <v>412</v>
      </c>
      <c r="Q5" s="315" t="s">
        <v>413</v>
      </c>
      <c r="R5" s="315" t="s">
        <v>414</v>
      </c>
      <c r="S5" s="71"/>
    </row>
    <row r="6" spans="1:19" s="417" customFormat="1" ht="15" thickBot="1">
      <c r="A6" s="612">
        <f>'1-συμβολαια'!A6</f>
        <v>0</v>
      </c>
      <c r="B6" s="531" t="str">
        <f>'1-συμβολαια'!C6</f>
        <v>χρησικτησία αγροτεμάχιο 279 = 1975 ΑΝΑΔΑΣΜΟΣ εκούσιος</v>
      </c>
      <c r="C6" s="532">
        <f>'1-συμβολαια'!D6</f>
        <v>222.22</v>
      </c>
      <c r="D6" s="534"/>
      <c r="E6" s="534"/>
      <c r="F6" s="534"/>
      <c r="G6" s="534"/>
      <c r="H6" s="534"/>
      <c r="I6" s="534"/>
      <c r="J6" s="534"/>
      <c r="K6" s="533"/>
      <c r="L6" s="533">
        <v>3</v>
      </c>
      <c r="M6" s="315" t="s">
        <v>136</v>
      </c>
      <c r="N6" s="315" t="s">
        <v>411</v>
      </c>
      <c r="O6" s="315" t="s">
        <v>131</v>
      </c>
      <c r="P6" s="315" t="s">
        <v>412</v>
      </c>
      <c r="Q6" s="315" t="s">
        <v>413</v>
      </c>
      <c r="R6" s="315" t="s">
        <v>414</v>
      </c>
      <c r="S6" s="71"/>
    </row>
    <row r="7" spans="1:19" s="417" customFormat="1" ht="15" thickBot="1">
      <c r="A7" s="610" t="str">
        <f>'1-συμβολαια'!A7</f>
        <v>2ο</v>
      </c>
      <c r="B7" s="530" t="str">
        <f>'1-συμβολαια'!C7</f>
        <v>κληρονομιάς ΑΠΟΔΟΧΗ</v>
      </c>
      <c r="C7" s="415">
        <f>'1-συμβολαια'!D7</f>
        <v>0</v>
      </c>
      <c r="D7" s="611"/>
      <c r="E7" s="611"/>
      <c r="F7" s="611"/>
      <c r="G7" s="611"/>
      <c r="H7" s="611"/>
      <c r="I7" s="611"/>
      <c r="J7" s="611"/>
      <c r="K7" s="416"/>
      <c r="L7" s="416">
        <v>0.5</v>
      </c>
      <c r="M7" s="508" t="s">
        <v>136</v>
      </c>
      <c r="N7" s="508" t="s">
        <v>411</v>
      </c>
      <c r="O7" s="508" t="s">
        <v>131</v>
      </c>
      <c r="P7" s="508" t="s">
        <v>412</v>
      </c>
      <c r="Q7" s="508" t="s">
        <v>413</v>
      </c>
      <c r="R7" s="508" t="s">
        <v>414</v>
      </c>
      <c r="S7" s="509"/>
    </row>
    <row r="8" spans="1:19" s="417" customFormat="1" ht="14.25">
      <c r="A8" s="607">
        <f>'1-συμβολαια'!A8</f>
        <v>0</v>
      </c>
      <c r="B8" s="414" t="str">
        <f>'1-συμβολαια'!C8</f>
        <v>χρησικτησία οικοπεδου &amp; οικίας &amp; αποθήκης = 27/7/87 πατρός ΚΛΗΡΟΝΟΜΙΑ άτυπος</v>
      </c>
      <c r="C8" s="428">
        <f>'1-συμβολαια'!D8</f>
        <v>11111.11</v>
      </c>
      <c r="D8" s="606"/>
      <c r="E8" s="606"/>
      <c r="F8" s="606"/>
      <c r="G8" s="606"/>
      <c r="H8" s="606"/>
      <c r="I8" s="606"/>
      <c r="J8" s="606"/>
      <c r="K8" s="427"/>
      <c r="L8" s="427">
        <v>3</v>
      </c>
      <c r="M8" s="502" t="s">
        <v>136</v>
      </c>
      <c r="N8" s="502" t="s">
        <v>411</v>
      </c>
      <c r="O8" s="502" t="s">
        <v>131</v>
      </c>
      <c r="P8" s="502" t="s">
        <v>412</v>
      </c>
      <c r="Q8" s="502" t="s">
        <v>413</v>
      </c>
      <c r="R8" s="502" t="s">
        <v>414</v>
      </c>
      <c r="S8" s="503"/>
    </row>
    <row r="9" spans="1:19" s="417" customFormat="1" ht="14.25">
      <c r="A9" s="607">
        <f>'1-συμβολαια'!A9</f>
        <v>0</v>
      </c>
      <c r="B9" s="414" t="str">
        <f>'1-συμβολαια'!C9</f>
        <v>χρησικτησία αγροτεμάχιο 193 = 27/7/87 πατρός ΚΛΗΡΟΝΟΜΙΑ άτυπος</v>
      </c>
      <c r="C9" s="428">
        <f>'1-συμβολαια'!D9</f>
        <v>11.11</v>
      </c>
      <c r="D9" s="606"/>
      <c r="E9" s="606"/>
      <c r="F9" s="606"/>
      <c r="G9" s="606"/>
      <c r="H9" s="606"/>
      <c r="I9" s="606"/>
      <c r="J9" s="606"/>
      <c r="K9" s="427"/>
      <c r="L9" s="427">
        <v>3</v>
      </c>
      <c r="M9" s="315" t="s">
        <v>136</v>
      </c>
      <c r="N9" s="315" t="s">
        <v>411</v>
      </c>
      <c r="O9" s="315" t="s">
        <v>131</v>
      </c>
      <c r="P9" s="315" t="s">
        <v>412</v>
      </c>
      <c r="Q9" s="315" t="s">
        <v>413</v>
      </c>
      <c r="R9" s="315" t="s">
        <v>414</v>
      </c>
      <c r="S9" s="71"/>
    </row>
    <row r="10" spans="1:19" s="417" customFormat="1" ht="15" thickBot="1">
      <c r="A10" s="613">
        <f>'1-συμβολαια'!A10</f>
        <v>0</v>
      </c>
      <c r="B10" s="531" t="str">
        <f>'1-συμβολαια'!C10</f>
        <v>χρησικτησία αγροτεμάχιο 279 = 27/7/87 πατρός ΚΛΗΡΟΝΟΜΙΑ άτυπος</v>
      </c>
      <c r="C10" s="532">
        <f>'1-συμβολαια'!D10</f>
        <v>222.22</v>
      </c>
      <c r="D10" s="534"/>
      <c r="E10" s="534"/>
      <c r="F10" s="534"/>
      <c r="G10" s="534"/>
      <c r="H10" s="534"/>
      <c r="I10" s="534"/>
      <c r="J10" s="534"/>
      <c r="K10" s="533"/>
      <c r="L10" s="533">
        <v>3</v>
      </c>
      <c r="M10" s="508" t="s">
        <v>136</v>
      </c>
      <c r="N10" s="508" t="s">
        <v>411</v>
      </c>
      <c r="O10" s="508" t="s">
        <v>131</v>
      </c>
      <c r="P10" s="508" t="s">
        <v>412</v>
      </c>
      <c r="Q10" s="508" t="s">
        <v>413</v>
      </c>
      <c r="R10" s="508" t="s">
        <v>414</v>
      </c>
      <c r="S10" s="509"/>
    </row>
    <row r="11" spans="1:19" s="417" customFormat="1" ht="15" thickBot="1">
      <c r="A11" s="619" t="str">
        <f>'1-συμβολαια'!A11</f>
        <v>3ο</v>
      </c>
      <c r="B11" s="620" t="str">
        <f>'1-συμβολαια'!C11</f>
        <v>κάθετος ΣΥΣΤΑΣΗ</v>
      </c>
      <c r="C11" s="621">
        <f>'1-συμβολαια'!D11</f>
        <v>0</v>
      </c>
      <c r="D11" s="622"/>
      <c r="E11" s="622"/>
      <c r="F11" s="622"/>
      <c r="G11" s="622"/>
      <c r="H11" s="622"/>
      <c r="I11" s="622"/>
      <c r="J11" s="622"/>
      <c r="K11" s="623"/>
      <c r="L11" s="623">
        <v>0.5</v>
      </c>
      <c r="M11" s="575" t="s">
        <v>136</v>
      </c>
      <c r="N11" s="575" t="s">
        <v>411</v>
      </c>
      <c r="O11" s="575" t="s">
        <v>131</v>
      </c>
      <c r="P11" s="575" t="s">
        <v>412</v>
      </c>
      <c r="Q11" s="575" t="s">
        <v>413</v>
      </c>
      <c r="R11" s="575" t="s">
        <v>414</v>
      </c>
      <c r="S11" s="624"/>
    </row>
    <row r="12" spans="1:19" s="417" customFormat="1" ht="15" thickBot="1">
      <c r="A12" s="614" t="str">
        <f>'1-συμβολαια'!A12</f>
        <v>4ο</v>
      </c>
      <c r="B12" s="615" t="str">
        <f>'1-συμβολαια'!C12</f>
        <v>γονική ΨΙΛΗΣ ΚΥΡΙΟΤΗΤΑΣ</v>
      </c>
      <c r="C12" s="616">
        <f>'1-συμβολαια'!D12</f>
        <v>19272.79</v>
      </c>
      <c r="D12" s="605"/>
      <c r="E12" s="605"/>
      <c r="F12" s="617"/>
      <c r="G12" s="617"/>
      <c r="H12" s="617"/>
      <c r="I12" s="617"/>
      <c r="J12" s="617"/>
      <c r="K12" s="618"/>
      <c r="L12" s="618">
        <v>3</v>
      </c>
      <c r="M12" s="573" t="s">
        <v>136</v>
      </c>
      <c r="N12" s="573" t="s">
        <v>411</v>
      </c>
      <c r="O12" s="573" t="s">
        <v>131</v>
      </c>
      <c r="P12" s="573" t="s">
        <v>412</v>
      </c>
      <c r="Q12" s="573" t="s">
        <v>413</v>
      </c>
      <c r="R12" s="573" t="s">
        <v>414</v>
      </c>
      <c r="S12" s="570"/>
    </row>
    <row r="13" spans="1:19" s="417" customFormat="1" ht="15" thickBot="1">
      <c r="A13" s="619" t="str">
        <f>'1-συμβολαια'!A13</f>
        <v>5ο</v>
      </c>
      <c r="B13" s="620" t="str">
        <f>'1-συμβολαια'!C13</f>
        <v>πληρεξούσιο</v>
      </c>
      <c r="C13" s="621">
        <f>'1-συμβολαια'!D13</f>
        <v>0</v>
      </c>
      <c r="D13" s="605"/>
      <c r="E13" s="605"/>
      <c r="F13" s="617"/>
      <c r="G13" s="605"/>
      <c r="H13" s="605"/>
      <c r="I13" s="617"/>
      <c r="J13" s="617"/>
      <c r="K13" s="623"/>
      <c r="L13" s="623"/>
      <c r="M13" s="575" t="s">
        <v>136</v>
      </c>
      <c r="N13" s="575" t="s">
        <v>411</v>
      </c>
      <c r="O13" s="575" t="s">
        <v>131</v>
      </c>
      <c r="P13" s="575" t="s">
        <v>412</v>
      </c>
      <c r="Q13" s="575" t="s">
        <v>413</v>
      </c>
      <c r="R13" s="575" t="s">
        <v>414</v>
      </c>
      <c r="S13" s="624"/>
    </row>
    <row r="14" spans="1:19" s="417" customFormat="1" ht="14.25">
      <c r="A14" s="688" t="str">
        <f>'1-συμβολαια'!A14</f>
        <v>6ο</v>
      </c>
      <c r="B14" s="530" t="str">
        <f>'1-συμβολαια'!C14</f>
        <v>μίσθωση αγροτεμαχίων 15 έτη { έως 19/1/2019 }</v>
      </c>
      <c r="C14" s="415">
        <f>'1-συμβολαια'!D14</f>
        <v>8109</v>
      </c>
      <c r="D14" s="611"/>
      <c r="E14" s="606"/>
      <c r="F14" s="606"/>
      <c r="G14" s="416">
        <v>0.5</v>
      </c>
      <c r="H14" s="611"/>
      <c r="I14" s="611"/>
      <c r="J14" s="611"/>
      <c r="K14" s="416"/>
      <c r="L14" s="416">
        <v>3.5</v>
      </c>
      <c r="M14" s="502" t="s">
        <v>136</v>
      </c>
      <c r="N14" s="502" t="s">
        <v>411</v>
      </c>
      <c r="O14" s="502" t="s">
        <v>131</v>
      </c>
      <c r="P14" s="502" t="s">
        <v>412</v>
      </c>
      <c r="Q14" s="502" t="s">
        <v>413</v>
      </c>
      <c r="R14" s="502" t="s">
        <v>414</v>
      </c>
      <c r="S14" s="503"/>
    </row>
    <row r="15" spans="1:19" s="417" customFormat="1" ht="14.25">
      <c r="A15" s="609">
        <f>'1-συμβολαια'!A15</f>
        <v>0</v>
      </c>
      <c r="B15" s="414" t="str">
        <f>'1-συμβολαια'!C15</f>
        <v>ΧΡΗΣΙΚΤΗΣΙΑ αγροτεμαχίων 2'-3' = 19?? ΑΝΑΔΑΣΜΟΣ</v>
      </c>
      <c r="C15" s="428">
        <f>'1-συμβολαια'!D15</f>
        <v>444.44</v>
      </c>
      <c r="D15" s="606"/>
      <c r="E15" s="606"/>
      <c r="F15" s="606"/>
      <c r="G15" s="606"/>
      <c r="H15" s="606"/>
      <c r="I15" s="606"/>
      <c r="J15" s="606"/>
      <c r="K15" s="427"/>
      <c r="L15" s="427">
        <v>3</v>
      </c>
      <c r="M15" s="315" t="s">
        <v>136</v>
      </c>
      <c r="N15" s="315" t="s">
        <v>411</v>
      </c>
      <c r="O15" s="315" t="s">
        <v>131</v>
      </c>
      <c r="P15" s="315" t="s">
        <v>412</v>
      </c>
      <c r="Q15" s="315" t="s">
        <v>413</v>
      </c>
      <c r="R15" s="315" t="s">
        <v>414</v>
      </c>
      <c r="S15" s="71"/>
    </row>
    <row r="16" spans="1:19" s="417" customFormat="1" ht="14.25">
      <c r="A16" s="609">
        <f>'1-συμβολαια'!A16</f>
        <v>0</v>
      </c>
      <c r="B16" s="414" t="str">
        <f>'1-συμβολαια'!C16</f>
        <v>ΧΡΗΣΙΚΤΗΣΙΑ αγροτεμαχίων υπόλοιπων 12 = πατρός 19?? ΔΩΡΕΕΣ &amp; ΚΛΗΡΟΝΟΜΙΕΣ άτυπες</v>
      </c>
      <c r="C16" s="428">
        <f>'1-συμβολαια'!D16</f>
        <v>2222.2199999999998</v>
      </c>
      <c r="D16" s="606"/>
      <c r="E16" s="606"/>
      <c r="F16" s="606"/>
      <c r="G16" s="606"/>
      <c r="H16" s="606"/>
      <c r="I16" s="606"/>
      <c r="J16" s="606"/>
      <c r="K16" s="427"/>
      <c r="L16" s="427">
        <v>3</v>
      </c>
      <c r="M16" s="315" t="s">
        <v>136</v>
      </c>
      <c r="N16" s="315" t="s">
        <v>411</v>
      </c>
      <c r="O16" s="315" t="s">
        <v>131</v>
      </c>
      <c r="P16" s="315" t="s">
        <v>412</v>
      </c>
      <c r="Q16" s="315" t="s">
        <v>413</v>
      </c>
      <c r="R16" s="315" t="s">
        <v>414</v>
      </c>
      <c r="S16" s="71"/>
    </row>
    <row r="17" spans="1:25" s="417" customFormat="1" ht="15" thickBot="1">
      <c r="A17" s="612">
        <f>'1-συμβολαια'!A17</f>
        <v>0</v>
      </c>
      <c r="B17" s="531" t="str">
        <f>'1-συμβολαια'!C17</f>
        <v>μίσθωση = ΠΑΓΙΑ ως νέος αγρότης</v>
      </c>
      <c r="C17" s="532">
        <f>'1-συμβολαια'!D17</f>
        <v>11111.11</v>
      </c>
      <c r="D17" s="534"/>
      <c r="E17" s="534"/>
      <c r="F17" s="534"/>
      <c r="G17" s="534"/>
      <c r="H17" s="534"/>
      <c r="I17" s="534"/>
      <c r="J17" s="534"/>
      <c r="K17" s="533"/>
      <c r="L17" s="533">
        <v>3</v>
      </c>
      <c r="M17" s="508" t="s">
        <v>136</v>
      </c>
      <c r="N17" s="508" t="s">
        <v>411</v>
      </c>
      <c r="O17" s="508" t="s">
        <v>131</v>
      </c>
      <c r="P17" s="508" t="s">
        <v>412</v>
      </c>
      <c r="Q17" s="508" t="s">
        <v>413</v>
      </c>
      <c r="R17" s="508" t="s">
        <v>414</v>
      </c>
      <c r="S17" s="509"/>
    </row>
    <row r="18" spans="1:25" s="417" customFormat="1" ht="15" thickBot="1">
      <c r="A18" s="619" t="str">
        <f>'1-συμβολαια'!A18</f>
        <v>7ο</v>
      </c>
      <c r="B18" s="620" t="str">
        <f>'1-συμβολαια'!C18</f>
        <v>*καθετου συστάσεως 2.539 ΔΙΟΡΘΩΣΗ</v>
      </c>
      <c r="C18" s="621">
        <f>'1-συμβολαια'!D18</f>
        <v>0</v>
      </c>
      <c r="D18" s="622"/>
      <c r="E18" s="622"/>
      <c r="F18" s="622"/>
      <c r="G18" s="623">
        <v>0.5</v>
      </c>
      <c r="H18" s="622"/>
      <c r="I18" s="622"/>
      <c r="J18" s="622"/>
      <c r="K18" s="623"/>
      <c r="L18" s="623"/>
      <c r="M18" s="575" t="s">
        <v>136</v>
      </c>
      <c r="N18" s="575" t="s">
        <v>411</v>
      </c>
      <c r="O18" s="575" t="s">
        <v>131</v>
      </c>
      <c r="P18" s="575" t="s">
        <v>412</v>
      </c>
      <c r="Q18" s="575" t="s">
        <v>413</v>
      </c>
      <c r="R18" s="575" t="s">
        <v>414</v>
      </c>
      <c r="S18" s="624"/>
    </row>
    <row r="19" spans="1:25" s="417" customFormat="1" ht="15" thickBot="1">
      <c r="A19" s="619" t="str">
        <f>'1-συμβολαια'!A19</f>
        <v>8ο</v>
      </c>
      <c r="B19" s="620" t="str">
        <f>'1-συμβολαια'!C19</f>
        <v>*γονικής 2.540 ΔΙΟΡΘΩΣΗ</v>
      </c>
      <c r="C19" s="621">
        <f>'1-συμβολαια'!D19</f>
        <v>0</v>
      </c>
      <c r="D19" s="622"/>
      <c r="E19" s="622"/>
      <c r="F19" s="622"/>
      <c r="G19" s="623">
        <v>0.5</v>
      </c>
      <c r="H19" s="622"/>
      <c r="I19" s="622"/>
      <c r="J19" s="622"/>
      <c r="K19" s="623"/>
      <c r="L19" s="623"/>
      <c r="M19" s="575" t="s">
        <v>136</v>
      </c>
      <c r="N19" s="575" t="s">
        <v>411</v>
      </c>
      <c r="O19" s="575" t="s">
        <v>131</v>
      </c>
      <c r="P19" s="575" t="s">
        <v>412</v>
      </c>
      <c r="Q19" s="575" t="s">
        <v>413</v>
      </c>
      <c r="R19" s="575" t="s">
        <v>414</v>
      </c>
      <c r="S19" s="624"/>
    </row>
    <row r="20" spans="1:25" s="417" customFormat="1" ht="14.25">
      <c r="A20" s="688" t="str">
        <f>'1-συμβολαια'!A20</f>
        <v>9ο</v>
      </c>
      <c r="B20" s="530" t="str">
        <f>'1-συμβολαια'!C20</f>
        <v>γονική</v>
      </c>
      <c r="C20" s="415">
        <f>'1-συμβολαια'!D20</f>
        <v>1400</v>
      </c>
      <c r="D20" s="611"/>
      <c r="E20" s="611"/>
      <c r="F20" s="611"/>
      <c r="G20" s="611"/>
      <c r="H20" s="611"/>
      <c r="I20" s="611"/>
      <c r="J20" s="611"/>
      <c r="K20" s="416"/>
      <c r="L20" s="416">
        <v>3</v>
      </c>
      <c r="M20" s="502" t="s">
        <v>136</v>
      </c>
      <c r="N20" s="502" t="s">
        <v>411</v>
      </c>
      <c r="O20" s="502" t="s">
        <v>131</v>
      </c>
      <c r="P20" s="502" t="s">
        <v>412</v>
      </c>
      <c r="Q20" s="502" t="s">
        <v>413</v>
      </c>
      <c r="R20" s="502" t="s">
        <v>414</v>
      </c>
      <c r="S20" s="503"/>
    </row>
    <row r="21" spans="1:25" s="417" customFormat="1" ht="15" thickBot="1">
      <c r="A21" s="612">
        <f>'1-συμβολαια'!A21</f>
        <v>0</v>
      </c>
      <c r="B21" s="531" t="str">
        <f>'1-συμβολαια'!C21</f>
        <v>ΧΡΗΣΙΚΤΗΣΙΑ οικοπέδου ΄΄κάστρο'' 52,50μ2 = 1970 κυδωνηςΙωαννης ΔΩΡΕΑ άτυπη</v>
      </c>
      <c r="C21" s="532">
        <f>'1-συμβολαια'!D21</f>
        <v>111.11</v>
      </c>
      <c r="D21" s="534"/>
      <c r="E21" s="534"/>
      <c r="F21" s="534"/>
      <c r="G21" s="534"/>
      <c r="H21" s="534"/>
      <c r="I21" s="534"/>
      <c r="J21" s="534"/>
      <c r="K21" s="533"/>
      <c r="L21" s="533">
        <v>3</v>
      </c>
      <c r="M21" s="508" t="s">
        <v>136</v>
      </c>
      <c r="N21" s="508" t="s">
        <v>411</v>
      </c>
      <c r="O21" s="508" t="s">
        <v>131</v>
      </c>
      <c r="P21" s="508" t="s">
        <v>412</v>
      </c>
      <c r="Q21" s="508" t="s">
        <v>413</v>
      </c>
      <c r="R21" s="508" t="s">
        <v>414</v>
      </c>
      <c r="S21" s="509"/>
    </row>
    <row r="22" spans="1:25" ht="15.75">
      <c r="A22" s="757" t="s">
        <v>56</v>
      </c>
      <c r="B22" s="758"/>
      <c r="C22" s="758"/>
      <c r="D22" s="418">
        <f t="shared" ref="D22:L22" si="0">SUM(D3:D21)</f>
        <v>0</v>
      </c>
      <c r="E22" s="418">
        <f t="shared" si="0"/>
        <v>0</v>
      </c>
      <c r="F22" s="418">
        <f t="shared" si="0"/>
        <v>0</v>
      </c>
      <c r="G22" s="419">
        <f t="shared" si="0"/>
        <v>1.5</v>
      </c>
      <c r="H22" s="419">
        <f t="shared" si="0"/>
        <v>0</v>
      </c>
      <c r="I22" s="419">
        <f t="shared" si="0"/>
        <v>0</v>
      </c>
      <c r="J22" s="419">
        <f t="shared" si="0"/>
        <v>0</v>
      </c>
      <c r="K22" s="419">
        <f t="shared" si="0"/>
        <v>0</v>
      </c>
      <c r="L22" s="419">
        <f t="shared" si="0"/>
        <v>41</v>
      </c>
    </row>
    <row r="23" spans="1:25" ht="15.75">
      <c r="M23" s="116" t="s">
        <v>101</v>
      </c>
      <c r="N23" s="126"/>
      <c r="O23" s="126"/>
      <c r="P23" s="126"/>
      <c r="Q23" s="126"/>
      <c r="R23" s="126"/>
      <c r="S23" s="126"/>
      <c r="T23" s="113"/>
      <c r="U23" s="113"/>
      <c r="V23" s="113"/>
      <c r="W23" s="113"/>
      <c r="X23" s="5"/>
    </row>
    <row r="24" spans="1:25" ht="15.75">
      <c r="M24" s="217"/>
      <c r="N24" s="116" t="s">
        <v>407</v>
      </c>
      <c r="O24" s="217"/>
      <c r="P24" s="217"/>
      <c r="Q24" s="217"/>
      <c r="R24" s="217"/>
      <c r="S24" s="217"/>
      <c r="T24" s="217"/>
      <c r="U24" s="217"/>
      <c r="V24" s="217"/>
      <c r="W24" s="224"/>
      <c r="X24" s="224"/>
      <c r="Y24" s="224"/>
    </row>
    <row r="25" spans="1:25" ht="15.75">
      <c r="M25" s="224"/>
      <c r="N25" s="224"/>
      <c r="O25" s="126" t="s">
        <v>102</v>
      </c>
      <c r="P25" s="126"/>
      <c r="Q25" s="126"/>
      <c r="R25" s="126"/>
      <c r="S25" s="126"/>
      <c r="T25" s="126"/>
      <c r="U25" s="126"/>
      <c r="V25" s="126"/>
      <c r="W25" s="126"/>
      <c r="X25" s="224"/>
      <c r="Y25" s="223"/>
    </row>
    <row r="26" spans="1:25" ht="15.75">
      <c r="M26" s="224"/>
      <c r="N26" s="224"/>
      <c r="O26" s="224"/>
      <c r="P26" s="225" t="s">
        <v>408</v>
      </c>
      <c r="Q26" s="224"/>
      <c r="R26" s="224"/>
      <c r="S26" s="225"/>
      <c r="T26" s="225"/>
      <c r="U26" s="225"/>
      <c r="V26" s="225"/>
      <c r="W26" s="225"/>
      <c r="X26" s="225"/>
      <c r="Y26" s="223"/>
    </row>
    <row r="27" spans="1:25" ht="15.75">
      <c r="M27" s="224"/>
      <c r="N27" s="224"/>
      <c r="O27" s="224"/>
      <c r="P27" s="224"/>
      <c r="Q27" s="126" t="s">
        <v>409</v>
      </c>
      <c r="R27" s="126"/>
      <c r="S27" s="126"/>
      <c r="T27" s="225"/>
      <c r="U27" s="225"/>
      <c r="V27" s="126"/>
      <c r="W27" s="126"/>
      <c r="X27" s="126"/>
      <c r="Y27" s="223"/>
    </row>
    <row r="28" spans="1:25" ht="15.75">
      <c r="M28" s="224"/>
      <c r="N28" s="224"/>
      <c r="O28" s="224"/>
      <c r="P28" s="224"/>
      <c r="Q28" s="224"/>
      <c r="R28" s="225" t="s">
        <v>410</v>
      </c>
      <c r="S28" s="225"/>
      <c r="T28" s="225"/>
      <c r="U28" s="225"/>
      <c r="V28" s="225"/>
      <c r="W28" s="225"/>
      <c r="X28" s="225"/>
      <c r="Y28" s="223"/>
    </row>
    <row r="29" spans="1:25" ht="15.75">
      <c r="T29" s="117"/>
      <c r="Y29" s="223"/>
    </row>
    <row r="30" spans="1:25" ht="15.75">
      <c r="T30" s="117"/>
    </row>
    <row r="31" spans="1:25" ht="15.75">
      <c r="T31" s="117"/>
    </row>
    <row r="32" spans="1:25" ht="15.75">
      <c r="T32" s="117"/>
    </row>
  </sheetData>
  <mergeCells count="8">
    <mergeCell ref="M1:S2"/>
    <mergeCell ref="L1:L2"/>
    <mergeCell ref="A22:C22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51"/>
  <sheetViews>
    <sheetView workbookViewId="0">
      <pane ySplit="2" topLeftCell="A3" activePane="bottomLeft" state="frozen"/>
      <selection pane="bottomLeft" activeCell="O21" sqref="O21"/>
    </sheetView>
  </sheetViews>
  <sheetFormatPr defaultRowHeight="15"/>
  <cols>
    <col min="1" max="1" width="11.5703125" style="99" bestFit="1" customWidth="1"/>
    <col min="2" max="2" width="80.85546875" style="100" bestFit="1" customWidth="1"/>
    <col min="3" max="3" width="14.28515625" style="101" customWidth="1"/>
    <col min="4" max="4" width="10.42578125" style="101" bestFit="1" customWidth="1"/>
    <col min="5" max="5" width="16.7109375" style="101" bestFit="1" customWidth="1"/>
    <col min="6" max="6" width="7.85546875" style="98" customWidth="1"/>
    <col min="7" max="7" width="10" style="98" customWidth="1"/>
    <col min="8" max="8" width="6.140625" style="98" bestFit="1" customWidth="1"/>
    <col min="9" max="12" width="7.140625" style="98" customWidth="1"/>
    <col min="13" max="13" width="6.28515625" style="98" customWidth="1"/>
    <col min="14" max="21" width="7.140625" style="98" customWidth="1"/>
    <col min="22" max="22" width="30.85546875" style="98" customWidth="1"/>
    <col min="23" max="220" width="9.140625" style="94"/>
    <col min="221" max="221" width="9" style="94" bestFit="1" customWidth="1"/>
    <col min="222" max="222" width="9.85546875" style="94" bestFit="1" customWidth="1"/>
    <col min="223" max="223" width="9.140625" style="94" bestFit="1" customWidth="1"/>
    <col min="224" max="224" width="16" style="94" bestFit="1" customWidth="1"/>
    <col min="225" max="225" width="9" style="94" bestFit="1" customWidth="1"/>
    <col min="226" max="226" width="7.85546875" style="94" bestFit="1" customWidth="1"/>
    <col min="227" max="227" width="11.7109375" style="94" bestFit="1" customWidth="1"/>
    <col min="228" max="228" width="14.28515625" style="94" customWidth="1"/>
    <col min="229" max="229" width="11.7109375" style="94" bestFit="1" customWidth="1"/>
    <col min="230" max="230" width="14.140625" style="94" bestFit="1" customWidth="1"/>
    <col min="231" max="231" width="16.7109375" style="94" customWidth="1"/>
    <col min="232" max="232" width="16.5703125" style="94" customWidth="1"/>
    <col min="233" max="234" width="7.85546875" style="94" bestFit="1" customWidth="1"/>
    <col min="235" max="235" width="8" style="94" bestFit="1" customWidth="1"/>
    <col min="236" max="237" width="7.85546875" style="94" bestFit="1" customWidth="1"/>
    <col min="238" max="238" width="9.7109375" style="94" customWidth="1"/>
    <col min="239" max="239" width="12.85546875" style="94" customWidth="1"/>
    <col min="240" max="476" width="9.140625" style="94"/>
    <col min="477" max="477" width="9" style="94" bestFit="1" customWidth="1"/>
    <col min="478" max="478" width="9.85546875" style="94" bestFit="1" customWidth="1"/>
    <col min="479" max="479" width="9.140625" style="94" bestFit="1" customWidth="1"/>
    <col min="480" max="480" width="16" style="94" bestFit="1" customWidth="1"/>
    <col min="481" max="481" width="9" style="94" bestFit="1" customWidth="1"/>
    <col min="482" max="482" width="7.85546875" style="94" bestFit="1" customWidth="1"/>
    <col min="483" max="483" width="11.7109375" style="94" bestFit="1" customWidth="1"/>
    <col min="484" max="484" width="14.28515625" style="94" customWidth="1"/>
    <col min="485" max="485" width="11.7109375" style="94" bestFit="1" customWidth="1"/>
    <col min="486" max="486" width="14.140625" style="94" bestFit="1" customWidth="1"/>
    <col min="487" max="487" width="16.7109375" style="94" customWidth="1"/>
    <col min="488" max="488" width="16.5703125" style="94" customWidth="1"/>
    <col min="489" max="490" width="7.85546875" style="94" bestFit="1" customWidth="1"/>
    <col min="491" max="491" width="8" style="94" bestFit="1" customWidth="1"/>
    <col min="492" max="493" width="7.85546875" style="94" bestFit="1" customWidth="1"/>
    <col min="494" max="494" width="9.7109375" style="94" customWidth="1"/>
    <col min="495" max="495" width="12.85546875" style="94" customWidth="1"/>
    <col min="496" max="732" width="9.140625" style="94"/>
    <col min="733" max="733" width="9" style="94" bestFit="1" customWidth="1"/>
    <col min="734" max="734" width="9.85546875" style="94" bestFit="1" customWidth="1"/>
    <col min="735" max="735" width="9.140625" style="94" bestFit="1" customWidth="1"/>
    <col min="736" max="736" width="16" style="94" bestFit="1" customWidth="1"/>
    <col min="737" max="737" width="9" style="94" bestFit="1" customWidth="1"/>
    <col min="738" max="738" width="7.85546875" style="94" bestFit="1" customWidth="1"/>
    <col min="739" max="739" width="11.7109375" style="94" bestFit="1" customWidth="1"/>
    <col min="740" max="740" width="14.28515625" style="94" customWidth="1"/>
    <col min="741" max="741" width="11.7109375" style="94" bestFit="1" customWidth="1"/>
    <col min="742" max="742" width="14.140625" style="94" bestFit="1" customWidth="1"/>
    <col min="743" max="743" width="16.7109375" style="94" customWidth="1"/>
    <col min="744" max="744" width="16.5703125" style="94" customWidth="1"/>
    <col min="745" max="746" width="7.85546875" style="94" bestFit="1" customWidth="1"/>
    <col min="747" max="747" width="8" style="94" bestFit="1" customWidth="1"/>
    <col min="748" max="749" width="7.85546875" style="94" bestFit="1" customWidth="1"/>
    <col min="750" max="750" width="9.7109375" style="94" customWidth="1"/>
    <col min="751" max="751" width="12.85546875" style="94" customWidth="1"/>
    <col min="752" max="988" width="9.140625" style="94"/>
    <col min="989" max="989" width="9" style="94" bestFit="1" customWidth="1"/>
    <col min="990" max="990" width="9.85546875" style="94" bestFit="1" customWidth="1"/>
    <col min="991" max="991" width="9.140625" style="94" bestFit="1" customWidth="1"/>
    <col min="992" max="992" width="16" style="94" bestFit="1" customWidth="1"/>
    <col min="993" max="993" width="9" style="94" bestFit="1" customWidth="1"/>
    <col min="994" max="994" width="7.85546875" style="94" bestFit="1" customWidth="1"/>
    <col min="995" max="995" width="11.7109375" style="94" bestFit="1" customWidth="1"/>
    <col min="996" max="996" width="14.28515625" style="94" customWidth="1"/>
    <col min="997" max="997" width="11.7109375" style="94" bestFit="1" customWidth="1"/>
    <col min="998" max="998" width="14.140625" style="94" bestFit="1" customWidth="1"/>
    <col min="999" max="999" width="16.7109375" style="94" customWidth="1"/>
    <col min="1000" max="1000" width="16.5703125" style="94" customWidth="1"/>
    <col min="1001" max="1002" width="7.85546875" style="94" bestFit="1" customWidth="1"/>
    <col min="1003" max="1003" width="8" style="94" bestFit="1" customWidth="1"/>
    <col min="1004" max="1005" width="7.85546875" style="94" bestFit="1" customWidth="1"/>
    <col min="1006" max="1006" width="9.7109375" style="94" customWidth="1"/>
    <col min="1007" max="1007" width="12.85546875" style="94" customWidth="1"/>
    <col min="1008" max="1244" width="9.140625" style="94"/>
    <col min="1245" max="1245" width="9" style="94" bestFit="1" customWidth="1"/>
    <col min="1246" max="1246" width="9.85546875" style="94" bestFit="1" customWidth="1"/>
    <col min="1247" max="1247" width="9.140625" style="94" bestFit="1" customWidth="1"/>
    <col min="1248" max="1248" width="16" style="94" bestFit="1" customWidth="1"/>
    <col min="1249" max="1249" width="9" style="94" bestFit="1" customWidth="1"/>
    <col min="1250" max="1250" width="7.85546875" style="94" bestFit="1" customWidth="1"/>
    <col min="1251" max="1251" width="11.7109375" style="94" bestFit="1" customWidth="1"/>
    <col min="1252" max="1252" width="14.28515625" style="94" customWidth="1"/>
    <col min="1253" max="1253" width="11.7109375" style="94" bestFit="1" customWidth="1"/>
    <col min="1254" max="1254" width="14.140625" style="94" bestFit="1" customWidth="1"/>
    <col min="1255" max="1255" width="16.7109375" style="94" customWidth="1"/>
    <col min="1256" max="1256" width="16.5703125" style="94" customWidth="1"/>
    <col min="1257" max="1258" width="7.85546875" style="94" bestFit="1" customWidth="1"/>
    <col min="1259" max="1259" width="8" style="94" bestFit="1" customWidth="1"/>
    <col min="1260" max="1261" width="7.85546875" style="94" bestFit="1" customWidth="1"/>
    <col min="1262" max="1262" width="9.7109375" style="94" customWidth="1"/>
    <col min="1263" max="1263" width="12.85546875" style="94" customWidth="1"/>
    <col min="1264" max="1500" width="9.140625" style="94"/>
    <col min="1501" max="1501" width="9" style="94" bestFit="1" customWidth="1"/>
    <col min="1502" max="1502" width="9.85546875" style="94" bestFit="1" customWidth="1"/>
    <col min="1503" max="1503" width="9.140625" style="94" bestFit="1" customWidth="1"/>
    <col min="1504" max="1504" width="16" style="94" bestFit="1" customWidth="1"/>
    <col min="1505" max="1505" width="9" style="94" bestFit="1" customWidth="1"/>
    <col min="1506" max="1506" width="7.85546875" style="94" bestFit="1" customWidth="1"/>
    <col min="1507" max="1507" width="11.7109375" style="94" bestFit="1" customWidth="1"/>
    <col min="1508" max="1508" width="14.28515625" style="94" customWidth="1"/>
    <col min="1509" max="1509" width="11.7109375" style="94" bestFit="1" customWidth="1"/>
    <col min="1510" max="1510" width="14.140625" style="94" bestFit="1" customWidth="1"/>
    <col min="1511" max="1511" width="16.7109375" style="94" customWidth="1"/>
    <col min="1512" max="1512" width="16.5703125" style="94" customWidth="1"/>
    <col min="1513" max="1514" width="7.85546875" style="94" bestFit="1" customWidth="1"/>
    <col min="1515" max="1515" width="8" style="94" bestFit="1" customWidth="1"/>
    <col min="1516" max="1517" width="7.85546875" style="94" bestFit="1" customWidth="1"/>
    <col min="1518" max="1518" width="9.7109375" style="94" customWidth="1"/>
    <col min="1519" max="1519" width="12.85546875" style="94" customWidth="1"/>
    <col min="1520" max="1756" width="9.140625" style="94"/>
    <col min="1757" max="1757" width="9" style="94" bestFit="1" customWidth="1"/>
    <col min="1758" max="1758" width="9.85546875" style="94" bestFit="1" customWidth="1"/>
    <col min="1759" max="1759" width="9.140625" style="94" bestFit="1" customWidth="1"/>
    <col min="1760" max="1760" width="16" style="94" bestFit="1" customWidth="1"/>
    <col min="1761" max="1761" width="9" style="94" bestFit="1" customWidth="1"/>
    <col min="1762" max="1762" width="7.85546875" style="94" bestFit="1" customWidth="1"/>
    <col min="1763" max="1763" width="11.7109375" style="94" bestFit="1" customWidth="1"/>
    <col min="1764" max="1764" width="14.28515625" style="94" customWidth="1"/>
    <col min="1765" max="1765" width="11.7109375" style="94" bestFit="1" customWidth="1"/>
    <col min="1766" max="1766" width="14.140625" style="94" bestFit="1" customWidth="1"/>
    <col min="1767" max="1767" width="16.7109375" style="94" customWidth="1"/>
    <col min="1768" max="1768" width="16.5703125" style="94" customWidth="1"/>
    <col min="1769" max="1770" width="7.85546875" style="94" bestFit="1" customWidth="1"/>
    <col min="1771" max="1771" width="8" style="94" bestFit="1" customWidth="1"/>
    <col min="1772" max="1773" width="7.85546875" style="94" bestFit="1" customWidth="1"/>
    <col min="1774" max="1774" width="9.7109375" style="94" customWidth="1"/>
    <col min="1775" max="1775" width="12.85546875" style="94" customWidth="1"/>
    <col min="1776" max="2012" width="9.140625" style="94"/>
    <col min="2013" max="2013" width="9" style="94" bestFit="1" customWidth="1"/>
    <col min="2014" max="2014" width="9.85546875" style="94" bestFit="1" customWidth="1"/>
    <col min="2015" max="2015" width="9.140625" style="94" bestFit="1" customWidth="1"/>
    <col min="2016" max="2016" width="16" style="94" bestFit="1" customWidth="1"/>
    <col min="2017" max="2017" width="9" style="94" bestFit="1" customWidth="1"/>
    <col min="2018" max="2018" width="7.85546875" style="94" bestFit="1" customWidth="1"/>
    <col min="2019" max="2019" width="11.7109375" style="94" bestFit="1" customWidth="1"/>
    <col min="2020" max="2020" width="14.28515625" style="94" customWidth="1"/>
    <col min="2021" max="2021" width="11.7109375" style="94" bestFit="1" customWidth="1"/>
    <col min="2022" max="2022" width="14.140625" style="94" bestFit="1" customWidth="1"/>
    <col min="2023" max="2023" width="16.7109375" style="94" customWidth="1"/>
    <col min="2024" max="2024" width="16.5703125" style="94" customWidth="1"/>
    <col min="2025" max="2026" width="7.85546875" style="94" bestFit="1" customWidth="1"/>
    <col min="2027" max="2027" width="8" style="94" bestFit="1" customWidth="1"/>
    <col min="2028" max="2029" width="7.85546875" style="94" bestFit="1" customWidth="1"/>
    <col min="2030" max="2030" width="9.7109375" style="94" customWidth="1"/>
    <col min="2031" max="2031" width="12.85546875" style="94" customWidth="1"/>
    <col min="2032" max="2268" width="9.140625" style="94"/>
    <col min="2269" max="2269" width="9" style="94" bestFit="1" customWidth="1"/>
    <col min="2270" max="2270" width="9.85546875" style="94" bestFit="1" customWidth="1"/>
    <col min="2271" max="2271" width="9.140625" style="94" bestFit="1" customWidth="1"/>
    <col min="2272" max="2272" width="16" style="94" bestFit="1" customWidth="1"/>
    <col min="2273" max="2273" width="9" style="94" bestFit="1" customWidth="1"/>
    <col min="2274" max="2274" width="7.85546875" style="94" bestFit="1" customWidth="1"/>
    <col min="2275" max="2275" width="11.7109375" style="94" bestFit="1" customWidth="1"/>
    <col min="2276" max="2276" width="14.28515625" style="94" customWidth="1"/>
    <col min="2277" max="2277" width="11.7109375" style="94" bestFit="1" customWidth="1"/>
    <col min="2278" max="2278" width="14.140625" style="94" bestFit="1" customWidth="1"/>
    <col min="2279" max="2279" width="16.7109375" style="94" customWidth="1"/>
    <col min="2280" max="2280" width="16.5703125" style="94" customWidth="1"/>
    <col min="2281" max="2282" width="7.85546875" style="94" bestFit="1" customWidth="1"/>
    <col min="2283" max="2283" width="8" style="94" bestFit="1" customWidth="1"/>
    <col min="2284" max="2285" width="7.85546875" style="94" bestFit="1" customWidth="1"/>
    <col min="2286" max="2286" width="9.7109375" style="94" customWidth="1"/>
    <col min="2287" max="2287" width="12.85546875" style="94" customWidth="1"/>
    <col min="2288" max="2524" width="9.140625" style="94"/>
    <col min="2525" max="2525" width="9" style="94" bestFit="1" customWidth="1"/>
    <col min="2526" max="2526" width="9.85546875" style="94" bestFit="1" customWidth="1"/>
    <col min="2527" max="2527" width="9.140625" style="94" bestFit="1" customWidth="1"/>
    <col min="2528" max="2528" width="16" style="94" bestFit="1" customWidth="1"/>
    <col min="2529" max="2529" width="9" style="94" bestFit="1" customWidth="1"/>
    <col min="2530" max="2530" width="7.85546875" style="94" bestFit="1" customWidth="1"/>
    <col min="2531" max="2531" width="11.7109375" style="94" bestFit="1" customWidth="1"/>
    <col min="2532" max="2532" width="14.28515625" style="94" customWidth="1"/>
    <col min="2533" max="2533" width="11.7109375" style="94" bestFit="1" customWidth="1"/>
    <col min="2534" max="2534" width="14.140625" style="94" bestFit="1" customWidth="1"/>
    <col min="2535" max="2535" width="16.7109375" style="94" customWidth="1"/>
    <col min="2536" max="2536" width="16.5703125" style="94" customWidth="1"/>
    <col min="2537" max="2538" width="7.85546875" style="94" bestFit="1" customWidth="1"/>
    <col min="2539" max="2539" width="8" style="94" bestFit="1" customWidth="1"/>
    <col min="2540" max="2541" width="7.85546875" style="94" bestFit="1" customWidth="1"/>
    <col min="2542" max="2542" width="9.7109375" style="94" customWidth="1"/>
    <col min="2543" max="2543" width="12.85546875" style="94" customWidth="1"/>
    <col min="2544" max="2780" width="9.140625" style="94"/>
    <col min="2781" max="2781" width="9" style="94" bestFit="1" customWidth="1"/>
    <col min="2782" max="2782" width="9.85546875" style="94" bestFit="1" customWidth="1"/>
    <col min="2783" max="2783" width="9.140625" style="94" bestFit="1" customWidth="1"/>
    <col min="2784" max="2784" width="16" style="94" bestFit="1" customWidth="1"/>
    <col min="2785" max="2785" width="9" style="94" bestFit="1" customWidth="1"/>
    <col min="2786" max="2786" width="7.85546875" style="94" bestFit="1" customWidth="1"/>
    <col min="2787" max="2787" width="11.7109375" style="94" bestFit="1" customWidth="1"/>
    <col min="2788" max="2788" width="14.28515625" style="94" customWidth="1"/>
    <col min="2789" max="2789" width="11.7109375" style="94" bestFit="1" customWidth="1"/>
    <col min="2790" max="2790" width="14.140625" style="94" bestFit="1" customWidth="1"/>
    <col min="2791" max="2791" width="16.7109375" style="94" customWidth="1"/>
    <col min="2792" max="2792" width="16.5703125" style="94" customWidth="1"/>
    <col min="2793" max="2794" width="7.85546875" style="94" bestFit="1" customWidth="1"/>
    <col min="2795" max="2795" width="8" style="94" bestFit="1" customWidth="1"/>
    <col min="2796" max="2797" width="7.85546875" style="94" bestFit="1" customWidth="1"/>
    <col min="2798" max="2798" width="9.7109375" style="94" customWidth="1"/>
    <col min="2799" max="2799" width="12.85546875" style="94" customWidth="1"/>
    <col min="2800" max="3036" width="9.140625" style="94"/>
    <col min="3037" max="3037" width="9" style="94" bestFit="1" customWidth="1"/>
    <col min="3038" max="3038" width="9.85546875" style="94" bestFit="1" customWidth="1"/>
    <col min="3039" max="3039" width="9.140625" style="94" bestFit="1" customWidth="1"/>
    <col min="3040" max="3040" width="16" style="94" bestFit="1" customWidth="1"/>
    <col min="3041" max="3041" width="9" style="94" bestFit="1" customWidth="1"/>
    <col min="3042" max="3042" width="7.85546875" style="94" bestFit="1" customWidth="1"/>
    <col min="3043" max="3043" width="11.7109375" style="94" bestFit="1" customWidth="1"/>
    <col min="3044" max="3044" width="14.28515625" style="94" customWidth="1"/>
    <col min="3045" max="3045" width="11.7109375" style="94" bestFit="1" customWidth="1"/>
    <col min="3046" max="3046" width="14.140625" style="94" bestFit="1" customWidth="1"/>
    <col min="3047" max="3047" width="16.7109375" style="94" customWidth="1"/>
    <col min="3048" max="3048" width="16.5703125" style="94" customWidth="1"/>
    <col min="3049" max="3050" width="7.85546875" style="94" bestFit="1" customWidth="1"/>
    <col min="3051" max="3051" width="8" style="94" bestFit="1" customWidth="1"/>
    <col min="3052" max="3053" width="7.85546875" style="94" bestFit="1" customWidth="1"/>
    <col min="3054" max="3054" width="9.7109375" style="94" customWidth="1"/>
    <col min="3055" max="3055" width="12.85546875" style="94" customWidth="1"/>
    <col min="3056" max="3292" width="9.140625" style="94"/>
    <col min="3293" max="3293" width="9" style="94" bestFit="1" customWidth="1"/>
    <col min="3294" max="3294" width="9.85546875" style="94" bestFit="1" customWidth="1"/>
    <col min="3295" max="3295" width="9.140625" style="94" bestFit="1" customWidth="1"/>
    <col min="3296" max="3296" width="16" style="94" bestFit="1" customWidth="1"/>
    <col min="3297" max="3297" width="9" style="94" bestFit="1" customWidth="1"/>
    <col min="3298" max="3298" width="7.85546875" style="94" bestFit="1" customWidth="1"/>
    <col min="3299" max="3299" width="11.7109375" style="94" bestFit="1" customWidth="1"/>
    <col min="3300" max="3300" width="14.28515625" style="94" customWidth="1"/>
    <col min="3301" max="3301" width="11.7109375" style="94" bestFit="1" customWidth="1"/>
    <col min="3302" max="3302" width="14.140625" style="94" bestFit="1" customWidth="1"/>
    <col min="3303" max="3303" width="16.7109375" style="94" customWidth="1"/>
    <col min="3304" max="3304" width="16.5703125" style="94" customWidth="1"/>
    <col min="3305" max="3306" width="7.85546875" style="94" bestFit="1" customWidth="1"/>
    <col min="3307" max="3307" width="8" style="94" bestFit="1" customWidth="1"/>
    <col min="3308" max="3309" width="7.85546875" style="94" bestFit="1" customWidth="1"/>
    <col min="3310" max="3310" width="9.7109375" style="94" customWidth="1"/>
    <col min="3311" max="3311" width="12.85546875" style="94" customWidth="1"/>
    <col min="3312" max="3548" width="9.140625" style="94"/>
    <col min="3549" max="3549" width="9" style="94" bestFit="1" customWidth="1"/>
    <col min="3550" max="3550" width="9.85546875" style="94" bestFit="1" customWidth="1"/>
    <col min="3551" max="3551" width="9.140625" style="94" bestFit="1" customWidth="1"/>
    <col min="3552" max="3552" width="16" style="94" bestFit="1" customWidth="1"/>
    <col min="3553" max="3553" width="9" style="94" bestFit="1" customWidth="1"/>
    <col min="3554" max="3554" width="7.85546875" style="94" bestFit="1" customWidth="1"/>
    <col min="3555" max="3555" width="11.7109375" style="94" bestFit="1" customWidth="1"/>
    <col min="3556" max="3556" width="14.28515625" style="94" customWidth="1"/>
    <col min="3557" max="3557" width="11.7109375" style="94" bestFit="1" customWidth="1"/>
    <col min="3558" max="3558" width="14.140625" style="94" bestFit="1" customWidth="1"/>
    <col min="3559" max="3559" width="16.7109375" style="94" customWidth="1"/>
    <col min="3560" max="3560" width="16.5703125" style="94" customWidth="1"/>
    <col min="3561" max="3562" width="7.85546875" style="94" bestFit="1" customWidth="1"/>
    <col min="3563" max="3563" width="8" style="94" bestFit="1" customWidth="1"/>
    <col min="3564" max="3565" width="7.85546875" style="94" bestFit="1" customWidth="1"/>
    <col min="3566" max="3566" width="9.7109375" style="94" customWidth="1"/>
    <col min="3567" max="3567" width="12.85546875" style="94" customWidth="1"/>
    <col min="3568" max="3804" width="9.140625" style="94"/>
    <col min="3805" max="3805" width="9" style="94" bestFit="1" customWidth="1"/>
    <col min="3806" max="3806" width="9.85546875" style="94" bestFit="1" customWidth="1"/>
    <col min="3807" max="3807" width="9.140625" style="94" bestFit="1" customWidth="1"/>
    <col min="3808" max="3808" width="16" style="94" bestFit="1" customWidth="1"/>
    <col min="3809" max="3809" width="9" style="94" bestFit="1" customWidth="1"/>
    <col min="3810" max="3810" width="7.85546875" style="94" bestFit="1" customWidth="1"/>
    <col min="3811" max="3811" width="11.7109375" style="94" bestFit="1" customWidth="1"/>
    <col min="3812" max="3812" width="14.28515625" style="94" customWidth="1"/>
    <col min="3813" max="3813" width="11.7109375" style="94" bestFit="1" customWidth="1"/>
    <col min="3814" max="3814" width="14.140625" style="94" bestFit="1" customWidth="1"/>
    <col min="3815" max="3815" width="16.7109375" style="94" customWidth="1"/>
    <col min="3816" max="3816" width="16.5703125" style="94" customWidth="1"/>
    <col min="3817" max="3818" width="7.85546875" style="94" bestFit="1" customWidth="1"/>
    <col min="3819" max="3819" width="8" style="94" bestFit="1" customWidth="1"/>
    <col min="3820" max="3821" width="7.85546875" style="94" bestFit="1" customWidth="1"/>
    <col min="3822" max="3822" width="9.7109375" style="94" customWidth="1"/>
    <col min="3823" max="3823" width="12.85546875" style="94" customWidth="1"/>
    <col min="3824" max="4060" width="9.140625" style="94"/>
    <col min="4061" max="4061" width="9" style="94" bestFit="1" customWidth="1"/>
    <col min="4062" max="4062" width="9.85546875" style="94" bestFit="1" customWidth="1"/>
    <col min="4063" max="4063" width="9.140625" style="94" bestFit="1" customWidth="1"/>
    <col min="4064" max="4064" width="16" style="94" bestFit="1" customWidth="1"/>
    <col min="4065" max="4065" width="9" style="94" bestFit="1" customWidth="1"/>
    <col min="4066" max="4066" width="7.85546875" style="94" bestFit="1" customWidth="1"/>
    <col min="4067" max="4067" width="11.7109375" style="94" bestFit="1" customWidth="1"/>
    <col min="4068" max="4068" width="14.28515625" style="94" customWidth="1"/>
    <col min="4069" max="4069" width="11.7109375" style="94" bestFit="1" customWidth="1"/>
    <col min="4070" max="4070" width="14.140625" style="94" bestFit="1" customWidth="1"/>
    <col min="4071" max="4071" width="16.7109375" style="94" customWidth="1"/>
    <col min="4072" max="4072" width="16.5703125" style="94" customWidth="1"/>
    <col min="4073" max="4074" width="7.85546875" style="94" bestFit="1" customWidth="1"/>
    <col min="4075" max="4075" width="8" style="94" bestFit="1" customWidth="1"/>
    <col min="4076" max="4077" width="7.85546875" style="94" bestFit="1" customWidth="1"/>
    <col min="4078" max="4078" width="9.7109375" style="94" customWidth="1"/>
    <col min="4079" max="4079" width="12.85546875" style="94" customWidth="1"/>
    <col min="4080" max="4316" width="9.140625" style="94"/>
    <col min="4317" max="4317" width="9" style="94" bestFit="1" customWidth="1"/>
    <col min="4318" max="4318" width="9.85546875" style="94" bestFit="1" customWidth="1"/>
    <col min="4319" max="4319" width="9.140625" style="94" bestFit="1" customWidth="1"/>
    <col min="4320" max="4320" width="16" style="94" bestFit="1" customWidth="1"/>
    <col min="4321" max="4321" width="9" style="94" bestFit="1" customWidth="1"/>
    <col min="4322" max="4322" width="7.85546875" style="94" bestFit="1" customWidth="1"/>
    <col min="4323" max="4323" width="11.7109375" style="94" bestFit="1" customWidth="1"/>
    <col min="4324" max="4324" width="14.28515625" style="94" customWidth="1"/>
    <col min="4325" max="4325" width="11.7109375" style="94" bestFit="1" customWidth="1"/>
    <col min="4326" max="4326" width="14.140625" style="94" bestFit="1" customWidth="1"/>
    <col min="4327" max="4327" width="16.7109375" style="94" customWidth="1"/>
    <col min="4328" max="4328" width="16.5703125" style="94" customWidth="1"/>
    <col min="4329" max="4330" width="7.85546875" style="94" bestFit="1" customWidth="1"/>
    <col min="4331" max="4331" width="8" style="94" bestFit="1" customWidth="1"/>
    <col min="4332" max="4333" width="7.85546875" style="94" bestFit="1" customWidth="1"/>
    <col min="4334" max="4334" width="9.7109375" style="94" customWidth="1"/>
    <col min="4335" max="4335" width="12.85546875" style="94" customWidth="1"/>
    <col min="4336" max="4572" width="9.140625" style="94"/>
    <col min="4573" max="4573" width="9" style="94" bestFit="1" customWidth="1"/>
    <col min="4574" max="4574" width="9.85546875" style="94" bestFit="1" customWidth="1"/>
    <col min="4575" max="4575" width="9.140625" style="94" bestFit="1" customWidth="1"/>
    <col min="4576" max="4576" width="16" style="94" bestFit="1" customWidth="1"/>
    <col min="4577" max="4577" width="9" style="94" bestFit="1" customWidth="1"/>
    <col min="4578" max="4578" width="7.85546875" style="94" bestFit="1" customWidth="1"/>
    <col min="4579" max="4579" width="11.7109375" style="94" bestFit="1" customWidth="1"/>
    <col min="4580" max="4580" width="14.28515625" style="94" customWidth="1"/>
    <col min="4581" max="4581" width="11.7109375" style="94" bestFit="1" customWidth="1"/>
    <col min="4582" max="4582" width="14.140625" style="94" bestFit="1" customWidth="1"/>
    <col min="4583" max="4583" width="16.7109375" style="94" customWidth="1"/>
    <col min="4584" max="4584" width="16.5703125" style="94" customWidth="1"/>
    <col min="4585" max="4586" width="7.85546875" style="94" bestFit="1" customWidth="1"/>
    <col min="4587" max="4587" width="8" style="94" bestFit="1" customWidth="1"/>
    <col min="4588" max="4589" width="7.85546875" style="94" bestFit="1" customWidth="1"/>
    <col min="4590" max="4590" width="9.7109375" style="94" customWidth="1"/>
    <col min="4591" max="4591" width="12.85546875" style="94" customWidth="1"/>
    <col min="4592" max="4828" width="9.140625" style="94"/>
    <col min="4829" max="4829" width="9" style="94" bestFit="1" customWidth="1"/>
    <col min="4830" max="4830" width="9.85546875" style="94" bestFit="1" customWidth="1"/>
    <col min="4831" max="4831" width="9.140625" style="94" bestFit="1" customWidth="1"/>
    <col min="4832" max="4832" width="16" style="94" bestFit="1" customWidth="1"/>
    <col min="4833" max="4833" width="9" style="94" bestFit="1" customWidth="1"/>
    <col min="4834" max="4834" width="7.85546875" style="94" bestFit="1" customWidth="1"/>
    <col min="4835" max="4835" width="11.7109375" style="94" bestFit="1" customWidth="1"/>
    <col min="4836" max="4836" width="14.28515625" style="94" customWidth="1"/>
    <col min="4837" max="4837" width="11.7109375" style="94" bestFit="1" customWidth="1"/>
    <col min="4838" max="4838" width="14.140625" style="94" bestFit="1" customWidth="1"/>
    <col min="4839" max="4839" width="16.7109375" style="94" customWidth="1"/>
    <col min="4840" max="4840" width="16.5703125" style="94" customWidth="1"/>
    <col min="4841" max="4842" width="7.85546875" style="94" bestFit="1" customWidth="1"/>
    <col min="4843" max="4843" width="8" style="94" bestFit="1" customWidth="1"/>
    <col min="4844" max="4845" width="7.85546875" style="94" bestFit="1" customWidth="1"/>
    <col min="4846" max="4846" width="9.7109375" style="94" customWidth="1"/>
    <col min="4847" max="4847" width="12.85546875" style="94" customWidth="1"/>
    <col min="4848" max="5084" width="9.140625" style="94"/>
    <col min="5085" max="5085" width="9" style="94" bestFit="1" customWidth="1"/>
    <col min="5086" max="5086" width="9.85546875" style="94" bestFit="1" customWidth="1"/>
    <col min="5087" max="5087" width="9.140625" style="94" bestFit="1" customWidth="1"/>
    <col min="5088" max="5088" width="16" style="94" bestFit="1" customWidth="1"/>
    <col min="5089" max="5089" width="9" style="94" bestFit="1" customWidth="1"/>
    <col min="5090" max="5090" width="7.85546875" style="94" bestFit="1" customWidth="1"/>
    <col min="5091" max="5091" width="11.7109375" style="94" bestFit="1" customWidth="1"/>
    <col min="5092" max="5092" width="14.28515625" style="94" customWidth="1"/>
    <col min="5093" max="5093" width="11.7109375" style="94" bestFit="1" customWidth="1"/>
    <col min="5094" max="5094" width="14.140625" style="94" bestFit="1" customWidth="1"/>
    <col min="5095" max="5095" width="16.7109375" style="94" customWidth="1"/>
    <col min="5096" max="5096" width="16.5703125" style="94" customWidth="1"/>
    <col min="5097" max="5098" width="7.85546875" style="94" bestFit="1" customWidth="1"/>
    <col min="5099" max="5099" width="8" style="94" bestFit="1" customWidth="1"/>
    <col min="5100" max="5101" width="7.85546875" style="94" bestFit="1" customWidth="1"/>
    <col min="5102" max="5102" width="9.7109375" style="94" customWidth="1"/>
    <col min="5103" max="5103" width="12.85546875" style="94" customWidth="1"/>
    <col min="5104" max="5340" width="9.140625" style="94"/>
    <col min="5341" max="5341" width="9" style="94" bestFit="1" customWidth="1"/>
    <col min="5342" max="5342" width="9.85546875" style="94" bestFit="1" customWidth="1"/>
    <col min="5343" max="5343" width="9.140625" style="94" bestFit="1" customWidth="1"/>
    <col min="5344" max="5344" width="16" style="94" bestFit="1" customWidth="1"/>
    <col min="5345" max="5345" width="9" style="94" bestFit="1" customWidth="1"/>
    <col min="5346" max="5346" width="7.85546875" style="94" bestFit="1" customWidth="1"/>
    <col min="5347" max="5347" width="11.7109375" style="94" bestFit="1" customWidth="1"/>
    <col min="5348" max="5348" width="14.28515625" style="94" customWidth="1"/>
    <col min="5349" max="5349" width="11.7109375" style="94" bestFit="1" customWidth="1"/>
    <col min="5350" max="5350" width="14.140625" style="94" bestFit="1" customWidth="1"/>
    <col min="5351" max="5351" width="16.7109375" style="94" customWidth="1"/>
    <col min="5352" max="5352" width="16.5703125" style="94" customWidth="1"/>
    <col min="5353" max="5354" width="7.85546875" style="94" bestFit="1" customWidth="1"/>
    <col min="5355" max="5355" width="8" style="94" bestFit="1" customWidth="1"/>
    <col min="5356" max="5357" width="7.85546875" style="94" bestFit="1" customWidth="1"/>
    <col min="5358" max="5358" width="9.7109375" style="94" customWidth="1"/>
    <col min="5359" max="5359" width="12.85546875" style="94" customWidth="1"/>
    <col min="5360" max="5596" width="9.140625" style="94"/>
    <col min="5597" max="5597" width="9" style="94" bestFit="1" customWidth="1"/>
    <col min="5598" max="5598" width="9.85546875" style="94" bestFit="1" customWidth="1"/>
    <col min="5599" max="5599" width="9.140625" style="94" bestFit="1" customWidth="1"/>
    <col min="5600" max="5600" width="16" style="94" bestFit="1" customWidth="1"/>
    <col min="5601" max="5601" width="9" style="94" bestFit="1" customWidth="1"/>
    <col min="5602" max="5602" width="7.85546875" style="94" bestFit="1" customWidth="1"/>
    <col min="5603" max="5603" width="11.7109375" style="94" bestFit="1" customWidth="1"/>
    <col min="5604" max="5604" width="14.28515625" style="94" customWidth="1"/>
    <col min="5605" max="5605" width="11.7109375" style="94" bestFit="1" customWidth="1"/>
    <col min="5606" max="5606" width="14.140625" style="94" bestFit="1" customWidth="1"/>
    <col min="5607" max="5607" width="16.7109375" style="94" customWidth="1"/>
    <col min="5608" max="5608" width="16.5703125" style="94" customWidth="1"/>
    <col min="5609" max="5610" width="7.85546875" style="94" bestFit="1" customWidth="1"/>
    <col min="5611" max="5611" width="8" style="94" bestFit="1" customWidth="1"/>
    <col min="5612" max="5613" width="7.85546875" style="94" bestFit="1" customWidth="1"/>
    <col min="5614" max="5614" width="9.7109375" style="94" customWidth="1"/>
    <col min="5615" max="5615" width="12.85546875" style="94" customWidth="1"/>
    <col min="5616" max="5852" width="9.140625" style="94"/>
    <col min="5853" max="5853" width="9" style="94" bestFit="1" customWidth="1"/>
    <col min="5854" max="5854" width="9.85546875" style="94" bestFit="1" customWidth="1"/>
    <col min="5855" max="5855" width="9.140625" style="94" bestFit="1" customWidth="1"/>
    <col min="5856" max="5856" width="16" style="94" bestFit="1" customWidth="1"/>
    <col min="5857" max="5857" width="9" style="94" bestFit="1" customWidth="1"/>
    <col min="5858" max="5858" width="7.85546875" style="94" bestFit="1" customWidth="1"/>
    <col min="5859" max="5859" width="11.7109375" style="94" bestFit="1" customWidth="1"/>
    <col min="5860" max="5860" width="14.28515625" style="94" customWidth="1"/>
    <col min="5861" max="5861" width="11.7109375" style="94" bestFit="1" customWidth="1"/>
    <col min="5862" max="5862" width="14.140625" style="94" bestFit="1" customWidth="1"/>
    <col min="5863" max="5863" width="16.7109375" style="94" customWidth="1"/>
    <col min="5864" max="5864" width="16.5703125" style="94" customWidth="1"/>
    <col min="5865" max="5866" width="7.85546875" style="94" bestFit="1" customWidth="1"/>
    <col min="5867" max="5867" width="8" style="94" bestFit="1" customWidth="1"/>
    <col min="5868" max="5869" width="7.85546875" style="94" bestFit="1" customWidth="1"/>
    <col min="5870" max="5870" width="9.7109375" style="94" customWidth="1"/>
    <col min="5871" max="5871" width="12.85546875" style="94" customWidth="1"/>
    <col min="5872" max="6108" width="9.140625" style="94"/>
    <col min="6109" max="6109" width="9" style="94" bestFit="1" customWidth="1"/>
    <col min="6110" max="6110" width="9.85546875" style="94" bestFit="1" customWidth="1"/>
    <col min="6111" max="6111" width="9.140625" style="94" bestFit="1" customWidth="1"/>
    <col min="6112" max="6112" width="16" style="94" bestFit="1" customWidth="1"/>
    <col min="6113" max="6113" width="9" style="94" bestFit="1" customWidth="1"/>
    <col min="6114" max="6114" width="7.85546875" style="94" bestFit="1" customWidth="1"/>
    <col min="6115" max="6115" width="11.7109375" style="94" bestFit="1" customWidth="1"/>
    <col min="6116" max="6116" width="14.28515625" style="94" customWidth="1"/>
    <col min="6117" max="6117" width="11.7109375" style="94" bestFit="1" customWidth="1"/>
    <col min="6118" max="6118" width="14.140625" style="94" bestFit="1" customWidth="1"/>
    <col min="6119" max="6119" width="16.7109375" style="94" customWidth="1"/>
    <col min="6120" max="6120" width="16.5703125" style="94" customWidth="1"/>
    <col min="6121" max="6122" width="7.85546875" style="94" bestFit="1" customWidth="1"/>
    <col min="6123" max="6123" width="8" style="94" bestFit="1" customWidth="1"/>
    <col min="6124" max="6125" width="7.85546875" style="94" bestFit="1" customWidth="1"/>
    <col min="6126" max="6126" width="9.7109375" style="94" customWidth="1"/>
    <col min="6127" max="6127" width="12.85546875" style="94" customWidth="1"/>
    <col min="6128" max="6364" width="9.140625" style="94"/>
    <col min="6365" max="6365" width="9" style="94" bestFit="1" customWidth="1"/>
    <col min="6366" max="6366" width="9.85546875" style="94" bestFit="1" customWidth="1"/>
    <col min="6367" max="6367" width="9.140625" style="94" bestFit="1" customWidth="1"/>
    <col min="6368" max="6368" width="16" style="94" bestFit="1" customWidth="1"/>
    <col min="6369" max="6369" width="9" style="94" bestFit="1" customWidth="1"/>
    <col min="6370" max="6370" width="7.85546875" style="94" bestFit="1" customWidth="1"/>
    <col min="6371" max="6371" width="11.7109375" style="94" bestFit="1" customWidth="1"/>
    <col min="6372" max="6372" width="14.28515625" style="94" customWidth="1"/>
    <col min="6373" max="6373" width="11.7109375" style="94" bestFit="1" customWidth="1"/>
    <col min="6374" max="6374" width="14.140625" style="94" bestFit="1" customWidth="1"/>
    <col min="6375" max="6375" width="16.7109375" style="94" customWidth="1"/>
    <col min="6376" max="6376" width="16.5703125" style="94" customWidth="1"/>
    <col min="6377" max="6378" width="7.85546875" style="94" bestFit="1" customWidth="1"/>
    <col min="6379" max="6379" width="8" style="94" bestFit="1" customWidth="1"/>
    <col min="6380" max="6381" width="7.85546875" style="94" bestFit="1" customWidth="1"/>
    <col min="6382" max="6382" width="9.7109375" style="94" customWidth="1"/>
    <col min="6383" max="6383" width="12.85546875" style="94" customWidth="1"/>
    <col min="6384" max="6620" width="9.140625" style="94"/>
    <col min="6621" max="6621" width="9" style="94" bestFit="1" customWidth="1"/>
    <col min="6622" max="6622" width="9.85546875" style="94" bestFit="1" customWidth="1"/>
    <col min="6623" max="6623" width="9.140625" style="94" bestFit="1" customWidth="1"/>
    <col min="6624" max="6624" width="16" style="94" bestFit="1" customWidth="1"/>
    <col min="6625" max="6625" width="9" style="94" bestFit="1" customWidth="1"/>
    <col min="6626" max="6626" width="7.85546875" style="94" bestFit="1" customWidth="1"/>
    <col min="6627" max="6627" width="11.7109375" style="94" bestFit="1" customWidth="1"/>
    <col min="6628" max="6628" width="14.28515625" style="94" customWidth="1"/>
    <col min="6629" max="6629" width="11.7109375" style="94" bestFit="1" customWidth="1"/>
    <col min="6630" max="6630" width="14.140625" style="94" bestFit="1" customWidth="1"/>
    <col min="6631" max="6631" width="16.7109375" style="94" customWidth="1"/>
    <col min="6632" max="6632" width="16.5703125" style="94" customWidth="1"/>
    <col min="6633" max="6634" width="7.85546875" style="94" bestFit="1" customWidth="1"/>
    <col min="6635" max="6635" width="8" style="94" bestFit="1" customWidth="1"/>
    <col min="6636" max="6637" width="7.85546875" style="94" bestFit="1" customWidth="1"/>
    <col min="6638" max="6638" width="9.7109375" style="94" customWidth="1"/>
    <col min="6639" max="6639" width="12.85546875" style="94" customWidth="1"/>
    <col min="6640" max="6876" width="9.140625" style="94"/>
    <col min="6877" max="6877" width="9" style="94" bestFit="1" customWidth="1"/>
    <col min="6878" max="6878" width="9.85546875" style="94" bestFit="1" customWidth="1"/>
    <col min="6879" max="6879" width="9.140625" style="94" bestFit="1" customWidth="1"/>
    <col min="6880" max="6880" width="16" style="94" bestFit="1" customWidth="1"/>
    <col min="6881" max="6881" width="9" style="94" bestFit="1" customWidth="1"/>
    <col min="6882" max="6882" width="7.85546875" style="94" bestFit="1" customWidth="1"/>
    <col min="6883" max="6883" width="11.7109375" style="94" bestFit="1" customWidth="1"/>
    <col min="6884" max="6884" width="14.28515625" style="94" customWidth="1"/>
    <col min="6885" max="6885" width="11.7109375" style="94" bestFit="1" customWidth="1"/>
    <col min="6886" max="6886" width="14.140625" style="94" bestFit="1" customWidth="1"/>
    <col min="6887" max="6887" width="16.7109375" style="94" customWidth="1"/>
    <col min="6888" max="6888" width="16.5703125" style="94" customWidth="1"/>
    <col min="6889" max="6890" width="7.85546875" style="94" bestFit="1" customWidth="1"/>
    <col min="6891" max="6891" width="8" style="94" bestFit="1" customWidth="1"/>
    <col min="6892" max="6893" width="7.85546875" style="94" bestFit="1" customWidth="1"/>
    <col min="6894" max="6894" width="9.7109375" style="94" customWidth="1"/>
    <col min="6895" max="6895" width="12.85546875" style="94" customWidth="1"/>
    <col min="6896" max="7132" width="9.140625" style="94"/>
    <col min="7133" max="7133" width="9" style="94" bestFit="1" customWidth="1"/>
    <col min="7134" max="7134" width="9.85546875" style="94" bestFit="1" customWidth="1"/>
    <col min="7135" max="7135" width="9.140625" style="94" bestFit="1" customWidth="1"/>
    <col min="7136" max="7136" width="16" style="94" bestFit="1" customWidth="1"/>
    <col min="7137" max="7137" width="9" style="94" bestFit="1" customWidth="1"/>
    <col min="7138" max="7138" width="7.85546875" style="94" bestFit="1" customWidth="1"/>
    <col min="7139" max="7139" width="11.7109375" style="94" bestFit="1" customWidth="1"/>
    <col min="7140" max="7140" width="14.28515625" style="94" customWidth="1"/>
    <col min="7141" max="7141" width="11.7109375" style="94" bestFit="1" customWidth="1"/>
    <col min="7142" max="7142" width="14.140625" style="94" bestFit="1" customWidth="1"/>
    <col min="7143" max="7143" width="16.7109375" style="94" customWidth="1"/>
    <col min="7144" max="7144" width="16.5703125" style="94" customWidth="1"/>
    <col min="7145" max="7146" width="7.85546875" style="94" bestFit="1" customWidth="1"/>
    <col min="7147" max="7147" width="8" style="94" bestFit="1" customWidth="1"/>
    <col min="7148" max="7149" width="7.85546875" style="94" bestFit="1" customWidth="1"/>
    <col min="7150" max="7150" width="9.7109375" style="94" customWidth="1"/>
    <col min="7151" max="7151" width="12.85546875" style="94" customWidth="1"/>
    <col min="7152" max="7388" width="9.140625" style="94"/>
    <col min="7389" max="7389" width="9" style="94" bestFit="1" customWidth="1"/>
    <col min="7390" max="7390" width="9.85546875" style="94" bestFit="1" customWidth="1"/>
    <col min="7391" max="7391" width="9.140625" style="94" bestFit="1" customWidth="1"/>
    <col min="7392" max="7392" width="16" style="94" bestFit="1" customWidth="1"/>
    <col min="7393" max="7393" width="9" style="94" bestFit="1" customWidth="1"/>
    <col min="7394" max="7394" width="7.85546875" style="94" bestFit="1" customWidth="1"/>
    <col min="7395" max="7395" width="11.7109375" style="94" bestFit="1" customWidth="1"/>
    <col min="7396" max="7396" width="14.28515625" style="94" customWidth="1"/>
    <col min="7397" max="7397" width="11.7109375" style="94" bestFit="1" customWidth="1"/>
    <col min="7398" max="7398" width="14.140625" style="94" bestFit="1" customWidth="1"/>
    <col min="7399" max="7399" width="16.7109375" style="94" customWidth="1"/>
    <col min="7400" max="7400" width="16.5703125" style="94" customWidth="1"/>
    <col min="7401" max="7402" width="7.85546875" style="94" bestFit="1" customWidth="1"/>
    <col min="7403" max="7403" width="8" style="94" bestFit="1" customWidth="1"/>
    <col min="7404" max="7405" width="7.85546875" style="94" bestFit="1" customWidth="1"/>
    <col min="7406" max="7406" width="9.7109375" style="94" customWidth="1"/>
    <col min="7407" max="7407" width="12.85546875" style="94" customWidth="1"/>
    <col min="7408" max="7644" width="9.140625" style="94"/>
    <col min="7645" max="7645" width="9" style="94" bestFit="1" customWidth="1"/>
    <col min="7646" max="7646" width="9.85546875" style="94" bestFit="1" customWidth="1"/>
    <col min="7647" max="7647" width="9.140625" style="94" bestFit="1" customWidth="1"/>
    <col min="7648" max="7648" width="16" style="94" bestFit="1" customWidth="1"/>
    <col min="7649" max="7649" width="9" style="94" bestFit="1" customWidth="1"/>
    <col min="7650" max="7650" width="7.85546875" style="94" bestFit="1" customWidth="1"/>
    <col min="7651" max="7651" width="11.7109375" style="94" bestFit="1" customWidth="1"/>
    <col min="7652" max="7652" width="14.28515625" style="94" customWidth="1"/>
    <col min="7653" max="7653" width="11.7109375" style="94" bestFit="1" customWidth="1"/>
    <col min="7654" max="7654" width="14.140625" style="94" bestFit="1" customWidth="1"/>
    <col min="7655" max="7655" width="16.7109375" style="94" customWidth="1"/>
    <col min="7656" max="7656" width="16.5703125" style="94" customWidth="1"/>
    <col min="7657" max="7658" width="7.85546875" style="94" bestFit="1" customWidth="1"/>
    <col min="7659" max="7659" width="8" style="94" bestFit="1" customWidth="1"/>
    <col min="7660" max="7661" width="7.85546875" style="94" bestFit="1" customWidth="1"/>
    <col min="7662" max="7662" width="9.7109375" style="94" customWidth="1"/>
    <col min="7663" max="7663" width="12.85546875" style="94" customWidth="1"/>
    <col min="7664" max="7900" width="9.140625" style="94"/>
    <col min="7901" max="7901" width="9" style="94" bestFit="1" customWidth="1"/>
    <col min="7902" max="7902" width="9.85546875" style="94" bestFit="1" customWidth="1"/>
    <col min="7903" max="7903" width="9.140625" style="94" bestFit="1" customWidth="1"/>
    <col min="7904" max="7904" width="16" style="94" bestFit="1" customWidth="1"/>
    <col min="7905" max="7905" width="9" style="94" bestFit="1" customWidth="1"/>
    <col min="7906" max="7906" width="7.85546875" style="94" bestFit="1" customWidth="1"/>
    <col min="7907" max="7907" width="11.7109375" style="94" bestFit="1" customWidth="1"/>
    <col min="7908" max="7908" width="14.28515625" style="94" customWidth="1"/>
    <col min="7909" max="7909" width="11.7109375" style="94" bestFit="1" customWidth="1"/>
    <col min="7910" max="7910" width="14.140625" style="94" bestFit="1" customWidth="1"/>
    <col min="7911" max="7911" width="16.7109375" style="94" customWidth="1"/>
    <col min="7912" max="7912" width="16.5703125" style="94" customWidth="1"/>
    <col min="7913" max="7914" width="7.85546875" style="94" bestFit="1" customWidth="1"/>
    <col min="7915" max="7915" width="8" style="94" bestFit="1" customWidth="1"/>
    <col min="7916" max="7917" width="7.85546875" style="94" bestFit="1" customWidth="1"/>
    <col min="7918" max="7918" width="9.7109375" style="94" customWidth="1"/>
    <col min="7919" max="7919" width="12.85546875" style="94" customWidth="1"/>
    <col min="7920" max="8156" width="9.140625" style="94"/>
    <col min="8157" max="8157" width="9" style="94" bestFit="1" customWidth="1"/>
    <col min="8158" max="8158" width="9.85546875" style="94" bestFit="1" customWidth="1"/>
    <col min="8159" max="8159" width="9.140625" style="94" bestFit="1" customWidth="1"/>
    <col min="8160" max="8160" width="16" style="94" bestFit="1" customWidth="1"/>
    <col min="8161" max="8161" width="9" style="94" bestFit="1" customWidth="1"/>
    <col min="8162" max="8162" width="7.85546875" style="94" bestFit="1" customWidth="1"/>
    <col min="8163" max="8163" width="11.7109375" style="94" bestFit="1" customWidth="1"/>
    <col min="8164" max="8164" width="14.28515625" style="94" customWidth="1"/>
    <col min="8165" max="8165" width="11.7109375" style="94" bestFit="1" customWidth="1"/>
    <col min="8166" max="8166" width="14.140625" style="94" bestFit="1" customWidth="1"/>
    <col min="8167" max="8167" width="16.7109375" style="94" customWidth="1"/>
    <col min="8168" max="8168" width="16.5703125" style="94" customWidth="1"/>
    <col min="8169" max="8170" width="7.85546875" style="94" bestFit="1" customWidth="1"/>
    <col min="8171" max="8171" width="8" style="94" bestFit="1" customWidth="1"/>
    <col min="8172" max="8173" width="7.85546875" style="94" bestFit="1" customWidth="1"/>
    <col min="8174" max="8174" width="9.7109375" style="94" customWidth="1"/>
    <col min="8175" max="8175" width="12.85546875" style="94" customWidth="1"/>
    <col min="8176" max="8412" width="9.140625" style="94"/>
    <col min="8413" max="8413" width="9" style="94" bestFit="1" customWidth="1"/>
    <col min="8414" max="8414" width="9.85546875" style="94" bestFit="1" customWidth="1"/>
    <col min="8415" max="8415" width="9.140625" style="94" bestFit="1" customWidth="1"/>
    <col min="8416" max="8416" width="16" style="94" bestFit="1" customWidth="1"/>
    <col min="8417" max="8417" width="9" style="94" bestFit="1" customWidth="1"/>
    <col min="8418" max="8418" width="7.85546875" style="94" bestFit="1" customWidth="1"/>
    <col min="8419" max="8419" width="11.7109375" style="94" bestFit="1" customWidth="1"/>
    <col min="8420" max="8420" width="14.28515625" style="94" customWidth="1"/>
    <col min="8421" max="8421" width="11.7109375" style="94" bestFit="1" customWidth="1"/>
    <col min="8422" max="8422" width="14.140625" style="94" bestFit="1" customWidth="1"/>
    <col min="8423" max="8423" width="16.7109375" style="94" customWidth="1"/>
    <col min="8424" max="8424" width="16.5703125" style="94" customWidth="1"/>
    <col min="8425" max="8426" width="7.85546875" style="94" bestFit="1" customWidth="1"/>
    <col min="8427" max="8427" width="8" style="94" bestFit="1" customWidth="1"/>
    <col min="8428" max="8429" width="7.85546875" style="94" bestFit="1" customWidth="1"/>
    <col min="8430" max="8430" width="9.7109375" style="94" customWidth="1"/>
    <col min="8431" max="8431" width="12.85546875" style="94" customWidth="1"/>
    <col min="8432" max="8668" width="9.140625" style="94"/>
    <col min="8669" max="8669" width="9" style="94" bestFit="1" customWidth="1"/>
    <col min="8670" max="8670" width="9.85546875" style="94" bestFit="1" customWidth="1"/>
    <col min="8671" max="8671" width="9.140625" style="94" bestFit="1" customWidth="1"/>
    <col min="8672" max="8672" width="16" style="94" bestFit="1" customWidth="1"/>
    <col min="8673" max="8673" width="9" style="94" bestFit="1" customWidth="1"/>
    <col min="8674" max="8674" width="7.85546875" style="94" bestFit="1" customWidth="1"/>
    <col min="8675" max="8675" width="11.7109375" style="94" bestFit="1" customWidth="1"/>
    <col min="8676" max="8676" width="14.28515625" style="94" customWidth="1"/>
    <col min="8677" max="8677" width="11.7109375" style="94" bestFit="1" customWidth="1"/>
    <col min="8678" max="8678" width="14.140625" style="94" bestFit="1" customWidth="1"/>
    <col min="8679" max="8679" width="16.7109375" style="94" customWidth="1"/>
    <col min="8680" max="8680" width="16.5703125" style="94" customWidth="1"/>
    <col min="8681" max="8682" width="7.85546875" style="94" bestFit="1" customWidth="1"/>
    <col min="8683" max="8683" width="8" style="94" bestFit="1" customWidth="1"/>
    <col min="8684" max="8685" width="7.85546875" style="94" bestFit="1" customWidth="1"/>
    <col min="8686" max="8686" width="9.7109375" style="94" customWidth="1"/>
    <col min="8687" max="8687" width="12.85546875" style="94" customWidth="1"/>
    <col min="8688" max="8924" width="9.140625" style="94"/>
    <col min="8925" max="8925" width="9" style="94" bestFit="1" customWidth="1"/>
    <col min="8926" max="8926" width="9.85546875" style="94" bestFit="1" customWidth="1"/>
    <col min="8927" max="8927" width="9.140625" style="94" bestFit="1" customWidth="1"/>
    <col min="8928" max="8928" width="16" style="94" bestFit="1" customWidth="1"/>
    <col min="8929" max="8929" width="9" style="94" bestFit="1" customWidth="1"/>
    <col min="8930" max="8930" width="7.85546875" style="94" bestFit="1" customWidth="1"/>
    <col min="8931" max="8931" width="11.7109375" style="94" bestFit="1" customWidth="1"/>
    <col min="8932" max="8932" width="14.28515625" style="94" customWidth="1"/>
    <col min="8933" max="8933" width="11.7109375" style="94" bestFit="1" customWidth="1"/>
    <col min="8934" max="8934" width="14.140625" style="94" bestFit="1" customWidth="1"/>
    <col min="8935" max="8935" width="16.7109375" style="94" customWidth="1"/>
    <col min="8936" max="8936" width="16.5703125" style="94" customWidth="1"/>
    <col min="8937" max="8938" width="7.85546875" style="94" bestFit="1" customWidth="1"/>
    <col min="8939" max="8939" width="8" style="94" bestFit="1" customWidth="1"/>
    <col min="8940" max="8941" width="7.85546875" style="94" bestFit="1" customWidth="1"/>
    <col min="8942" max="8942" width="9.7109375" style="94" customWidth="1"/>
    <col min="8943" max="8943" width="12.85546875" style="94" customWidth="1"/>
    <col min="8944" max="9180" width="9.140625" style="94"/>
    <col min="9181" max="9181" width="9" style="94" bestFit="1" customWidth="1"/>
    <col min="9182" max="9182" width="9.85546875" style="94" bestFit="1" customWidth="1"/>
    <col min="9183" max="9183" width="9.140625" style="94" bestFit="1" customWidth="1"/>
    <col min="9184" max="9184" width="16" style="94" bestFit="1" customWidth="1"/>
    <col min="9185" max="9185" width="9" style="94" bestFit="1" customWidth="1"/>
    <col min="9186" max="9186" width="7.85546875" style="94" bestFit="1" customWidth="1"/>
    <col min="9187" max="9187" width="11.7109375" style="94" bestFit="1" customWidth="1"/>
    <col min="9188" max="9188" width="14.28515625" style="94" customWidth="1"/>
    <col min="9189" max="9189" width="11.7109375" style="94" bestFit="1" customWidth="1"/>
    <col min="9190" max="9190" width="14.140625" style="94" bestFit="1" customWidth="1"/>
    <col min="9191" max="9191" width="16.7109375" style="94" customWidth="1"/>
    <col min="9192" max="9192" width="16.5703125" style="94" customWidth="1"/>
    <col min="9193" max="9194" width="7.85546875" style="94" bestFit="1" customWidth="1"/>
    <col min="9195" max="9195" width="8" style="94" bestFit="1" customWidth="1"/>
    <col min="9196" max="9197" width="7.85546875" style="94" bestFit="1" customWidth="1"/>
    <col min="9198" max="9198" width="9.7109375" style="94" customWidth="1"/>
    <col min="9199" max="9199" width="12.85546875" style="94" customWidth="1"/>
    <col min="9200" max="9436" width="9.140625" style="94"/>
    <col min="9437" max="9437" width="9" style="94" bestFit="1" customWidth="1"/>
    <col min="9438" max="9438" width="9.85546875" style="94" bestFit="1" customWidth="1"/>
    <col min="9439" max="9439" width="9.140625" style="94" bestFit="1" customWidth="1"/>
    <col min="9440" max="9440" width="16" style="94" bestFit="1" customWidth="1"/>
    <col min="9441" max="9441" width="9" style="94" bestFit="1" customWidth="1"/>
    <col min="9442" max="9442" width="7.85546875" style="94" bestFit="1" customWidth="1"/>
    <col min="9443" max="9443" width="11.7109375" style="94" bestFit="1" customWidth="1"/>
    <col min="9444" max="9444" width="14.28515625" style="94" customWidth="1"/>
    <col min="9445" max="9445" width="11.7109375" style="94" bestFit="1" customWidth="1"/>
    <col min="9446" max="9446" width="14.140625" style="94" bestFit="1" customWidth="1"/>
    <col min="9447" max="9447" width="16.7109375" style="94" customWidth="1"/>
    <col min="9448" max="9448" width="16.5703125" style="94" customWidth="1"/>
    <col min="9449" max="9450" width="7.85546875" style="94" bestFit="1" customWidth="1"/>
    <col min="9451" max="9451" width="8" style="94" bestFit="1" customWidth="1"/>
    <col min="9452" max="9453" width="7.85546875" style="94" bestFit="1" customWidth="1"/>
    <col min="9454" max="9454" width="9.7109375" style="94" customWidth="1"/>
    <col min="9455" max="9455" width="12.85546875" style="94" customWidth="1"/>
    <col min="9456" max="9692" width="9.140625" style="94"/>
    <col min="9693" max="9693" width="9" style="94" bestFit="1" customWidth="1"/>
    <col min="9694" max="9694" width="9.85546875" style="94" bestFit="1" customWidth="1"/>
    <col min="9695" max="9695" width="9.140625" style="94" bestFit="1" customWidth="1"/>
    <col min="9696" max="9696" width="16" style="94" bestFit="1" customWidth="1"/>
    <col min="9697" max="9697" width="9" style="94" bestFit="1" customWidth="1"/>
    <col min="9698" max="9698" width="7.85546875" style="94" bestFit="1" customWidth="1"/>
    <col min="9699" max="9699" width="11.7109375" style="94" bestFit="1" customWidth="1"/>
    <col min="9700" max="9700" width="14.28515625" style="94" customWidth="1"/>
    <col min="9701" max="9701" width="11.7109375" style="94" bestFit="1" customWidth="1"/>
    <col min="9702" max="9702" width="14.140625" style="94" bestFit="1" customWidth="1"/>
    <col min="9703" max="9703" width="16.7109375" style="94" customWidth="1"/>
    <col min="9704" max="9704" width="16.5703125" style="94" customWidth="1"/>
    <col min="9705" max="9706" width="7.85546875" style="94" bestFit="1" customWidth="1"/>
    <col min="9707" max="9707" width="8" style="94" bestFit="1" customWidth="1"/>
    <col min="9708" max="9709" width="7.85546875" style="94" bestFit="1" customWidth="1"/>
    <col min="9710" max="9710" width="9.7109375" style="94" customWidth="1"/>
    <col min="9711" max="9711" width="12.85546875" style="94" customWidth="1"/>
    <col min="9712" max="9948" width="9.140625" style="94"/>
    <col min="9949" max="9949" width="9" style="94" bestFit="1" customWidth="1"/>
    <col min="9950" max="9950" width="9.85546875" style="94" bestFit="1" customWidth="1"/>
    <col min="9951" max="9951" width="9.140625" style="94" bestFit="1" customWidth="1"/>
    <col min="9952" max="9952" width="16" style="94" bestFit="1" customWidth="1"/>
    <col min="9953" max="9953" width="9" style="94" bestFit="1" customWidth="1"/>
    <col min="9954" max="9954" width="7.85546875" style="94" bestFit="1" customWidth="1"/>
    <col min="9955" max="9955" width="11.7109375" style="94" bestFit="1" customWidth="1"/>
    <col min="9956" max="9956" width="14.28515625" style="94" customWidth="1"/>
    <col min="9957" max="9957" width="11.7109375" style="94" bestFit="1" customWidth="1"/>
    <col min="9958" max="9958" width="14.140625" style="94" bestFit="1" customWidth="1"/>
    <col min="9959" max="9959" width="16.7109375" style="94" customWidth="1"/>
    <col min="9960" max="9960" width="16.5703125" style="94" customWidth="1"/>
    <col min="9961" max="9962" width="7.85546875" style="94" bestFit="1" customWidth="1"/>
    <col min="9963" max="9963" width="8" style="94" bestFit="1" customWidth="1"/>
    <col min="9964" max="9965" width="7.85546875" style="94" bestFit="1" customWidth="1"/>
    <col min="9966" max="9966" width="9.7109375" style="94" customWidth="1"/>
    <col min="9967" max="9967" width="12.85546875" style="94" customWidth="1"/>
    <col min="9968" max="10204" width="9.140625" style="94"/>
    <col min="10205" max="10205" width="9" style="94" bestFit="1" customWidth="1"/>
    <col min="10206" max="10206" width="9.85546875" style="94" bestFit="1" customWidth="1"/>
    <col min="10207" max="10207" width="9.140625" style="94" bestFit="1" customWidth="1"/>
    <col min="10208" max="10208" width="16" style="94" bestFit="1" customWidth="1"/>
    <col min="10209" max="10209" width="9" style="94" bestFit="1" customWidth="1"/>
    <col min="10210" max="10210" width="7.85546875" style="94" bestFit="1" customWidth="1"/>
    <col min="10211" max="10211" width="11.7109375" style="94" bestFit="1" customWidth="1"/>
    <col min="10212" max="10212" width="14.28515625" style="94" customWidth="1"/>
    <col min="10213" max="10213" width="11.7109375" style="94" bestFit="1" customWidth="1"/>
    <col min="10214" max="10214" width="14.140625" style="94" bestFit="1" customWidth="1"/>
    <col min="10215" max="10215" width="16.7109375" style="94" customWidth="1"/>
    <col min="10216" max="10216" width="16.5703125" style="94" customWidth="1"/>
    <col min="10217" max="10218" width="7.85546875" style="94" bestFit="1" customWidth="1"/>
    <col min="10219" max="10219" width="8" style="94" bestFit="1" customWidth="1"/>
    <col min="10220" max="10221" width="7.85546875" style="94" bestFit="1" customWidth="1"/>
    <col min="10222" max="10222" width="9.7109375" style="94" customWidth="1"/>
    <col min="10223" max="10223" width="12.85546875" style="94" customWidth="1"/>
    <col min="10224" max="10460" width="9.140625" style="94"/>
    <col min="10461" max="10461" width="9" style="94" bestFit="1" customWidth="1"/>
    <col min="10462" max="10462" width="9.85546875" style="94" bestFit="1" customWidth="1"/>
    <col min="10463" max="10463" width="9.140625" style="94" bestFit="1" customWidth="1"/>
    <col min="10464" max="10464" width="16" style="94" bestFit="1" customWidth="1"/>
    <col min="10465" max="10465" width="9" style="94" bestFit="1" customWidth="1"/>
    <col min="10466" max="10466" width="7.85546875" style="94" bestFit="1" customWidth="1"/>
    <col min="10467" max="10467" width="11.7109375" style="94" bestFit="1" customWidth="1"/>
    <col min="10468" max="10468" width="14.28515625" style="94" customWidth="1"/>
    <col min="10469" max="10469" width="11.7109375" style="94" bestFit="1" customWidth="1"/>
    <col min="10470" max="10470" width="14.140625" style="94" bestFit="1" customWidth="1"/>
    <col min="10471" max="10471" width="16.7109375" style="94" customWidth="1"/>
    <col min="10472" max="10472" width="16.5703125" style="94" customWidth="1"/>
    <col min="10473" max="10474" width="7.85546875" style="94" bestFit="1" customWidth="1"/>
    <col min="10475" max="10475" width="8" style="94" bestFit="1" customWidth="1"/>
    <col min="10476" max="10477" width="7.85546875" style="94" bestFit="1" customWidth="1"/>
    <col min="10478" max="10478" width="9.7109375" style="94" customWidth="1"/>
    <col min="10479" max="10479" width="12.85546875" style="94" customWidth="1"/>
    <col min="10480" max="10716" width="9.140625" style="94"/>
    <col min="10717" max="10717" width="9" style="94" bestFit="1" customWidth="1"/>
    <col min="10718" max="10718" width="9.85546875" style="94" bestFit="1" customWidth="1"/>
    <col min="10719" max="10719" width="9.140625" style="94" bestFit="1" customWidth="1"/>
    <col min="10720" max="10720" width="16" style="94" bestFit="1" customWidth="1"/>
    <col min="10721" max="10721" width="9" style="94" bestFit="1" customWidth="1"/>
    <col min="10722" max="10722" width="7.85546875" style="94" bestFit="1" customWidth="1"/>
    <col min="10723" max="10723" width="11.7109375" style="94" bestFit="1" customWidth="1"/>
    <col min="10724" max="10724" width="14.28515625" style="94" customWidth="1"/>
    <col min="10725" max="10725" width="11.7109375" style="94" bestFit="1" customWidth="1"/>
    <col min="10726" max="10726" width="14.140625" style="94" bestFit="1" customWidth="1"/>
    <col min="10727" max="10727" width="16.7109375" style="94" customWidth="1"/>
    <col min="10728" max="10728" width="16.5703125" style="94" customWidth="1"/>
    <col min="10729" max="10730" width="7.85546875" style="94" bestFit="1" customWidth="1"/>
    <col min="10731" max="10731" width="8" style="94" bestFit="1" customWidth="1"/>
    <col min="10732" max="10733" width="7.85546875" style="94" bestFit="1" customWidth="1"/>
    <col min="10734" max="10734" width="9.7109375" style="94" customWidth="1"/>
    <col min="10735" max="10735" width="12.85546875" style="94" customWidth="1"/>
    <col min="10736" max="10972" width="9.140625" style="94"/>
    <col min="10973" max="10973" width="9" style="94" bestFit="1" customWidth="1"/>
    <col min="10974" max="10974" width="9.85546875" style="94" bestFit="1" customWidth="1"/>
    <col min="10975" max="10975" width="9.140625" style="94" bestFit="1" customWidth="1"/>
    <col min="10976" max="10976" width="16" style="94" bestFit="1" customWidth="1"/>
    <col min="10977" max="10977" width="9" style="94" bestFit="1" customWidth="1"/>
    <col min="10978" max="10978" width="7.85546875" style="94" bestFit="1" customWidth="1"/>
    <col min="10979" max="10979" width="11.7109375" style="94" bestFit="1" customWidth="1"/>
    <col min="10980" max="10980" width="14.28515625" style="94" customWidth="1"/>
    <col min="10981" max="10981" width="11.7109375" style="94" bestFit="1" customWidth="1"/>
    <col min="10982" max="10982" width="14.140625" style="94" bestFit="1" customWidth="1"/>
    <col min="10983" max="10983" width="16.7109375" style="94" customWidth="1"/>
    <col min="10984" max="10984" width="16.5703125" style="94" customWidth="1"/>
    <col min="10985" max="10986" width="7.85546875" style="94" bestFit="1" customWidth="1"/>
    <col min="10987" max="10987" width="8" style="94" bestFit="1" customWidth="1"/>
    <col min="10988" max="10989" width="7.85546875" style="94" bestFit="1" customWidth="1"/>
    <col min="10990" max="10990" width="9.7109375" style="94" customWidth="1"/>
    <col min="10991" max="10991" width="12.85546875" style="94" customWidth="1"/>
    <col min="10992" max="11228" width="9.140625" style="94"/>
    <col min="11229" max="11229" width="9" style="94" bestFit="1" customWidth="1"/>
    <col min="11230" max="11230" width="9.85546875" style="94" bestFit="1" customWidth="1"/>
    <col min="11231" max="11231" width="9.140625" style="94" bestFit="1" customWidth="1"/>
    <col min="11232" max="11232" width="16" style="94" bestFit="1" customWidth="1"/>
    <col min="11233" max="11233" width="9" style="94" bestFit="1" customWidth="1"/>
    <col min="11234" max="11234" width="7.85546875" style="94" bestFit="1" customWidth="1"/>
    <col min="11235" max="11235" width="11.7109375" style="94" bestFit="1" customWidth="1"/>
    <col min="11236" max="11236" width="14.28515625" style="94" customWidth="1"/>
    <col min="11237" max="11237" width="11.7109375" style="94" bestFit="1" customWidth="1"/>
    <col min="11238" max="11238" width="14.140625" style="94" bestFit="1" customWidth="1"/>
    <col min="11239" max="11239" width="16.7109375" style="94" customWidth="1"/>
    <col min="11240" max="11240" width="16.5703125" style="94" customWidth="1"/>
    <col min="11241" max="11242" width="7.85546875" style="94" bestFit="1" customWidth="1"/>
    <col min="11243" max="11243" width="8" style="94" bestFit="1" customWidth="1"/>
    <col min="11244" max="11245" width="7.85546875" style="94" bestFit="1" customWidth="1"/>
    <col min="11246" max="11246" width="9.7109375" style="94" customWidth="1"/>
    <col min="11247" max="11247" width="12.85546875" style="94" customWidth="1"/>
    <col min="11248" max="11484" width="9.140625" style="94"/>
    <col min="11485" max="11485" width="9" style="94" bestFit="1" customWidth="1"/>
    <col min="11486" max="11486" width="9.85546875" style="94" bestFit="1" customWidth="1"/>
    <col min="11487" max="11487" width="9.140625" style="94" bestFit="1" customWidth="1"/>
    <col min="11488" max="11488" width="16" style="94" bestFit="1" customWidth="1"/>
    <col min="11489" max="11489" width="9" style="94" bestFit="1" customWidth="1"/>
    <col min="11490" max="11490" width="7.85546875" style="94" bestFit="1" customWidth="1"/>
    <col min="11491" max="11491" width="11.7109375" style="94" bestFit="1" customWidth="1"/>
    <col min="11492" max="11492" width="14.28515625" style="94" customWidth="1"/>
    <col min="11493" max="11493" width="11.7109375" style="94" bestFit="1" customWidth="1"/>
    <col min="11494" max="11494" width="14.140625" style="94" bestFit="1" customWidth="1"/>
    <col min="11495" max="11495" width="16.7109375" style="94" customWidth="1"/>
    <col min="11496" max="11496" width="16.5703125" style="94" customWidth="1"/>
    <col min="11497" max="11498" width="7.85546875" style="94" bestFit="1" customWidth="1"/>
    <col min="11499" max="11499" width="8" style="94" bestFit="1" customWidth="1"/>
    <col min="11500" max="11501" width="7.85546875" style="94" bestFit="1" customWidth="1"/>
    <col min="11502" max="11502" width="9.7109375" style="94" customWidth="1"/>
    <col min="11503" max="11503" width="12.85546875" style="94" customWidth="1"/>
    <col min="11504" max="11740" width="9.140625" style="94"/>
    <col min="11741" max="11741" width="9" style="94" bestFit="1" customWidth="1"/>
    <col min="11742" max="11742" width="9.85546875" style="94" bestFit="1" customWidth="1"/>
    <col min="11743" max="11743" width="9.140625" style="94" bestFit="1" customWidth="1"/>
    <col min="11744" max="11744" width="16" style="94" bestFit="1" customWidth="1"/>
    <col min="11745" max="11745" width="9" style="94" bestFit="1" customWidth="1"/>
    <col min="11746" max="11746" width="7.85546875" style="94" bestFit="1" customWidth="1"/>
    <col min="11747" max="11747" width="11.7109375" style="94" bestFit="1" customWidth="1"/>
    <col min="11748" max="11748" width="14.28515625" style="94" customWidth="1"/>
    <col min="11749" max="11749" width="11.7109375" style="94" bestFit="1" customWidth="1"/>
    <col min="11750" max="11750" width="14.140625" style="94" bestFit="1" customWidth="1"/>
    <col min="11751" max="11751" width="16.7109375" style="94" customWidth="1"/>
    <col min="11752" max="11752" width="16.5703125" style="94" customWidth="1"/>
    <col min="11753" max="11754" width="7.85546875" style="94" bestFit="1" customWidth="1"/>
    <col min="11755" max="11755" width="8" style="94" bestFit="1" customWidth="1"/>
    <col min="11756" max="11757" width="7.85546875" style="94" bestFit="1" customWidth="1"/>
    <col min="11758" max="11758" width="9.7109375" style="94" customWidth="1"/>
    <col min="11759" max="11759" width="12.85546875" style="94" customWidth="1"/>
    <col min="11760" max="11996" width="9.140625" style="94"/>
    <col min="11997" max="11997" width="9" style="94" bestFit="1" customWidth="1"/>
    <col min="11998" max="11998" width="9.85546875" style="94" bestFit="1" customWidth="1"/>
    <col min="11999" max="11999" width="9.140625" style="94" bestFit="1" customWidth="1"/>
    <col min="12000" max="12000" width="16" style="94" bestFit="1" customWidth="1"/>
    <col min="12001" max="12001" width="9" style="94" bestFit="1" customWidth="1"/>
    <col min="12002" max="12002" width="7.85546875" style="94" bestFit="1" customWidth="1"/>
    <col min="12003" max="12003" width="11.7109375" style="94" bestFit="1" customWidth="1"/>
    <col min="12004" max="12004" width="14.28515625" style="94" customWidth="1"/>
    <col min="12005" max="12005" width="11.7109375" style="94" bestFit="1" customWidth="1"/>
    <col min="12006" max="12006" width="14.140625" style="94" bestFit="1" customWidth="1"/>
    <col min="12007" max="12007" width="16.7109375" style="94" customWidth="1"/>
    <col min="12008" max="12008" width="16.5703125" style="94" customWidth="1"/>
    <col min="12009" max="12010" width="7.85546875" style="94" bestFit="1" customWidth="1"/>
    <col min="12011" max="12011" width="8" style="94" bestFit="1" customWidth="1"/>
    <col min="12012" max="12013" width="7.85546875" style="94" bestFit="1" customWidth="1"/>
    <col min="12014" max="12014" width="9.7109375" style="94" customWidth="1"/>
    <col min="12015" max="12015" width="12.85546875" style="94" customWidth="1"/>
    <col min="12016" max="12252" width="9.140625" style="94"/>
    <col min="12253" max="12253" width="9" style="94" bestFit="1" customWidth="1"/>
    <col min="12254" max="12254" width="9.85546875" style="94" bestFit="1" customWidth="1"/>
    <col min="12255" max="12255" width="9.140625" style="94" bestFit="1" customWidth="1"/>
    <col min="12256" max="12256" width="16" style="94" bestFit="1" customWidth="1"/>
    <col min="12257" max="12257" width="9" style="94" bestFit="1" customWidth="1"/>
    <col min="12258" max="12258" width="7.85546875" style="94" bestFit="1" customWidth="1"/>
    <col min="12259" max="12259" width="11.7109375" style="94" bestFit="1" customWidth="1"/>
    <col min="12260" max="12260" width="14.28515625" style="94" customWidth="1"/>
    <col min="12261" max="12261" width="11.7109375" style="94" bestFit="1" customWidth="1"/>
    <col min="12262" max="12262" width="14.140625" style="94" bestFit="1" customWidth="1"/>
    <col min="12263" max="12263" width="16.7109375" style="94" customWidth="1"/>
    <col min="12264" max="12264" width="16.5703125" style="94" customWidth="1"/>
    <col min="12265" max="12266" width="7.85546875" style="94" bestFit="1" customWidth="1"/>
    <col min="12267" max="12267" width="8" style="94" bestFit="1" customWidth="1"/>
    <col min="12268" max="12269" width="7.85546875" style="94" bestFit="1" customWidth="1"/>
    <col min="12270" max="12270" width="9.7109375" style="94" customWidth="1"/>
    <col min="12271" max="12271" width="12.85546875" style="94" customWidth="1"/>
    <col min="12272" max="12508" width="9.140625" style="94"/>
    <col min="12509" max="12509" width="9" style="94" bestFit="1" customWidth="1"/>
    <col min="12510" max="12510" width="9.85546875" style="94" bestFit="1" customWidth="1"/>
    <col min="12511" max="12511" width="9.140625" style="94" bestFit="1" customWidth="1"/>
    <col min="12512" max="12512" width="16" style="94" bestFit="1" customWidth="1"/>
    <col min="12513" max="12513" width="9" style="94" bestFit="1" customWidth="1"/>
    <col min="12514" max="12514" width="7.85546875" style="94" bestFit="1" customWidth="1"/>
    <col min="12515" max="12515" width="11.7109375" style="94" bestFit="1" customWidth="1"/>
    <col min="12516" max="12516" width="14.28515625" style="94" customWidth="1"/>
    <col min="12517" max="12517" width="11.7109375" style="94" bestFit="1" customWidth="1"/>
    <col min="12518" max="12518" width="14.140625" style="94" bestFit="1" customWidth="1"/>
    <col min="12519" max="12519" width="16.7109375" style="94" customWidth="1"/>
    <col min="12520" max="12520" width="16.5703125" style="94" customWidth="1"/>
    <col min="12521" max="12522" width="7.85546875" style="94" bestFit="1" customWidth="1"/>
    <col min="12523" max="12523" width="8" style="94" bestFit="1" customWidth="1"/>
    <col min="12524" max="12525" width="7.85546875" style="94" bestFit="1" customWidth="1"/>
    <col min="12526" max="12526" width="9.7109375" style="94" customWidth="1"/>
    <col min="12527" max="12527" width="12.85546875" style="94" customWidth="1"/>
    <col min="12528" max="12764" width="9.140625" style="94"/>
    <col min="12765" max="12765" width="9" style="94" bestFit="1" customWidth="1"/>
    <col min="12766" max="12766" width="9.85546875" style="94" bestFit="1" customWidth="1"/>
    <col min="12767" max="12767" width="9.140625" style="94" bestFit="1" customWidth="1"/>
    <col min="12768" max="12768" width="16" style="94" bestFit="1" customWidth="1"/>
    <col min="12769" max="12769" width="9" style="94" bestFit="1" customWidth="1"/>
    <col min="12770" max="12770" width="7.85546875" style="94" bestFit="1" customWidth="1"/>
    <col min="12771" max="12771" width="11.7109375" style="94" bestFit="1" customWidth="1"/>
    <col min="12772" max="12772" width="14.28515625" style="94" customWidth="1"/>
    <col min="12773" max="12773" width="11.7109375" style="94" bestFit="1" customWidth="1"/>
    <col min="12774" max="12774" width="14.140625" style="94" bestFit="1" customWidth="1"/>
    <col min="12775" max="12775" width="16.7109375" style="94" customWidth="1"/>
    <col min="12776" max="12776" width="16.5703125" style="94" customWidth="1"/>
    <col min="12777" max="12778" width="7.85546875" style="94" bestFit="1" customWidth="1"/>
    <col min="12779" max="12779" width="8" style="94" bestFit="1" customWidth="1"/>
    <col min="12780" max="12781" width="7.85546875" style="94" bestFit="1" customWidth="1"/>
    <col min="12782" max="12782" width="9.7109375" style="94" customWidth="1"/>
    <col min="12783" max="12783" width="12.85546875" style="94" customWidth="1"/>
    <col min="12784" max="13020" width="9.140625" style="94"/>
    <col min="13021" max="13021" width="9" style="94" bestFit="1" customWidth="1"/>
    <col min="13022" max="13022" width="9.85546875" style="94" bestFit="1" customWidth="1"/>
    <col min="13023" max="13023" width="9.140625" style="94" bestFit="1" customWidth="1"/>
    <col min="13024" max="13024" width="16" style="94" bestFit="1" customWidth="1"/>
    <col min="13025" max="13025" width="9" style="94" bestFit="1" customWidth="1"/>
    <col min="13026" max="13026" width="7.85546875" style="94" bestFit="1" customWidth="1"/>
    <col min="13027" max="13027" width="11.7109375" style="94" bestFit="1" customWidth="1"/>
    <col min="13028" max="13028" width="14.28515625" style="94" customWidth="1"/>
    <col min="13029" max="13029" width="11.7109375" style="94" bestFit="1" customWidth="1"/>
    <col min="13030" max="13030" width="14.140625" style="94" bestFit="1" customWidth="1"/>
    <col min="13031" max="13031" width="16.7109375" style="94" customWidth="1"/>
    <col min="13032" max="13032" width="16.5703125" style="94" customWidth="1"/>
    <col min="13033" max="13034" width="7.85546875" style="94" bestFit="1" customWidth="1"/>
    <col min="13035" max="13035" width="8" style="94" bestFit="1" customWidth="1"/>
    <col min="13036" max="13037" width="7.85546875" style="94" bestFit="1" customWidth="1"/>
    <col min="13038" max="13038" width="9.7109375" style="94" customWidth="1"/>
    <col min="13039" max="13039" width="12.85546875" style="94" customWidth="1"/>
    <col min="13040" max="13276" width="9.140625" style="94"/>
    <col min="13277" max="13277" width="9" style="94" bestFit="1" customWidth="1"/>
    <col min="13278" max="13278" width="9.85546875" style="94" bestFit="1" customWidth="1"/>
    <col min="13279" max="13279" width="9.140625" style="94" bestFit="1" customWidth="1"/>
    <col min="13280" max="13280" width="16" style="94" bestFit="1" customWidth="1"/>
    <col min="13281" max="13281" width="9" style="94" bestFit="1" customWidth="1"/>
    <col min="13282" max="13282" width="7.85546875" style="94" bestFit="1" customWidth="1"/>
    <col min="13283" max="13283" width="11.7109375" style="94" bestFit="1" customWidth="1"/>
    <col min="13284" max="13284" width="14.28515625" style="94" customWidth="1"/>
    <col min="13285" max="13285" width="11.7109375" style="94" bestFit="1" customWidth="1"/>
    <col min="13286" max="13286" width="14.140625" style="94" bestFit="1" customWidth="1"/>
    <col min="13287" max="13287" width="16.7109375" style="94" customWidth="1"/>
    <col min="13288" max="13288" width="16.5703125" style="94" customWidth="1"/>
    <col min="13289" max="13290" width="7.85546875" style="94" bestFit="1" customWidth="1"/>
    <col min="13291" max="13291" width="8" style="94" bestFit="1" customWidth="1"/>
    <col min="13292" max="13293" width="7.85546875" style="94" bestFit="1" customWidth="1"/>
    <col min="13294" max="13294" width="9.7109375" style="94" customWidth="1"/>
    <col min="13295" max="13295" width="12.85546875" style="94" customWidth="1"/>
    <col min="13296" max="13532" width="9.140625" style="94"/>
    <col min="13533" max="13533" width="9" style="94" bestFit="1" customWidth="1"/>
    <col min="13534" max="13534" width="9.85546875" style="94" bestFit="1" customWidth="1"/>
    <col min="13535" max="13535" width="9.140625" style="94" bestFit="1" customWidth="1"/>
    <col min="13536" max="13536" width="16" style="94" bestFit="1" customWidth="1"/>
    <col min="13537" max="13537" width="9" style="94" bestFit="1" customWidth="1"/>
    <col min="13538" max="13538" width="7.85546875" style="94" bestFit="1" customWidth="1"/>
    <col min="13539" max="13539" width="11.7109375" style="94" bestFit="1" customWidth="1"/>
    <col min="13540" max="13540" width="14.28515625" style="94" customWidth="1"/>
    <col min="13541" max="13541" width="11.7109375" style="94" bestFit="1" customWidth="1"/>
    <col min="13542" max="13542" width="14.140625" style="94" bestFit="1" customWidth="1"/>
    <col min="13543" max="13543" width="16.7109375" style="94" customWidth="1"/>
    <col min="13544" max="13544" width="16.5703125" style="94" customWidth="1"/>
    <col min="13545" max="13546" width="7.85546875" style="94" bestFit="1" customWidth="1"/>
    <col min="13547" max="13547" width="8" style="94" bestFit="1" customWidth="1"/>
    <col min="13548" max="13549" width="7.85546875" style="94" bestFit="1" customWidth="1"/>
    <col min="13550" max="13550" width="9.7109375" style="94" customWidth="1"/>
    <col min="13551" max="13551" width="12.85546875" style="94" customWidth="1"/>
    <col min="13552" max="13788" width="9.140625" style="94"/>
    <col min="13789" max="13789" width="9" style="94" bestFit="1" customWidth="1"/>
    <col min="13790" max="13790" width="9.85546875" style="94" bestFit="1" customWidth="1"/>
    <col min="13791" max="13791" width="9.140625" style="94" bestFit="1" customWidth="1"/>
    <col min="13792" max="13792" width="16" style="94" bestFit="1" customWidth="1"/>
    <col min="13793" max="13793" width="9" style="94" bestFit="1" customWidth="1"/>
    <col min="13794" max="13794" width="7.85546875" style="94" bestFit="1" customWidth="1"/>
    <col min="13795" max="13795" width="11.7109375" style="94" bestFit="1" customWidth="1"/>
    <col min="13796" max="13796" width="14.28515625" style="94" customWidth="1"/>
    <col min="13797" max="13797" width="11.7109375" style="94" bestFit="1" customWidth="1"/>
    <col min="13798" max="13798" width="14.140625" style="94" bestFit="1" customWidth="1"/>
    <col min="13799" max="13799" width="16.7109375" style="94" customWidth="1"/>
    <col min="13800" max="13800" width="16.5703125" style="94" customWidth="1"/>
    <col min="13801" max="13802" width="7.85546875" style="94" bestFit="1" customWidth="1"/>
    <col min="13803" max="13803" width="8" style="94" bestFit="1" customWidth="1"/>
    <col min="13804" max="13805" width="7.85546875" style="94" bestFit="1" customWidth="1"/>
    <col min="13806" max="13806" width="9.7109375" style="94" customWidth="1"/>
    <col min="13807" max="13807" width="12.85546875" style="94" customWidth="1"/>
    <col min="13808" max="14044" width="9.140625" style="94"/>
    <col min="14045" max="14045" width="9" style="94" bestFit="1" customWidth="1"/>
    <col min="14046" max="14046" width="9.85546875" style="94" bestFit="1" customWidth="1"/>
    <col min="14047" max="14047" width="9.140625" style="94" bestFit="1" customWidth="1"/>
    <col min="14048" max="14048" width="16" style="94" bestFit="1" customWidth="1"/>
    <col min="14049" max="14049" width="9" style="94" bestFit="1" customWidth="1"/>
    <col min="14050" max="14050" width="7.85546875" style="94" bestFit="1" customWidth="1"/>
    <col min="14051" max="14051" width="11.7109375" style="94" bestFit="1" customWidth="1"/>
    <col min="14052" max="14052" width="14.28515625" style="94" customWidth="1"/>
    <col min="14053" max="14053" width="11.7109375" style="94" bestFit="1" customWidth="1"/>
    <col min="14054" max="14054" width="14.140625" style="94" bestFit="1" customWidth="1"/>
    <col min="14055" max="14055" width="16.7109375" style="94" customWidth="1"/>
    <col min="14056" max="14056" width="16.5703125" style="94" customWidth="1"/>
    <col min="14057" max="14058" width="7.85546875" style="94" bestFit="1" customWidth="1"/>
    <col min="14059" max="14059" width="8" style="94" bestFit="1" customWidth="1"/>
    <col min="14060" max="14061" width="7.85546875" style="94" bestFit="1" customWidth="1"/>
    <col min="14062" max="14062" width="9.7109375" style="94" customWidth="1"/>
    <col min="14063" max="14063" width="12.85546875" style="94" customWidth="1"/>
    <col min="14064" max="14300" width="9.140625" style="94"/>
    <col min="14301" max="14301" width="9" style="94" bestFit="1" customWidth="1"/>
    <col min="14302" max="14302" width="9.85546875" style="94" bestFit="1" customWidth="1"/>
    <col min="14303" max="14303" width="9.140625" style="94" bestFit="1" customWidth="1"/>
    <col min="14304" max="14304" width="16" style="94" bestFit="1" customWidth="1"/>
    <col min="14305" max="14305" width="9" style="94" bestFit="1" customWidth="1"/>
    <col min="14306" max="14306" width="7.85546875" style="94" bestFit="1" customWidth="1"/>
    <col min="14307" max="14307" width="11.7109375" style="94" bestFit="1" customWidth="1"/>
    <col min="14308" max="14308" width="14.28515625" style="94" customWidth="1"/>
    <col min="14309" max="14309" width="11.7109375" style="94" bestFit="1" customWidth="1"/>
    <col min="14310" max="14310" width="14.140625" style="94" bestFit="1" customWidth="1"/>
    <col min="14311" max="14311" width="16.7109375" style="94" customWidth="1"/>
    <col min="14312" max="14312" width="16.5703125" style="94" customWidth="1"/>
    <col min="14313" max="14314" width="7.85546875" style="94" bestFit="1" customWidth="1"/>
    <col min="14315" max="14315" width="8" style="94" bestFit="1" customWidth="1"/>
    <col min="14316" max="14317" width="7.85546875" style="94" bestFit="1" customWidth="1"/>
    <col min="14318" max="14318" width="9.7109375" style="94" customWidth="1"/>
    <col min="14319" max="14319" width="12.85546875" style="94" customWidth="1"/>
    <col min="14320" max="14556" width="9.140625" style="94"/>
    <col min="14557" max="14557" width="9" style="94" bestFit="1" customWidth="1"/>
    <col min="14558" max="14558" width="9.85546875" style="94" bestFit="1" customWidth="1"/>
    <col min="14559" max="14559" width="9.140625" style="94" bestFit="1" customWidth="1"/>
    <col min="14560" max="14560" width="16" style="94" bestFit="1" customWidth="1"/>
    <col min="14561" max="14561" width="9" style="94" bestFit="1" customWidth="1"/>
    <col min="14562" max="14562" width="7.85546875" style="94" bestFit="1" customWidth="1"/>
    <col min="14563" max="14563" width="11.7109375" style="94" bestFit="1" customWidth="1"/>
    <col min="14564" max="14564" width="14.28515625" style="94" customWidth="1"/>
    <col min="14565" max="14565" width="11.7109375" style="94" bestFit="1" customWidth="1"/>
    <col min="14566" max="14566" width="14.140625" style="94" bestFit="1" customWidth="1"/>
    <col min="14567" max="14567" width="16.7109375" style="94" customWidth="1"/>
    <col min="14568" max="14568" width="16.5703125" style="94" customWidth="1"/>
    <col min="14569" max="14570" width="7.85546875" style="94" bestFit="1" customWidth="1"/>
    <col min="14571" max="14571" width="8" style="94" bestFit="1" customWidth="1"/>
    <col min="14572" max="14573" width="7.85546875" style="94" bestFit="1" customWidth="1"/>
    <col min="14574" max="14574" width="9.7109375" style="94" customWidth="1"/>
    <col min="14575" max="14575" width="12.85546875" style="94" customWidth="1"/>
    <col min="14576" max="14812" width="9.140625" style="94"/>
    <col min="14813" max="14813" width="9" style="94" bestFit="1" customWidth="1"/>
    <col min="14814" max="14814" width="9.85546875" style="94" bestFit="1" customWidth="1"/>
    <col min="14815" max="14815" width="9.140625" style="94" bestFit="1" customWidth="1"/>
    <col min="14816" max="14816" width="16" style="94" bestFit="1" customWidth="1"/>
    <col min="14817" max="14817" width="9" style="94" bestFit="1" customWidth="1"/>
    <col min="14818" max="14818" width="7.85546875" style="94" bestFit="1" customWidth="1"/>
    <col min="14819" max="14819" width="11.7109375" style="94" bestFit="1" customWidth="1"/>
    <col min="14820" max="14820" width="14.28515625" style="94" customWidth="1"/>
    <col min="14821" max="14821" width="11.7109375" style="94" bestFit="1" customWidth="1"/>
    <col min="14822" max="14822" width="14.140625" style="94" bestFit="1" customWidth="1"/>
    <col min="14823" max="14823" width="16.7109375" style="94" customWidth="1"/>
    <col min="14824" max="14824" width="16.5703125" style="94" customWidth="1"/>
    <col min="14825" max="14826" width="7.85546875" style="94" bestFit="1" customWidth="1"/>
    <col min="14827" max="14827" width="8" style="94" bestFit="1" customWidth="1"/>
    <col min="14828" max="14829" width="7.85546875" style="94" bestFit="1" customWidth="1"/>
    <col min="14830" max="14830" width="9.7109375" style="94" customWidth="1"/>
    <col min="14831" max="14831" width="12.85546875" style="94" customWidth="1"/>
    <col min="14832" max="15068" width="9.140625" style="94"/>
    <col min="15069" max="15069" width="9" style="94" bestFit="1" customWidth="1"/>
    <col min="15070" max="15070" width="9.85546875" style="94" bestFit="1" customWidth="1"/>
    <col min="15071" max="15071" width="9.140625" style="94" bestFit="1" customWidth="1"/>
    <col min="15072" max="15072" width="16" style="94" bestFit="1" customWidth="1"/>
    <col min="15073" max="15073" width="9" style="94" bestFit="1" customWidth="1"/>
    <col min="15074" max="15074" width="7.85546875" style="94" bestFit="1" customWidth="1"/>
    <col min="15075" max="15075" width="11.7109375" style="94" bestFit="1" customWidth="1"/>
    <col min="15076" max="15076" width="14.28515625" style="94" customWidth="1"/>
    <col min="15077" max="15077" width="11.7109375" style="94" bestFit="1" customWidth="1"/>
    <col min="15078" max="15078" width="14.140625" style="94" bestFit="1" customWidth="1"/>
    <col min="15079" max="15079" width="16.7109375" style="94" customWidth="1"/>
    <col min="15080" max="15080" width="16.5703125" style="94" customWidth="1"/>
    <col min="15081" max="15082" width="7.85546875" style="94" bestFit="1" customWidth="1"/>
    <col min="15083" max="15083" width="8" style="94" bestFit="1" customWidth="1"/>
    <col min="15084" max="15085" width="7.85546875" style="94" bestFit="1" customWidth="1"/>
    <col min="15086" max="15086" width="9.7109375" style="94" customWidth="1"/>
    <col min="15087" max="15087" width="12.85546875" style="94" customWidth="1"/>
    <col min="15088" max="15324" width="9.140625" style="94"/>
    <col min="15325" max="15325" width="9" style="94" bestFit="1" customWidth="1"/>
    <col min="15326" max="15326" width="9.85546875" style="94" bestFit="1" customWidth="1"/>
    <col min="15327" max="15327" width="9.140625" style="94" bestFit="1" customWidth="1"/>
    <col min="15328" max="15328" width="16" style="94" bestFit="1" customWidth="1"/>
    <col min="15329" max="15329" width="9" style="94" bestFit="1" customWidth="1"/>
    <col min="15330" max="15330" width="7.85546875" style="94" bestFit="1" customWidth="1"/>
    <col min="15331" max="15331" width="11.7109375" style="94" bestFit="1" customWidth="1"/>
    <col min="15332" max="15332" width="14.28515625" style="94" customWidth="1"/>
    <col min="15333" max="15333" width="11.7109375" style="94" bestFit="1" customWidth="1"/>
    <col min="15334" max="15334" width="14.140625" style="94" bestFit="1" customWidth="1"/>
    <col min="15335" max="15335" width="16.7109375" style="94" customWidth="1"/>
    <col min="15336" max="15336" width="16.5703125" style="94" customWidth="1"/>
    <col min="15337" max="15338" width="7.85546875" style="94" bestFit="1" customWidth="1"/>
    <col min="15339" max="15339" width="8" style="94" bestFit="1" customWidth="1"/>
    <col min="15340" max="15341" width="7.85546875" style="94" bestFit="1" customWidth="1"/>
    <col min="15342" max="15342" width="9.7109375" style="94" customWidth="1"/>
    <col min="15343" max="15343" width="12.85546875" style="94" customWidth="1"/>
    <col min="15344" max="15580" width="9.140625" style="94"/>
    <col min="15581" max="15581" width="9" style="94" bestFit="1" customWidth="1"/>
    <col min="15582" max="15582" width="9.85546875" style="94" bestFit="1" customWidth="1"/>
    <col min="15583" max="15583" width="9.140625" style="94" bestFit="1" customWidth="1"/>
    <col min="15584" max="15584" width="16" style="94" bestFit="1" customWidth="1"/>
    <col min="15585" max="15585" width="9" style="94" bestFit="1" customWidth="1"/>
    <col min="15586" max="15586" width="7.85546875" style="94" bestFit="1" customWidth="1"/>
    <col min="15587" max="15587" width="11.7109375" style="94" bestFit="1" customWidth="1"/>
    <col min="15588" max="15588" width="14.28515625" style="94" customWidth="1"/>
    <col min="15589" max="15589" width="11.7109375" style="94" bestFit="1" customWidth="1"/>
    <col min="15590" max="15590" width="14.140625" style="94" bestFit="1" customWidth="1"/>
    <col min="15591" max="15591" width="16.7109375" style="94" customWidth="1"/>
    <col min="15592" max="15592" width="16.5703125" style="94" customWidth="1"/>
    <col min="15593" max="15594" width="7.85546875" style="94" bestFit="1" customWidth="1"/>
    <col min="15595" max="15595" width="8" style="94" bestFit="1" customWidth="1"/>
    <col min="15596" max="15597" width="7.85546875" style="94" bestFit="1" customWidth="1"/>
    <col min="15598" max="15598" width="9.7109375" style="94" customWidth="1"/>
    <col min="15599" max="15599" width="12.85546875" style="94" customWidth="1"/>
    <col min="15600" max="15836" width="9.140625" style="94"/>
    <col min="15837" max="15837" width="9" style="94" bestFit="1" customWidth="1"/>
    <col min="15838" max="15838" width="9.85546875" style="94" bestFit="1" customWidth="1"/>
    <col min="15839" max="15839" width="9.140625" style="94" bestFit="1" customWidth="1"/>
    <col min="15840" max="15840" width="16" style="94" bestFit="1" customWidth="1"/>
    <col min="15841" max="15841" width="9" style="94" bestFit="1" customWidth="1"/>
    <col min="15842" max="15842" width="7.85546875" style="94" bestFit="1" customWidth="1"/>
    <col min="15843" max="15843" width="11.7109375" style="94" bestFit="1" customWidth="1"/>
    <col min="15844" max="15844" width="14.28515625" style="94" customWidth="1"/>
    <col min="15845" max="15845" width="11.7109375" style="94" bestFit="1" customWidth="1"/>
    <col min="15846" max="15846" width="14.140625" style="94" bestFit="1" customWidth="1"/>
    <col min="15847" max="15847" width="16.7109375" style="94" customWidth="1"/>
    <col min="15848" max="15848" width="16.5703125" style="94" customWidth="1"/>
    <col min="15849" max="15850" width="7.85546875" style="94" bestFit="1" customWidth="1"/>
    <col min="15851" max="15851" width="8" style="94" bestFit="1" customWidth="1"/>
    <col min="15852" max="15853" width="7.85546875" style="94" bestFit="1" customWidth="1"/>
    <col min="15854" max="15854" width="9.7109375" style="94" customWidth="1"/>
    <col min="15855" max="15855" width="12.85546875" style="94" customWidth="1"/>
    <col min="15856" max="16092" width="9.140625" style="94"/>
    <col min="16093" max="16093" width="9" style="94" bestFit="1" customWidth="1"/>
    <col min="16094" max="16094" width="9.85546875" style="94" bestFit="1" customWidth="1"/>
    <col min="16095" max="16095" width="9.140625" style="94" bestFit="1" customWidth="1"/>
    <col min="16096" max="16096" width="16" style="94" bestFit="1" customWidth="1"/>
    <col min="16097" max="16097" width="9" style="94" bestFit="1" customWidth="1"/>
    <col min="16098" max="16098" width="7.85546875" style="94" bestFit="1" customWidth="1"/>
    <col min="16099" max="16099" width="11.7109375" style="94" bestFit="1" customWidth="1"/>
    <col min="16100" max="16100" width="14.28515625" style="94" customWidth="1"/>
    <col min="16101" max="16101" width="11.7109375" style="94" bestFit="1" customWidth="1"/>
    <col min="16102" max="16102" width="14.140625" style="94" bestFit="1" customWidth="1"/>
    <col min="16103" max="16103" width="16.7109375" style="94" customWidth="1"/>
    <col min="16104" max="16104" width="16.5703125" style="94" customWidth="1"/>
    <col min="16105" max="16106" width="7.85546875" style="94" bestFit="1" customWidth="1"/>
    <col min="16107" max="16107" width="8" style="94" bestFit="1" customWidth="1"/>
    <col min="16108" max="16109" width="7.85546875" style="94" bestFit="1" customWidth="1"/>
    <col min="16110" max="16110" width="9.7109375" style="94" customWidth="1"/>
    <col min="16111" max="16111" width="12.85546875" style="94" customWidth="1"/>
    <col min="16112" max="16384" width="9.140625" style="94"/>
  </cols>
  <sheetData>
    <row r="1" spans="1:22" s="96" customFormat="1" ht="15.75" customHeight="1">
      <c r="A1" s="741" t="s">
        <v>1</v>
      </c>
      <c r="B1" s="879" t="s">
        <v>0</v>
      </c>
      <c r="C1" s="881" t="s">
        <v>143</v>
      </c>
      <c r="D1" s="881"/>
      <c r="E1" s="881"/>
      <c r="F1" s="882" t="s">
        <v>29</v>
      </c>
      <c r="G1" s="883"/>
      <c r="H1" s="883"/>
      <c r="I1" s="883"/>
      <c r="J1" s="883"/>
      <c r="K1" s="883"/>
      <c r="L1" s="883"/>
      <c r="M1" s="883"/>
      <c r="N1" s="883"/>
      <c r="O1" s="883"/>
      <c r="P1" s="883"/>
      <c r="Q1" s="883"/>
      <c r="R1" s="883"/>
      <c r="S1" s="883"/>
      <c r="T1" s="883"/>
      <c r="U1" s="883"/>
      <c r="V1" s="884"/>
    </row>
    <row r="2" spans="1:22" ht="16.5" thickBot="1">
      <c r="A2" s="742"/>
      <c r="B2" s="880"/>
      <c r="C2" s="97" t="s">
        <v>23</v>
      </c>
      <c r="D2" s="102" t="s">
        <v>9</v>
      </c>
      <c r="E2" s="103" t="s">
        <v>33</v>
      </c>
      <c r="F2" s="267">
        <v>61</v>
      </c>
      <c r="G2" s="267">
        <v>62</v>
      </c>
      <c r="H2" s="267">
        <v>63</v>
      </c>
      <c r="I2" s="268">
        <v>64</v>
      </c>
      <c r="J2" s="269" t="s">
        <v>434</v>
      </c>
      <c r="K2" s="269" t="s">
        <v>435</v>
      </c>
      <c r="L2" s="269" t="s">
        <v>436</v>
      </c>
      <c r="M2" s="270">
        <v>65</v>
      </c>
      <c r="N2" s="271" t="s">
        <v>437</v>
      </c>
      <c r="O2" s="271" t="s">
        <v>438</v>
      </c>
      <c r="P2" s="271" t="s">
        <v>439</v>
      </c>
      <c r="Q2" s="271" t="s">
        <v>440</v>
      </c>
      <c r="R2" s="271" t="s">
        <v>441</v>
      </c>
      <c r="S2" s="267">
        <v>67</v>
      </c>
      <c r="T2" s="160"/>
      <c r="U2" s="160"/>
      <c r="V2" s="266"/>
    </row>
    <row r="3" spans="1:22" s="123" customFormat="1">
      <c r="A3" s="442" t="str">
        <f>'1-συμβολαια'!A3</f>
        <v>1ο</v>
      </c>
      <c r="B3" s="352" t="str">
        <f>'1-συμβολαια'!C3</f>
        <v>κληρονομιάς ΑΠΟΔΟΧΗ</v>
      </c>
      <c r="C3" s="329"/>
      <c r="D3" s="353"/>
      <c r="E3" s="353"/>
      <c r="F3" s="330"/>
      <c r="G3" s="330"/>
      <c r="H3" s="354"/>
      <c r="I3" s="355"/>
      <c r="J3" s="355"/>
      <c r="K3" s="355"/>
      <c r="L3" s="355"/>
      <c r="M3" s="355"/>
      <c r="N3" s="330"/>
      <c r="O3" s="330"/>
      <c r="P3" s="330"/>
      <c r="Q3" s="330"/>
      <c r="R3" s="330"/>
      <c r="S3" s="330"/>
      <c r="T3" s="330"/>
      <c r="U3" s="330"/>
      <c r="V3" s="330"/>
    </row>
    <row r="4" spans="1:22" s="123" customFormat="1">
      <c r="A4" s="442">
        <f>'1-συμβολαια'!A4</f>
        <v>0</v>
      </c>
      <c r="B4" s="341" t="str">
        <f>'1-συμβολαια'!C4</f>
        <v>χρησικτησία οικοπεδου = 194? γεωργούδηΝικολαο ΑΓΟΡΑΠΩΛΗΣΙΑ (ως αγροτεμάχιο) άτυπος</v>
      </c>
      <c r="C4" s="329">
        <f>'1-συμβολαια'!L4</f>
        <v>41.697021999999997</v>
      </c>
      <c r="D4" s="329"/>
      <c r="E4" s="329">
        <f t="shared" ref="E4:E21" si="0">C4-D4</f>
        <v>41.697021999999997</v>
      </c>
      <c r="F4" s="330"/>
      <c r="G4" s="330"/>
      <c r="H4" s="354"/>
      <c r="I4" s="355"/>
      <c r="J4" s="355"/>
      <c r="K4" s="355"/>
      <c r="L4" s="355"/>
      <c r="M4" s="355"/>
      <c r="N4" s="330"/>
      <c r="O4" s="330">
        <v>1</v>
      </c>
      <c r="P4" s="330"/>
      <c r="Q4" s="330"/>
      <c r="R4" s="330"/>
      <c r="S4" s="330"/>
      <c r="T4" s="330"/>
      <c r="U4" s="330"/>
      <c r="V4" s="330"/>
    </row>
    <row r="5" spans="1:22" s="123" customFormat="1">
      <c r="A5" s="442">
        <f>'1-συμβολαια'!A5</f>
        <v>0</v>
      </c>
      <c r="B5" s="352" t="str">
        <f>'1-συμβολαια'!C5</f>
        <v>χρησικτησία αγροτεμάχιο 193 = 1975 ΑΝΑΔΑΣΜΟΣ εκούσιος</v>
      </c>
      <c r="C5" s="329">
        <f>'1-συμβολαια'!L5</f>
        <v>30.477022000000002</v>
      </c>
      <c r="D5" s="333"/>
      <c r="E5" s="329">
        <f t="shared" si="0"/>
        <v>30.477022000000002</v>
      </c>
      <c r="F5" s="330"/>
      <c r="G5" s="330"/>
      <c r="H5" s="354"/>
      <c r="I5" s="355"/>
      <c r="J5" s="355"/>
      <c r="K5" s="355"/>
      <c r="L5" s="355"/>
      <c r="M5" s="355"/>
      <c r="N5" s="330"/>
      <c r="O5" s="330"/>
      <c r="P5" s="330"/>
      <c r="Q5" s="330"/>
      <c r="R5" s="330"/>
      <c r="S5" s="330">
        <v>1</v>
      </c>
      <c r="T5" s="330"/>
      <c r="U5" s="330"/>
      <c r="V5" s="330"/>
    </row>
    <row r="6" spans="1:22" s="123" customFormat="1" ht="15.75" thickBot="1">
      <c r="A6" s="445">
        <f>'1-συμβολαια'!A6</f>
        <v>0</v>
      </c>
      <c r="B6" s="446" t="str">
        <f>'1-συμβολαια'!C6</f>
        <v>χρησικτησία αγροτεμάχιο 279 = 1975 ΑΝΑΔΑΣΜΟΣ εκούσιος</v>
      </c>
      <c r="C6" s="451">
        <f>'1-συμβολαια'!L6</f>
        <v>32.630344000000001</v>
      </c>
      <c r="D6" s="461"/>
      <c r="E6" s="451">
        <f t="shared" si="0"/>
        <v>32.630344000000001</v>
      </c>
      <c r="F6" s="538"/>
      <c r="G6" s="538"/>
      <c r="H6" s="539"/>
      <c r="I6" s="540"/>
      <c r="J6" s="540"/>
      <c r="K6" s="540"/>
      <c r="L6" s="540"/>
      <c r="M6" s="540"/>
      <c r="N6" s="538"/>
      <c r="O6" s="538"/>
      <c r="P6" s="538"/>
      <c r="Q6" s="538"/>
      <c r="R6" s="538"/>
      <c r="S6" s="538">
        <v>1</v>
      </c>
      <c r="T6" s="538"/>
      <c r="U6" s="538"/>
      <c r="V6" s="538"/>
    </row>
    <row r="7" spans="1:22" s="123" customFormat="1">
      <c r="A7" s="472" t="str">
        <f>'1-συμβολαια'!A7</f>
        <v>2ο</v>
      </c>
      <c r="B7" s="443" t="str">
        <f>'1-συμβολαια'!C7</f>
        <v>κληρονομιάς ΑΠΟΔΟΧΗ</v>
      </c>
      <c r="C7" s="449"/>
      <c r="D7" s="353"/>
      <c r="E7" s="449"/>
      <c r="F7" s="535"/>
      <c r="G7" s="535"/>
      <c r="H7" s="536"/>
      <c r="I7" s="537"/>
      <c r="J7" s="537"/>
      <c r="K7" s="537"/>
      <c r="L7" s="537"/>
      <c r="M7" s="537"/>
      <c r="N7" s="535"/>
      <c r="O7" s="535"/>
      <c r="P7" s="535"/>
      <c r="Q7" s="535"/>
      <c r="R7" s="535"/>
      <c r="S7" s="535"/>
      <c r="T7" s="535"/>
      <c r="U7" s="535"/>
      <c r="V7" s="535"/>
    </row>
    <row r="8" spans="1:22" s="123" customFormat="1">
      <c r="A8" s="473">
        <f>'1-συμβολαια'!A8</f>
        <v>0</v>
      </c>
      <c r="B8" s="341" t="str">
        <f>'1-συμβολαια'!C8</f>
        <v>χρησικτησία οικοπεδου &amp; οικίας &amp; αποθήκης = 27/7/87 πατρός ΚΛΗΡΟΝΟΜΙΑ άτυπος</v>
      </c>
      <c r="C8" s="329">
        <f>'1-συμβολαια'!L8</f>
        <v>143.69702200000006</v>
      </c>
      <c r="D8" s="333"/>
      <c r="E8" s="329">
        <f t="shared" si="0"/>
        <v>143.69702200000006</v>
      </c>
      <c r="F8" s="330"/>
      <c r="G8" s="330"/>
      <c r="H8" s="354"/>
      <c r="I8" s="355"/>
      <c r="J8" s="355"/>
      <c r="K8" s="355"/>
      <c r="L8" s="355"/>
      <c r="M8" s="355"/>
      <c r="N8" s="330"/>
      <c r="O8" s="330">
        <v>1</v>
      </c>
      <c r="P8" s="330"/>
      <c r="Q8" s="330"/>
      <c r="R8" s="330"/>
      <c r="S8" s="330"/>
      <c r="T8" s="330"/>
      <c r="U8" s="330"/>
      <c r="V8" s="330"/>
    </row>
    <row r="9" spans="1:22" s="123" customFormat="1">
      <c r="A9" s="473">
        <f>'1-συμβολαια'!A9</f>
        <v>0</v>
      </c>
      <c r="B9" s="352" t="str">
        <f>'1-συμβολαια'!C9</f>
        <v>χρησικτησία αγροτεμάχιο 193 = 27/7/87 πατρός ΚΛΗΡΟΝΟΜΙΑ άτυπος</v>
      </c>
      <c r="C9" s="329">
        <f>'1-συμβολαια'!L9</f>
        <v>30.477022000000002</v>
      </c>
      <c r="D9" s="333"/>
      <c r="E9" s="329">
        <f t="shared" si="0"/>
        <v>30.477022000000002</v>
      </c>
      <c r="F9" s="330"/>
      <c r="G9" s="330"/>
      <c r="H9" s="354"/>
      <c r="I9" s="355"/>
      <c r="J9" s="355">
        <v>1</v>
      </c>
      <c r="K9" s="355"/>
      <c r="L9" s="355"/>
      <c r="M9" s="355"/>
      <c r="N9" s="330"/>
      <c r="O9" s="330"/>
      <c r="P9" s="330"/>
      <c r="Q9" s="330"/>
      <c r="R9" s="330"/>
      <c r="S9" s="330"/>
      <c r="T9" s="330"/>
      <c r="U9" s="330"/>
      <c r="V9" s="330"/>
    </row>
    <row r="10" spans="1:22" s="123" customFormat="1" ht="15.75" thickBot="1">
      <c r="A10" s="474">
        <f>'1-συμβολαια'!A10</f>
        <v>0</v>
      </c>
      <c r="B10" s="446" t="str">
        <f>'1-συμβολαια'!C10</f>
        <v>χρησικτησία αγροτεμάχιο 279 = 27/7/87 πατρός ΚΛΗΡΟΝΟΜΙΑ άτυπος</v>
      </c>
      <c r="C10" s="451">
        <f>'1-συμβολαια'!L10</f>
        <v>32.630344000000001</v>
      </c>
      <c r="D10" s="461"/>
      <c r="E10" s="451">
        <f t="shared" si="0"/>
        <v>32.630344000000001</v>
      </c>
      <c r="F10" s="538"/>
      <c r="G10" s="538"/>
      <c r="H10" s="539"/>
      <c r="I10" s="540"/>
      <c r="J10" s="540">
        <v>1</v>
      </c>
      <c r="K10" s="540"/>
      <c r="L10" s="540"/>
      <c r="M10" s="540"/>
      <c r="N10" s="538"/>
      <c r="O10" s="538"/>
      <c r="P10" s="538"/>
      <c r="Q10" s="538"/>
      <c r="R10" s="538"/>
      <c r="S10" s="538"/>
      <c r="T10" s="538"/>
      <c r="U10" s="538"/>
      <c r="V10" s="538"/>
    </row>
    <row r="11" spans="1:22" s="123" customFormat="1" ht="15.75" thickBot="1">
      <c r="A11" s="485" t="str">
        <f>'1-συμβολαια'!A11</f>
        <v>3ο</v>
      </c>
      <c r="B11" s="486" t="str">
        <f>'1-συμβολαια'!C11</f>
        <v>κάθετος ΣΥΣΤΑΣΗ</v>
      </c>
      <c r="C11" s="489"/>
      <c r="D11" s="494"/>
      <c r="E11" s="489"/>
      <c r="F11" s="578"/>
      <c r="G11" s="578"/>
      <c r="H11" s="632"/>
      <c r="I11" s="633"/>
      <c r="J11" s="633"/>
      <c r="K11" s="633"/>
      <c r="L11" s="633"/>
      <c r="M11" s="633"/>
      <c r="N11" s="578"/>
      <c r="O11" s="578"/>
      <c r="P11" s="578"/>
      <c r="Q11" s="578"/>
      <c r="R11" s="578"/>
      <c r="S11" s="578"/>
      <c r="T11" s="578"/>
      <c r="U11" s="578"/>
      <c r="V11" s="578"/>
    </row>
    <row r="12" spans="1:22" s="123" customFormat="1" ht="15.75" thickBot="1">
      <c r="A12" s="625" t="str">
        <f>'1-συμβολαια'!A12</f>
        <v>4ο</v>
      </c>
      <c r="B12" s="626" t="str">
        <f>'1-συμβολαια'!C12</f>
        <v>γονική ΨΙΛΗΣ ΚΥΡΙΟΤΗΤΑΣ</v>
      </c>
      <c r="C12" s="627"/>
      <c r="D12" s="628"/>
      <c r="E12" s="627"/>
      <c r="F12" s="629"/>
      <c r="G12" s="629"/>
      <c r="H12" s="630"/>
      <c r="I12" s="631"/>
      <c r="J12" s="631"/>
      <c r="K12" s="631"/>
      <c r="L12" s="631"/>
      <c r="M12" s="631"/>
      <c r="N12" s="629"/>
      <c r="O12" s="629"/>
      <c r="P12" s="629"/>
      <c r="Q12" s="629"/>
      <c r="R12" s="629"/>
      <c r="S12" s="629"/>
      <c r="T12" s="629"/>
      <c r="U12" s="629"/>
      <c r="V12" s="629"/>
    </row>
    <row r="13" spans="1:22" s="123" customFormat="1" ht="15.75" thickBot="1">
      <c r="A13" s="485" t="str">
        <f>'1-συμβολαια'!A13</f>
        <v>5ο</v>
      </c>
      <c r="B13" s="486" t="str">
        <f>'1-συμβολαια'!C13</f>
        <v>πληρεξούσιο</v>
      </c>
      <c r="C13" s="489"/>
      <c r="D13" s="494"/>
      <c r="E13" s="489">
        <f t="shared" si="0"/>
        <v>0</v>
      </c>
      <c r="F13" s="578"/>
      <c r="G13" s="578"/>
      <c r="H13" s="632"/>
      <c r="I13" s="633"/>
      <c r="J13" s="633"/>
      <c r="K13" s="633"/>
      <c r="L13" s="633"/>
      <c r="M13" s="633"/>
      <c r="N13" s="578"/>
      <c r="O13" s="578"/>
      <c r="P13" s="578"/>
      <c r="Q13" s="578"/>
      <c r="R13" s="578"/>
      <c r="S13" s="578"/>
      <c r="T13" s="578"/>
      <c r="U13" s="578"/>
      <c r="V13" s="578"/>
    </row>
    <row r="14" spans="1:22" s="123" customFormat="1">
      <c r="A14" s="671" t="str">
        <f>'1-συμβολαια'!A14</f>
        <v>6ο</v>
      </c>
      <c r="B14" s="443" t="str">
        <f>'1-συμβολαια'!C14</f>
        <v>μίσθωση αγροτεμαχίων 15 έτη { έως 19/1/2019 }</v>
      </c>
      <c r="C14" s="449"/>
      <c r="D14" s="353"/>
      <c r="E14" s="449"/>
      <c r="F14" s="535"/>
      <c r="G14" s="535"/>
      <c r="H14" s="536"/>
      <c r="I14" s="537"/>
      <c r="J14" s="537"/>
      <c r="K14" s="537"/>
      <c r="L14" s="537"/>
      <c r="M14" s="537"/>
      <c r="N14" s="535"/>
      <c r="O14" s="535"/>
      <c r="P14" s="535"/>
      <c r="Q14" s="535"/>
      <c r="R14" s="535"/>
      <c r="S14" s="535"/>
      <c r="T14" s="535"/>
      <c r="U14" s="535"/>
      <c r="V14" s="535"/>
    </row>
    <row r="15" spans="1:22" s="123" customFormat="1">
      <c r="A15" s="442">
        <f>'1-συμβολαια'!A15</f>
        <v>0</v>
      </c>
      <c r="B15" s="352" t="str">
        <f>'1-συμβολαια'!C15</f>
        <v>ΧΡΗΣΙΚΤΗΣΙΑ αγροτεμαχίων 2'-3' = 19?? ΑΝΑΔΑΣΜΟΣ</v>
      </c>
      <c r="C15" s="329">
        <f>'1-συμβολαια'!L15</f>
        <v>24.906987999999998</v>
      </c>
      <c r="D15" s="333"/>
      <c r="E15" s="329">
        <f t="shared" si="0"/>
        <v>24.906987999999998</v>
      </c>
      <c r="F15" s="330"/>
      <c r="G15" s="330"/>
      <c r="H15" s="354"/>
      <c r="I15" s="355"/>
      <c r="J15" s="355"/>
      <c r="K15" s="355"/>
      <c r="L15" s="355"/>
      <c r="M15" s="355"/>
      <c r="N15" s="330"/>
      <c r="O15" s="330"/>
      <c r="P15" s="330"/>
      <c r="Q15" s="330"/>
      <c r="R15" s="330"/>
      <c r="S15" s="330">
        <v>1</v>
      </c>
      <c r="T15" s="330"/>
      <c r="U15" s="330"/>
      <c r="V15" s="330"/>
    </row>
    <row r="16" spans="1:22" s="123" customFormat="1">
      <c r="A16" s="442">
        <f>'1-συμβολαια'!A16</f>
        <v>0</v>
      </c>
      <c r="B16" s="341" t="str">
        <f>'1-συμβολαια'!C16</f>
        <v>ΧΡΗΣΙΚΤΗΣΙΑ αγροτεμαχίων υπόλοιπων 12 = πατρός 19?? ΔΩΡΕΕΣ &amp; ΚΛΗΡΟΝΟΜΙΕΣ άτυπες</v>
      </c>
      <c r="C16" s="329">
        <f>'1-συμβολαια'!L16</f>
        <v>43.040343999999997</v>
      </c>
      <c r="D16" s="333"/>
      <c r="E16" s="329">
        <f t="shared" si="0"/>
        <v>43.040343999999997</v>
      </c>
      <c r="F16" s="330"/>
      <c r="G16" s="330"/>
      <c r="H16" s="354"/>
      <c r="I16" s="355"/>
      <c r="J16" s="355">
        <v>6</v>
      </c>
      <c r="K16" s="355"/>
      <c r="L16" s="355"/>
      <c r="M16" s="355"/>
      <c r="N16" s="330">
        <v>6</v>
      </c>
      <c r="O16" s="330"/>
      <c r="P16" s="330"/>
      <c r="Q16" s="330"/>
      <c r="R16" s="330"/>
      <c r="S16" s="330"/>
      <c r="T16" s="330"/>
      <c r="U16" s="330"/>
      <c r="V16" s="330"/>
    </row>
    <row r="17" spans="1:22" s="123" customFormat="1" ht="15.75" thickBot="1">
      <c r="A17" s="445">
        <f>'1-συμβολαια'!A17</f>
        <v>0</v>
      </c>
      <c r="B17" s="446" t="str">
        <f>'1-συμβολαια'!C17</f>
        <v>μίσθωση = ΠΑΓΙΑ ως νέος αγρότης</v>
      </c>
      <c r="C17" s="451">
        <f>'1-συμβολαια'!L17</f>
        <v>133.70702200000002</v>
      </c>
      <c r="D17" s="461"/>
      <c r="E17" s="451">
        <f t="shared" si="0"/>
        <v>133.70702200000002</v>
      </c>
      <c r="F17" s="538"/>
      <c r="G17" s="538"/>
      <c r="H17" s="539"/>
      <c r="I17" s="540"/>
      <c r="J17" s="540"/>
      <c r="K17" s="540"/>
      <c r="L17" s="540"/>
      <c r="M17" s="540">
        <v>1</v>
      </c>
      <c r="N17" s="538"/>
      <c r="O17" s="538"/>
      <c r="P17" s="538"/>
      <c r="Q17" s="538"/>
      <c r="R17" s="538"/>
      <c r="S17" s="538"/>
      <c r="T17" s="538"/>
      <c r="U17" s="538"/>
      <c r="V17" s="538"/>
    </row>
    <row r="18" spans="1:22" s="123" customFormat="1" ht="15.75" thickBot="1">
      <c r="A18" s="485" t="str">
        <f>'1-συμβολαια'!A18</f>
        <v>7ο</v>
      </c>
      <c r="B18" s="486" t="str">
        <f>'1-συμβολαια'!C18</f>
        <v>*καθετου συστάσεως 2.539 ΔΙΟΡΘΩΣΗ</v>
      </c>
      <c r="C18" s="489"/>
      <c r="D18" s="494"/>
      <c r="E18" s="489">
        <f t="shared" si="0"/>
        <v>0</v>
      </c>
      <c r="F18" s="578"/>
      <c r="G18" s="578"/>
      <c r="H18" s="632"/>
      <c r="I18" s="633"/>
      <c r="J18" s="633"/>
      <c r="K18" s="633"/>
      <c r="L18" s="633"/>
      <c r="M18" s="633"/>
      <c r="N18" s="578"/>
      <c r="O18" s="578"/>
      <c r="P18" s="578"/>
      <c r="Q18" s="578"/>
      <c r="R18" s="578"/>
      <c r="S18" s="578"/>
      <c r="T18" s="578"/>
      <c r="U18" s="578"/>
      <c r="V18" s="578"/>
    </row>
    <row r="19" spans="1:22" s="123" customFormat="1" ht="15.75" thickBot="1">
      <c r="A19" s="485" t="str">
        <f>'1-συμβολαια'!A19</f>
        <v>8ο</v>
      </c>
      <c r="B19" s="486" t="str">
        <f>'1-συμβολαια'!C19</f>
        <v>*γονικής 2.540 ΔΙΟΡΘΩΣΗ</v>
      </c>
      <c r="C19" s="489"/>
      <c r="D19" s="494"/>
      <c r="E19" s="489">
        <f t="shared" si="0"/>
        <v>0</v>
      </c>
      <c r="F19" s="578"/>
      <c r="G19" s="578"/>
      <c r="H19" s="632"/>
      <c r="I19" s="633"/>
      <c r="J19" s="633"/>
      <c r="K19" s="633"/>
      <c r="L19" s="633"/>
      <c r="M19" s="633"/>
      <c r="N19" s="578"/>
      <c r="O19" s="578"/>
      <c r="P19" s="578"/>
      <c r="Q19" s="578"/>
      <c r="R19" s="578"/>
      <c r="S19" s="578"/>
      <c r="T19" s="578"/>
      <c r="U19" s="578"/>
      <c r="V19" s="578"/>
    </row>
    <row r="20" spans="1:22" s="123" customFormat="1">
      <c r="A20" s="671" t="str">
        <f>'1-συμβολαια'!A20</f>
        <v>9ο</v>
      </c>
      <c r="B20" s="443" t="str">
        <f>'1-συμβολαια'!C20</f>
        <v>γονική</v>
      </c>
      <c r="C20" s="449"/>
      <c r="D20" s="353"/>
      <c r="E20" s="449">
        <f t="shared" si="0"/>
        <v>0</v>
      </c>
      <c r="F20" s="535"/>
      <c r="G20" s="535"/>
      <c r="H20" s="536"/>
      <c r="I20" s="537"/>
      <c r="J20" s="537"/>
      <c r="K20" s="537"/>
      <c r="L20" s="537"/>
      <c r="M20" s="537"/>
      <c r="N20" s="535"/>
      <c r="O20" s="535"/>
      <c r="P20" s="535"/>
      <c r="Q20" s="535"/>
      <c r="R20" s="535"/>
      <c r="S20" s="535"/>
      <c r="T20" s="535"/>
      <c r="U20" s="535"/>
      <c r="V20" s="535"/>
    </row>
    <row r="21" spans="1:22" s="123" customFormat="1" ht="15.75" thickBot="1">
      <c r="A21" s="445">
        <f>'1-συμβολαια'!A21</f>
        <v>0</v>
      </c>
      <c r="B21" s="543" t="str">
        <f>'1-συμβολαια'!C21</f>
        <v>ΧΡΗΣΙΚΤΗΣΙΑ οικοπέδου ΄΄κάστρο'' 52,50μ2 = 1970 κυδωνηςΙωαννης ΔΩΡΕΑ άτυπη</v>
      </c>
      <c r="C21" s="451">
        <f>'1-συμβολαια'!L21</f>
        <v>45.567022000000001</v>
      </c>
      <c r="D21" s="461"/>
      <c r="E21" s="451">
        <f t="shared" si="0"/>
        <v>45.567022000000001</v>
      </c>
      <c r="F21" s="538"/>
      <c r="G21" s="538"/>
      <c r="H21" s="539"/>
      <c r="I21" s="540"/>
      <c r="J21" s="540"/>
      <c r="K21" s="540"/>
      <c r="L21" s="540"/>
      <c r="M21" s="540"/>
      <c r="N21" s="538">
        <v>1</v>
      </c>
      <c r="O21" s="538"/>
      <c r="P21" s="538"/>
      <c r="Q21" s="538"/>
      <c r="R21" s="538"/>
      <c r="S21" s="538"/>
      <c r="T21" s="538"/>
      <c r="U21" s="538"/>
      <c r="V21" s="538"/>
    </row>
    <row r="22" spans="1:22" ht="15.75">
      <c r="A22" s="757" t="s">
        <v>47</v>
      </c>
      <c r="B22" s="758"/>
      <c r="C22" s="400">
        <f>SUM(C3:C21)</f>
        <v>558.830152</v>
      </c>
      <c r="D22" s="400">
        <f>SUM(D3:D21)</f>
        <v>0</v>
      </c>
      <c r="E22" s="400">
        <f>SUM(E3:E21)</f>
        <v>558.830152</v>
      </c>
      <c r="I22" s="420">
        <f t="shared" ref="I22:T22" si="1">SUM(I3:I21)</f>
        <v>0</v>
      </c>
      <c r="J22" s="420">
        <f t="shared" si="1"/>
        <v>8</v>
      </c>
      <c r="K22" s="420">
        <f t="shared" si="1"/>
        <v>0</v>
      </c>
      <c r="L22" s="420">
        <f t="shared" si="1"/>
        <v>0</v>
      </c>
      <c r="M22" s="420">
        <f t="shared" si="1"/>
        <v>1</v>
      </c>
      <c r="N22" s="420">
        <f t="shared" si="1"/>
        <v>7</v>
      </c>
      <c r="O22" s="420">
        <f t="shared" si="1"/>
        <v>2</v>
      </c>
      <c r="P22" s="420">
        <f t="shared" si="1"/>
        <v>0</v>
      </c>
      <c r="Q22" s="420">
        <f t="shared" si="1"/>
        <v>0</v>
      </c>
      <c r="R22" s="420">
        <f t="shared" si="1"/>
        <v>0</v>
      </c>
      <c r="S22" s="420">
        <f t="shared" si="1"/>
        <v>3</v>
      </c>
      <c r="T22" s="420">
        <f t="shared" si="1"/>
        <v>0</v>
      </c>
    </row>
    <row r="23" spans="1:22">
      <c r="F23" s="111"/>
      <c r="G23" s="111"/>
      <c r="H23" s="111"/>
      <c r="I23" s="111"/>
      <c r="J23" s="111"/>
      <c r="K23" s="111"/>
      <c r="L23" s="111"/>
      <c r="M23" s="111"/>
      <c r="N23" s="111"/>
      <c r="O23" s="111"/>
      <c r="P23" s="111"/>
      <c r="Q23" s="111"/>
      <c r="R23" s="111"/>
      <c r="S23" s="111"/>
      <c r="T23" s="111"/>
      <c r="U23" s="111"/>
    </row>
    <row r="24" spans="1:22" ht="15.75">
      <c r="F24" s="142" t="s">
        <v>237</v>
      </c>
      <c r="G24" s="116"/>
      <c r="H24" s="272"/>
      <c r="I24" s="272"/>
      <c r="J24" s="272"/>
      <c r="K24" s="272"/>
      <c r="L24" s="272"/>
      <c r="M24" s="272"/>
      <c r="N24" s="272"/>
      <c r="O24" s="272"/>
      <c r="P24" s="272"/>
      <c r="Q24" s="272"/>
      <c r="R24" s="272"/>
      <c r="S24" s="272"/>
      <c r="T24" s="272"/>
      <c r="U24" s="272"/>
      <c r="V24" s="273"/>
    </row>
    <row r="25" spans="1:22" ht="15.75">
      <c r="F25" s="274"/>
      <c r="G25" s="126" t="s">
        <v>238</v>
      </c>
      <c r="H25" s="272"/>
      <c r="I25" s="272"/>
      <c r="J25" s="272"/>
      <c r="K25" s="272"/>
      <c r="L25" s="272"/>
      <c r="M25" s="272"/>
      <c r="N25" s="272"/>
      <c r="O25" s="272"/>
      <c r="P25" s="272"/>
      <c r="Q25" s="272"/>
      <c r="R25" s="272"/>
      <c r="S25" s="272"/>
      <c r="T25" s="272"/>
      <c r="U25" s="272"/>
      <c r="V25" s="273"/>
    </row>
    <row r="26" spans="1:22" ht="15.75">
      <c r="F26" s="273"/>
      <c r="G26" s="273"/>
      <c r="H26" s="142" t="s">
        <v>239</v>
      </c>
      <c r="I26" s="116"/>
      <c r="J26" s="116"/>
      <c r="K26" s="116"/>
      <c r="L26" s="272"/>
      <c r="M26" s="272"/>
      <c r="N26" s="272"/>
      <c r="O26" s="272"/>
      <c r="P26" s="272"/>
      <c r="Q26" s="272"/>
      <c r="R26" s="272"/>
      <c r="S26" s="272"/>
      <c r="T26" s="272"/>
      <c r="U26" s="272"/>
      <c r="V26" s="273"/>
    </row>
    <row r="27" spans="1:22" ht="15.75">
      <c r="F27" s="273"/>
      <c r="G27" s="274"/>
      <c r="H27" s="273"/>
      <c r="I27" s="126" t="s">
        <v>262</v>
      </c>
      <c r="J27" s="126"/>
      <c r="K27" s="126"/>
      <c r="L27" s="275"/>
      <c r="M27" s="275"/>
      <c r="N27" s="275"/>
      <c r="O27" s="275"/>
      <c r="P27" s="275"/>
      <c r="Q27" s="275"/>
      <c r="R27" s="275"/>
      <c r="S27" s="275"/>
      <c r="T27" s="275"/>
      <c r="U27" s="272"/>
      <c r="V27" s="273"/>
    </row>
    <row r="28" spans="1:22" ht="15.75">
      <c r="F28" s="273"/>
      <c r="G28" s="274"/>
      <c r="H28" s="273"/>
      <c r="I28" s="126"/>
      <c r="J28" s="142" t="s">
        <v>442</v>
      </c>
      <c r="K28" s="126"/>
      <c r="L28" s="275"/>
      <c r="M28" s="275"/>
      <c r="N28" s="275"/>
      <c r="O28" s="275"/>
      <c r="P28" s="275"/>
      <c r="Q28" s="275"/>
      <c r="R28" s="275"/>
      <c r="S28" s="275"/>
      <c r="T28" s="275"/>
      <c r="U28" s="272"/>
      <c r="V28" s="273"/>
    </row>
    <row r="29" spans="1:22" ht="15.75">
      <c r="F29" s="273"/>
      <c r="G29" s="274"/>
      <c r="H29" s="273"/>
      <c r="I29" s="126"/>
      <c r="J29" s="126"/>
      <c r="K29" s="126" t="s">
        <v>443</v>
      </c>
      <c r="L29" s="275"/>
      <c r="M29" s="275"/>
      <c r="N29" s="275"/>
      <c r="O29" s="275"/>
      <c r="P29" s="275"/>
      <c r="Q29" s="275"/>
      <c r="R29" s="275"/>
      <c r="S29" s="275"/>
      <c r="T29" s="275"/>
      <c r="U29" s="272"/>
      <c r="V29" s="273"/>
    </row>
    <row r="30" spans="1:22" ht="15.75">
      <c r="F30" s="273"/>
      <c r="G30" s="273"/>
      <c r="H30" s="272"/>
      <c r="I30" s="275"/>
      <c r="J30" s="275"/>
      <c r="K30" s="275"/>
      <c r="L30" s="142" t="s">
        <v>444</v>
      </c>
      <c r="M30" s="275"/>
      <c r="N30" s="275"/>
      <c r="O30" s="275"/>
      <c r="P30" s="275"/>
      <c r="Q30" s="275"/>
      <c r="R30" s="275"/>
      <c r="S30" s="275"/>
      <c r="T30" s="275"/>
      <c r="U30" s="272"/>
      <c r="V30" s="273"/>
    </row>
    <row r="31" spans="1:22" ht="15.75">
      <c r="C31" s="101">
        <f>SUM(C23:C24)</f>
        <v>0</v>
      </c>
      <c r="F31" s="272"/>
      <c r="G31" s="272"/>
      <c r="H31" s="272"/>
      <c r="I31" s="275"/>
      <c r="J31" s="275"/>
      <c r="K31" s="275"/>
      <c r="L31" s="275"/>
      <c r="M31" s="126" t="s">
        <v>263</v>
      </c>
      <c r="N31" s="275"/>
      <c r="O31" s="275"/>
      <c r="P31" s="275"/>
      <c r="Q31" s="275"/>
      <c r="R31" s="275"/>
      <c r="S31" s="275"/>
      <c r="T31" s="275"/>
      <c r="U31" s="272"/>
      <c r="V31" s="273"/>
    </row>
    <row r="32" spans="1:22" ht="15.75">
      <c r="F32" s="273"/>
      <c r="G32" s="273"/>
      <c r="H32" s="272"/>
      <c r="I32" s="275"/>
      <c r="J32" s="275"/>
      <c r="K32" s="275"/>
      <c r="L32" s="275"/>
      <c r="M32" s="275"/>
      <c r="N32" s="142" t="s">
        <v>445</v>
      </c>
      <c r="O32" s="275"/>
      <c r="P32" s="275"/>
      <c r="Q32" s="275"/>
      <c r="R32" s="275"/>
      <c r="S32" s="275"/>
      <c r="T32" s="275"/>
      <c r="U32" s="272"/>
      <c r="V32" s="273"/>
    </row>
    <row r="33" spans="2:22" ht="15.75">
      <c r="F33" s="273"/>
      <c r="G33" s="273"/>
      <c r="H33" s="272"/>
      <c r="I33" s="275"/>
      <c r="J33" s="275"/>
      <c r="K33" s="275"/>
      <c r="L33" s="275"/>
      <c r="M33" s="275"/>
      <c r="N33" s="275"/>
      <c r="O33" s="126" t="s">
        <v>446</v>
      </c>
      <c r="P33" s="275"/>
      <c r="Q33" s="275"/>
      <c r="R33" s="275"/>
      <c r="S33" s="275"/>
      <c r="T33" s="275"/>
      <c r="U33" s="272"/>
      <c r="V33" s="273"/>
    </row>
    <row r="34" spans="2:22" ht="15.75">
      <c r="F34" s="273"/>
      <c r="G34" s="273"/>
      <c r="H34" s="272"/>
      <c r="I34" s="275"/>
      <c r="J34" s="275"/>
      <c r="K34" s="275"/>
      <c r="L34" s="275"/>
      <c r="M34" s="275"/>
      <c r="N34" s="275"/>
      <c r="O34" s="275"/>
      <c r="P34" s="142" t="s">
        <v>264</v>
      </c>
      <c r="Q34" s="275"/>
      <c r="R34" s="275"/>
      <c r="S34" s="275"/>
      <c r="T34" s="275"/>
      <c r="U34" s="272"/>
      <c r="V34" s="273"/>
    </row>
    <row r="35" spans="2:22" ht="15.75">
      <c r="F35" s="273"/>
      <c r="G35" s="273"/>
      <c r="H35" s="272"/>
      <c r="I35" s="275"/>
      <c r="J35" s="275"/>
      <c r="K35" s="275"/>
      <c r="L35" s="275"/>
      <c r="M35" s="275"/>
      <c r="N35" s="275"/>
      <c r="O35" s="275"/>
      <c r="P35" s="275"/>
      <c r="Q35" s="126" t="s">
        <v>265</v>
      </c>
      <c r="R35" s="126"/>
      <c r="S35" s="126"/>
      <c r="T35" s="275"/>
      <c r="U35" s="272"/>
      <c r="V35" s="273"/>
    </row>
    <row r="36" spans="2:22" ht="15.75">
      <c r="F36" s="273"/>
      <c r="G36" s="273"/>
      <c r="H36" s="272"/>
      <c r="I36" s="275"/>
      <c r="J36" s="275"/>
      <c r="K36" s="275"/>
      <c r="L36" s="275"/>
      <c r="M36" s="275"/>
      <c r="N36" s="275"/>
      <c r="O36" s="275"/>
      <c r="P36" s="275"/>
      <c r="Q36" s="275"/>
      <c r="R36" s="142" t="s">
        <v>266</v>
      </c>
      <c r="S36" s="275"/>
      <c r="T36" s="275"/>
      <c r="U36" s="272"/>
      <c r="V36" s="273"/>
    </row>
    <row r="37" spans="2:22" ht="15.75">
      <c r="F37" s="273"/>
      <c r="G37" s="273"/>
      <c r="H37" s="272"/>
      <c r="I37" s="275"/>
      <c r="J37" s="275"/>
      <c r="K37" s="275"/>
      <c r="L37" s="275"/>
      <c r="M37" s="275"/>
      <c r="N37" s="275"/>
      <c r="O37" s="275"/>
      <c r="P37" s="275"/>
      <c r="Q37" s="275"/>
      <c r="R37" s="275"/>
      <c r="S37" s="126" t="s">
        <v>267</v>
      </c>
      <c r="T37" s="275"/>
      <c r="U37" s="272"/>
      <c r="V37" s="273"/>
    </row>
    <row r="38" spans="2:22" ht="15.75">
      <c r="F38" s="273"/>
      <c r="G38" s="273"/>
      <c r="H38" s="272"/>
      <c r="I38" s="275"/>
      <c r="J38" s="275"/>
      <c r="K38" s="275"/>
      <c r="L38" s="275"/>
      <c r="M38" s="275"/>
      <c r="N38" s="275"/>
      <c r="O38" s="275"/>
      <c r="P38" s="275"/>
      <c r="Q38" s="275"/>
      <c r="R38" s="275"/>
      <c r="S38" s="275"/>
      <c r="T38" s="142" t="s">
        <v>447</v>
      </c>
      <c r="U38" s="272"/>
      <c r="V38" s="273"/>
    </row>
    <row r="39" spans="2:22">
      <c r="F39" s="273"/>
      <c r="G39" s="273"/>
      <c r="H39" s="272"/>
      <c r="I39" s="272"/>
      <c r="J39" s="272"/>
      <c r="K39" s="272"/>
      <c r="L39" s="272"/>
      <c r="M39" s="272"/>
      <c r="N39" s="272"/>
      <c r="O39" s="272"/>
      <c r="P39" s="272"/>
      <c r="Q39" s="272"/>
      <c r="R39" s="272"/>
      <c r="S39" s="272"/>
      <c r="T39" s="272"/>
      <c r="U39" s="272"/>
      <c r="V39" s="273"/>
    </row>
    <row r="40" spans="2:22" ht="15.75" customHeight="1">
      <c r="B40" s="211"/>
      <c r="C40" s="304"/>
      <c r="D40" s="306"/>
      <c r="E40" s="305"/>
      <c r="F40" s="305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</row>
    <row r="41" spans="2:22" ht="15.75" customHeight="1">
      <c r="B41" s="210"/>
      <c r="C41" s="104"/>
      <c r="D41" s="306"/>
      <c r="E41" s="305"/>
      <c r="F41" s="305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</row>
    <row r="42" spans="2:22"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</row>
    <row r="43" spans="2:22"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</row>
    <row r="44" spans="2:22"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</row>
    <row r="45" spans="2:22">
      <c r="D45" s="306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</row>
    <row r="46" spans="2:22"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</row>
    <row r="47" spans="2:22"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</row>
    <row r="48" spans="2:22"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</row>
    <row r="49" spans="8:21"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</row>
    <row r="50" spans="8:21"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</row>
    <row r="51" spans="8:21"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</row>
  </sheetData>
  <mergeCells count="5">
    <mergeCell ref="A1:A2"/>
    <mergeCell ref="B1:B2"/>
    <mergeCell ref="C1:E1"/>
    <mergeCell ref="A22:B22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B63"/>
  <sheetViews>
    <sheetView workbookViewId="0">
      <pane ySplit="2" topLeftCell="A3" activePane="bottomLeft" state="frozen"/>
      <selection pane="bottomLeft" activeCell="A24" sqref="A24"/>
    </sheetView>
  </sheetViews>
  <sheetFormatPr defaultRowHeight="11.25"/>
  <cols>
    <col min="1" max="1" width="7.28515625" style="7" bestFit="1" customWidth="1"/>
    <col min="2" max="2" width="61.85546875" style="129" customWidth="1"/>
    <col min="3" max="4" width="9.42578125" style="2" customWidth="1"/>
    <col min="5" max="5" width="9.42578125" style="79" customWidth="1"/>
    <col min="6" max="6" width="8.140625" style="79" customWidth="1"/>
    <col min="7" max="7" width="10.7109375" style="79" customWidth="1"/>
    <col min="8" max="8" width="9.42578125" style="79" customWidth="1"/>
    <col min="9" max="9" width="7.85546875" style="79" customWidth="1"/>
    <col min="10" max="10" width="7.42578125" style="79" customWidth="1"/>
    <col min="11" max="11" width="8.7109375" style="79" customWidth="1"/>
    <col min="12" max="24" width="7.140625" style="79" customWidth="1"/>
    <col min="25" max="25" width="9.5703125" style="79" customWidth="1"/>
    <col min="26" max="26" width="7.85546875" style="79" customWidth="1"/>
    <col min="27" max="27" width="7.140625" style="79" customWidth="1"/>
    <col min="28" max="31" width="6.140625" style="79" customWidth="1"/>
    <col min="32" max="32" width="7.85546875" style="79" customWidth="1"/>
    <col min="33" max="33" width="16.28515625" style="79" customWidth="1"/>
    <col min="34" max="35" width="7.140625" style="79" customWidth="1"/>
    <col min="36" max="36" width="8.140625" style="79" customWidth="1"/>
    <col min="37" max="37" width="7.7109375" style="79" customWidth="1"/>
    <col min="38" max="39" width="7" style="79" customWidth="1"/>
    <col min="40" max="40" width="6.140625" style="79" customWidth="1"/>
    <col min="41" max="45" width="7.85546875" style="79" customWidth="1"/>
    <col min="46" max="46" width="6.140625" style="79" customWidth="1"/>
    <col min="47" max="47" width="6.140625" style="344" customWidth="1"/>
    <col min="48" max="48" width="6.140625" style="79" customWidth="1"/>
    <col min="49" max="50" width="8.28515625" style="79" customWidth="1"/>
    <col min="51" max="51" width="6.140625" style="79" customWidth="1"/>
    <col min="52" max="52" width="7.7109375" style="79" customWidth="1"/>
    <col min="53" max="54" width="6.140625" style="79" customWidth="1"/>
    <col min="55" max="55" width="8" style="79" customWidth="1"/>
    <col min="56" max="57" width="6.140625" style="79" customWidth="1"/>
    <col min="58" max="58" width="7.42578125" style="79" customWidth="1"/>
    <col min="59" max="59" width="8.5703125" style="79" customWidth="1"/>
    <col min="60" max="66" width="6.140625" style="79" customWidth="1"/>
    <col min="67" max="67" width="8.140625" style="344" customWidth="1"/>
    <col min="68" max="69" width="6.140625" style="79" customWidth="1"/>
    <col min="70" max="70" width="5.5703125" style="79" customWidth="1"/>
    <col min="71" max="77" width="10.5703125" style="79" customWidth="1"/>
    <col min="78" max="79" width="12.42578125" style="79" customWidth="1"/>
    <col min="80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715" t="s">
        <v>1</v>
      </c>
      <c r="B1" s="895" t="s">
        <v>0</v>
      </c>
      <c r="C1" s="898" t="s">
        <v>92</v>
      </c>
      <c r="D1" s="899"/>
      <c r="E1" s="886" t="s">
        <v>93</v>
      </c>
      <c r="F1" s="886"/>
      <c r="G1" s="886"/>
      <c r="H1" s="887" t="s">
        <v>169</v>
      </c>
      <c r="I1" s="887"/>
      <c r="J1" s="886" t="s">
        <v>173</v>
      </c>
      <c r="K1" s="886"/>
      <c r="L1" s="886"/>
      <c r="M1" s="886"/>
      <c r="N1" s="886"/>
      <c r="O1" s="886"/>
      <c r="P1" s="886"/>
      <c r="Q1" s="886"/>
      <c r="R1" s="886"/>
      <c r="S1" s="886"/>
      <c r="T1" s="886"/>
      <c r="U1" s="886"/>
      <c r="V1" s="886"/>
      <c r="W1" s="886"/>
      <c r="X1" s="886"/>
      <c r="Y1" s="886"/>
      <c r="Z1" s="886"/>
      <c r="AA1" s="886"/>
      <c r="AB1" s="886"/>
      <c r="AC1" s="886"/>
      <c r="AD1" s="886"/>
      <c r="AE1" s="886"/>
      <c r="AF1" s="886"/>
      <c r="AG1" s="886"/>
      <c r="AH1" s="897" t="s">
        <v>174</v>
      </c>
      <c r="AI1" s="897"/>
      <c r="AJ1" s="897"/>
      <c r="AK1" s="897"/>
      <c r="AL1" s="897"/>
      <c r="AM1" s="897"/>
      <c r="AN1" s="897"/>
      <c r="AO1" s="897"/>
      <c r="AP1" s="897"/>
      <c r="AQ1" s="897"/>
      <c r="AR1" s="897"/>
      <c r="AS1" s="897"/>
      <c r="AT1" s="897"/>
      <c r="AU1" s="897"/>
      <c r="AV1" s="897"/>
      <c r="AW1" s="897"/>
      <c r="AX1" s="888" t="s">
        <v>189</v>
      </c>
      <c r="AY1" s="889"/>
      <c r="AZ1" s="889"/>
      <c r="BA1" s="889"/>
      <c r="BB1" s="889"/>
      <c r="BC1" s="890"/>
      <c r="BD1" s="891" t="s">
        <v>193</v>
      </c>
      <c r="BE1" s="892"/>
      <c r="BF1" s="892"/>
      <c r="BG1" s="893"/>
      <c r="BH1" s="894" t="s">
        <v>181</v>
      </c>
      <c r="BI1" s="894"/>
      <c r="BJ1" s="894"/>
      <c r="BK1" s="894"/>
      <c r="BL1" s="894"/>
      <c r="BM1" s="894"/>
      <c r="BN1" s="894"/>
      <c r="BO1" s="894"/>
      <c r="BP1" s="894"/>
      <c r="BQ1" s="894"/>
      <c r="BR1" s="894"/>
      <c r="BS1" s="894"/>
      <c r="BT1" s="900" t="s">
        <v>499</v>
      </c>
      <c r="BU1" s="901"/>
      <c r="BV1" s="901"/>
      <c r="BW1" s="901"/>
      <c r="BX1" s="901"/>
      <c r="BY1" s="902"/>
      <c r="BZ1" s="885" t="s">
        <v>288</v>
      </c>
      <c r="CA1" s="885"/>
      <c r="CB1" s="885"/>
    </row>
    <row r="2" spans="1:80" ht="23.25" thickBot="1">
      <c r="A2" s="783"/>
      <c r="B2" s="896"/>
      <c r="C2" s="149"/>
      <c r="D2" s="169" t="s">
        <v>90</v>
      </c>
      <c r="E2" s="132"/>
      <c r="F2" s="170" t="s">
        <v>90</v>
      </c>
      <c r="G2" s="131" t="s">
        <v>168</v>
      </c>
      <c r="H2" s="132"/>
      <c r="I2" s="196" t="s">
        <v>90</v>
      </c>
      <c r="J2" s="132" t="s">
        <v>240</v>
      </c>
      <c r="K2" s="132" t="s">
        <v>241</v>
      </c>
      <c r="L2" s="132" t="s">
        <v>242</v>
      </c>
      <c r="M2" s="132" t="s">
        <v>243</v>
      </c>
      <c r="N2" s="132" t="s">
        <v>244</v>
      </c>
      <c r="O2" s="132" t="s">
        <v>465</v>
      </c>
      <c r="P2" s="132" t="s">
        <v>487</v>
      </c>
      <c r="Q2" s="132" t="s">
        <v>491</v>
      </c>
      <c r="R2" s="132" t="s">
        <v>572</v>
      </c>
      <c r="S2" s="132" t="s">
        <v>245</v>
      </c>
      <c r="T2" s="132" t="s">
        <v>430</v>
      </c>
      <c r="U2" s="132" t="s">
        <v>431</v>
      </c>
      <c r="V2" s="132" t="s">
        <v>459</v>
      </c>
      <c r="W2" s="132" t="s">
        <v>468</v>
      </c>
      <c r="X2" s="132" t="s">
        <v>246</v>
      </c>
      <c r="Y2" s="132" t="s">
        <v>247</v>
      </c>
      <c r="Z2" s="132" t="s">
        <v>248</v>
      </c>
      <c r="AA2" s="132" t="s">
        <v>282</v>
      </c>
      <c r="AB2" s="132" t="s">
        <v>280</v>
      </c>
      <c r="AC2" s="132" t="s">
        <v>281</v>
      </c>
      <c r="AD2" s="132"/>
      <c r="AE2" s="132"/>
      <c r="AF2" s="132" t="s">
        <v>47</v>
      </c>
      <c r="AG2" s="130" t="s">
        <v>29</v>
      </c>
      <c r="AH2" s="132" t="s">
        <v>175</v>
      </c>
      <c r="AI2" s="132" t="s">
        <v>176</v>
      </c>
      <c r="AJ2" s="132" t="s">
        <v>177</v>
      </c>
      <c r="AK2" s="132" t="s">
        <v>179</v>
      </c>
      <c r="AL2" s="132" t="s">
        <v>578</v>
      </c>
      <c r="AM2" s="132" t="s">
        <v>577</v>
      </c>
      <c r="AN2" s="132" t="s">
        <v>180</v>
      </c>
      <c r="AO2" s="132" t="s">
        <v>268</v>
      </c>
      <c r="AP2" s="132" t="s">
        <v>269</v>
      </c>
      <c r="AQ2" s="132" t="s">
        <v>270</v>
      </c>
      <c r="AR2" s="132" t="s">
        <v>494</v>
      </c>
      <c r="AS2" s="132" t="s">
        <v>461</v>
      </c>
      <c r="AT2" s="132" t="s">
        <v>462</v>
      </c>
      <c r="AU2" s="132"/>
      <c r="AV2" s="132"/>
      <c r="AW2" s="135" t="s">
        <v>47</v>
      </c>
      <c r="AX2" s="132" t="s">
        <v>186</v>
      </c>
      <c r="AY2" s="132" t="s">
        <v>187</v>
      </c>
      <c r="AZ2" s="132" t="s">
        <v>190</v>
      </c>
      <c r="BA2" s="132" t="s">
        <v>188</v>
      </c>
      <c r="BB2" s="132" t="s">
        <v>192</v>
      </c>
      <c r="BC2" s="130" t="s">
        <v>47</v>
      </c>
      <c r="BD2" s="132" t="s">
        <v>197</v>
      </c>
      <c r="BE2" s="132" t="s">
        <v>198</v>
      </c>
      <c r="BF2" s="132" t="s">
        <v>199</v>
      </c>
      <c r="BG2" s="133" t="s">
        <v>47</v>
      </c>
      <c r="BH2" s="132" t="s">
        <v>208</v>
      </c>
      <c r="BI2" s="132" t="s">
        <v>209</v>
      </c>
      <c r="BJ2" s="132" t="s">
        <v>212</v>
      </c>
      <c r="BK2" s="132" t="s">
        <v>217</v>
      </c>
      <c r="BL2" s="132" t="s">
        <v>218</v>
      </c>
      <c r="BM2" s="132" t="s">
        <v>219</v>
      </c>
      <c r="BN2" s="132" t="s">
        <v>283</v>
      </c>
      <c r="BO2" s="132" t="s">
        <v>284</v>
      </c>
      <c r="BP2" s="132" t="s">
        <v>448</v>
      </c>
      <c r="BQ2" s="132" t="s">
        <v>449</v>
      </c>
      <c r="BR2" s="132"/>
      <c r="BS2" s="130" t="s">
        <v>47</v>
      </c>
      <c r="BT2" s="132"/>
      <c r="BU2" s="132"/>
      <c r="BV2" s="132"/>
      <c r="BW2" s="132"/>
      <c r="BX2" s="132"/>
      <c r="BY2" s="135" t="s">
        <v>500</v>
      </c>
      <c r="BZ2" s="149" t="s">
        <v>138</v>
      </c>
      <c r="CA2" s="301" t="s">
        <v>486</v>
      </c>
      <c r="CB2" s="168" t="s">
        <v>287</v>
      </c>
    </row>
    <row r="3" spans="1:80" s="5" customFormat="1">
      <c r="A3" s="465" t="str">
        <f>'1-συμβολαια'!A3</f>
        <v>1ο</v>
      </c>
      <c r="B3" s="341" t="str">
        <f>'1-συμβολαια'!C3</f>
        <v>κληρονομιάς ΑΠΟΔΟΧΗ</v>
      </c>
      <c r="C3" s="406">
        <f>'5-αντίγρ'!AN3</f>
        <v>19.18</v>
      </c>
      <c r="D3" s="406">
        <f>'5-αντίγρ'!AM3</f>
        <v>3.96</v>
      </c>
      <c r="E3" s="300">
        <f>'6-μεταγρ'!P3</f>
        <v>11.74</v>
      </c>
      <c r="F3" s="300">
        <f>'6-μεταγρ'!N3+'6-μεταγρ'!O3</f>
        <v>3.96</v>
      </c>
      <c r="G3" s="300"/>
      <c r="H3" s="300">
        <f>'7-προςΔΟΥ'!V3</f>
        <v>275.72999999999996</v>
      </c>
      <c r="I3" s="300">
        <f>'7-προςΔΟΥ'!K3</f>
        <v>1.98</v>
      </c>
      <c r="J3" s="264">
        <f>5.87+5.87+2*3.23</f>
        <v>18.2</v>
      </c>
      <c r="K3" s="264">
        <v>3.23</v>
      </c>
      <c r="L3" s="264">
        <v>3.23</v>
      </c>
      <c r="M3" s="264"/>
      <c r="N3" s="264"/>
      <c r="O3" s="264"/>
      <c r="P3" s="264"/>
      <c r="Q3" s="264"/>
      <c r="R3" s="264"/>
      <c r="S3" s="264">
        <v>3.23</v>
      </c>
      <c r="T3" s="264"/>
      <c r="U3" s="264"/>
      <c r="V3" s="264"/>
      <c r="W3" s="264"/>
      <c r="X3" s="264">
        <v>20.83</v>
      </c>
      <c r="Y3" s="264">
        <v>14.97</v>
      </c>
      <c r="Z3" s="264">
        <v>1.98</v>
      </c>
      <c r="AA3" s="264"/>
      <c r="AB3" s="264"/>
      <c r="AC3" s="264"/>
      <c r="AD3" s="264"/>
      <c r="AE3" s="264"/>
      <c r="AF3" s="264">
        <f t="shared" ref="AF3" si="0">SUM(J3:AE3)</f>
        <v>65.67</v>
      </c>
      <c r="AG3" s="263"/>
      <c r="AH3" s="264"/>
      <c r="AI3" s="264"/>
      <c r="AJ3" s="264">
        <v>3.23</v>
      </c>
      <c r="AK3" s="264"/>
      <c r="AL3" s="264"/>
      <c r="AM3" s="264"/>
      <c r="AN3" s="264"/>
      <c r="AO3" s="264"/>
      <c r="AP3" s="264"/>
      <c r="AQ3" s="264"/>
      <c r="AR3" s="264"/>
      <c r="AS3" s="264"/>
      <c r="AT3" s="264"/>
      <c r="AU3" s="264"/>
      <c r="AV3" s="263"/>
      <c r="AW3" s="264">
        <f t="shared" ref="AW3" si="1">SUM(AH3:AV3)</f>
        <v>3.23</v>
      </c>
      <c r="AX3" s="264">
        <f>5.87+3.23</f>
        <v>9.1</v>
      </c>
      <c r="AY3" s="263"/>
      <c r="AZ3" s="264">
        <f>5.87+3.23</f>
        <v>9.1</v>
      </c>
      <c r="BA3" s="263"/>
      <c r="BB3" s="263"/>
      <c r="BC3" s="264">
        <f t="shared" ref="BC3" si="2">SUM(AX3:BB3)</f>
        <v>18.2</v>
      </c>
      <c r="BD3" s="263"/>
      <c r="BE3" s="263"/>
      <c r="BF3" s="263"/>
      <c r="BG3" s="263">
        <f t="shared" ref="BG3" si="3">SUM(BD3:BF3)</f>
        <v>0</v>
      </c>
      <c r="BH3" s="263"/>
      <c r="BI3" s="263"/>
      <c r="BJ3" s="263"/>
      <c r="BK3" s="263"/>
      <c r="BL3" s="263"/>
      <c r="BM3" s="263"/>
      <c r="BN3" s="263"/>
      <c r="BO3" s="264"/>
      <c r="BP3" s="264">
        <v>0.3</v>
      </c>
      <c r="BQ3" s="264">
        <v>0.3</v>
      </c>
      <c r="BR3" s="259"/>
      <c r="BS3" s="264">
        <f t="shared" ref="BS3" si="4">SUM(BH3:BR3)</f>
        <v>0.6</v>
      </c>
      <c r="BT3" s="300"/>
      <c r="BU3" s="300"/>
      <c r="BV3" s="300"/>
      <c r="BW3" s="300"/>
      <c r="BX3" s="300"/>
      <c r="BY3" s="300">
        <f t="shared" ref="BY3" si="5">BT3+BU3+BV3+BW3</f>
        <v>0</v>
      </c>
      <c r="BZ3" s="365">
        <f t="shared" ref="BZ3" si="6">C3+G3+H3+AF3-Z3+AW3+BC3+BG3+BS3-BO3+BY3-BW3</f>
        <v>380.63</v>
      </c>
      <c r="CA3" s="365">
        <f t="shared" ref="CA3" si="7">D3+F3+I3+AB3+BX3</f>
        <v>9.9</v>
      </c>
      <c r="CB3" s="431"/>
    </row>
    <row r="4" spans="1:80" s="5" customFormat="1">
      <c r="A4" s="465">
        <f>'1-συμβολαια'!A4</f>
        <v>0</v>
      </c>
      <c r="B4" s="341" t="str">
        <f>'1-συμβολαια'!C4</f>
        <v>χρησικτησία οικοπεδου = 194? γεωργούδηΝικολαο ΑΓΟΡΑΠΩΛΗΣΙΑ (ως αγροτεμάχιο) άτυπος</v>
      </c>
      <c r="C4" s="403">
        <f>'5-αντίγρ'!AN4</f>
        <v>0</v>
      </c>
      <c r="D4" s="403">
        <f>'5-αντίγρ'!AM4</f>
        <v>0</v>
      </c>
      <c r="E4" s="264">
        <f>'6-μεταγρ'!P4</f>
        <v>0</v>
      </c>
      <c r="F4" s="264">
        <f>'6-μεταγρ'!N4+'6-μεταγρ'!O4</f>
        <v>3.96</v>
      </c>
      <c r="G4" s="264"/>
      <c r="H4" s="264">
        <f>'7-προςΔΟΥ'!V4</f>
        <v>164.15</v>
      </c>
      <c r="I4" s="264">
        <f>'7-προςΔΟΥ'!K4</f>
        <v>1.98</v>
      </c>
      <c r="J4" s="264"/>
      <c r="K4" s="264"/>
      <c r="L4" s="264"/>
      <c r="M4" s="264"/>
      <c r="N4" s="264"/>
      <c r="O4" s="264"/>
      <c r="P4" s="264">
        <v>3.23</v>
      </c>
      <c r="Q4" s="264">
        <v>3.23</v>
      </c>
      <c r="R4" s="264">
        <v>3.23</v>
      </c>
      <c r="S4" s="264"/>
      <c r="T4" s="264"/>
      <c r="U4" s="264"/>
      <c r="V4" s="264">
        <v>3.23</v>
      </c>
      <c r="W4" s="264"/>
      <c r="X4" s="264"/>
      <c r="Y4" s="264"/>
      <c r="Z4" s="264"/>
      <c r="AA4" s="264"/>
      <c r="AB4" s="264"/>
      <c r="AC4" s="264"/>
      <c r="AD4" s="264"/>
      <c r="AE4" s="264"/>
      <c r="AF4" s="264">
        <f t="shared" ref="AF4:AF14" si="8">SUM(J4:AE4)</f>
        <v>12.92</v>
      </c>
      <c r="AG4" s="263"/>
      <c r="AH4" s="264">
        <v>3.23</v>
      </c>
      <c r="AI4" s="264"/>
      <c r="AJ4" s="264"/>
      <c r="AK4" s="264">
        <v>3.23</v>
      </c>
      <c r="AL4" s="264"/>
      <c r="AM4" s="264"/>
      <c r="AN4" s="264"/>
      <c r="AO4" s="264"/>
      <c r="AP4" s="264"/>
      <c r="AQ4" s="264">
        <v>3.23</v>
      </c>
      <c r="AR4" s="264"/>
      <c r="AS4" s="264"/>
      <c r="AT4" s="264"/>
      <c r="AU4" s="264"/>
      <c r="AV4" s="263"/>
      <c r="AW4" s="264">
        <f t="shared" ref="AW4:AW14" si="9">SUM(AH4:AV4)</f>
        <v>9.69</v>
      </c>
      <c r="AX4" s="264"/>
      <c r="AY4" s="263"/>
      <c r="AZ4" s="264"/>
      <c r="BA4" s="263"/>
      <c r="BB4" s="263"/>
      <c r="BC4" s="264">
        <f t="shared" ref="BC4:BC14" si="10">SUM(AX4:BB4)</f>
        <v>0</v>
      </c>
      <c r="BD4" s="263"/>
      <c r="BE4" s="263"/>
      <c r="BF4" s="263"/>
      <c r="BG4" s="263">
        <f t="shared" ref="BG4:BG14" si="11">SUM(BD4:BF4)</f>
        <v>0</v>
      </c>
      <c r="BH4" s="263"/>
      <c r="BI4" s="263"/>
      <c r="BJ4" s="263"/>
      <c r="BK4" s="263"/>
      <c r="BL4" s="263"/>
      <c r="BM4" s="263"/>
      <c r="BN4" s="263"/>
      <c r="BO4" s="637">
        <v>1.47</v>
      </c>
      <c r="BP4" s="264"/>
      <c r="BQ4" s="264"/>
      <c r="BR4" s="259"/>
      <c r="BS4" s="264">
        <f t="shared" ref="BS4:BS14" si="12">SUM(BH4:BR4)</f>
        <v>1.47</v>
      </c>
      <c r="BT4" s="264"/>
      <c r="BU4" s="264"/>
      <c r="BV4" s="264"/>
      <c r="BW4" s="264"/>
      <c r="BX4" s="264"/>
      <c r="BY4" s="264">
        <f t="shared" ref="BY4:BY14" si="13">BT4+BU4+BV4+BW4</f>
        <v>0</v>
      </c>
      <c r="BZ4" s="429">
        <f t="shared" ref="BZ4:BZ14" si="14">C4+G4+H4+AF4-Z4+AW4+BC4+BG4+BS4-BO4+BY4-BW4</f>
        <v>186.76</v>
      </c>
      <c r="CA4" s="429">
        <f t="shared" ref="CA4:CA14" si="15">D4+F4+I4+AB4+BX4</f>
        <v>5.9399999999999995</v>
      </c>
      <c r="CB4" s="431"/>
    </row>
    <row r="5" spans="1:80" s="5" customFormat="1">
      <c r="A5" s="465">
        <f>'1-συμβολαια'!A5</f>
        <v>0</v>
      </c>
      <c r="B5" s="341" t="str">
        <f>'1-συμβολαια'!C5</f>
        <v>χρησικτησία αγροτεμάχιο 193 = 1975 ΑΝΑΔΑΣΜΟΣ εκούσιος</v>
      </c>
      <c r="C5" s="403">
        <f>'5-αντίγρ'!AN5</f>
        <v>0</v>
      </c>
      <c r="D5" s="403">
        <f>'5-αντίγρ'!AM5</f>
        <v>0</v>
      </c>
      <c r="E5" s="264">
        <f>'6-μεταγρ'!P5</f>
        <v>0</v>
      </c>
      <c r="F5" s="264">
        <f>'6-μεταγρ'!N5+'6-μεταγρ'!O5</f>
        <v>3.96</v>
      </c>
      <c r="G5" s="264"/>
      <c r="H5" s="264">
        <f>'7-προςΔΟΥ'!V5</f>
        <v>64.309999999999988</v>
      </c>
      <c r="I5" s="264">
        <f>'7-προςΔΟΥ'!K5</f>
        <v>1.98</v>
      </c>
      <c r="J5" s="264"/>
      <c r="K5" s="264"/>
      <c r="L5" s="264"/>
      <c r="M5" s="264"/>
      <c r="N5" s="264"/>
      <c r="O5" s="264"/>
      <c r="P5" s="264"/>
      <c r="Q5" s="264"/>
      <c r="R5" s="264"/>
      <c r="S5" s="264"/>
      <c r="T5" s="264"/>
      <c r="U5" s="264"/>
      <c r="V5" s="264"/>
      <c r="W5" s="264"/>
      <c r="X5" s="264"/>
      <c r="Y5" s="264"/>
      <c r="Z5" s="264"/>
      <c r="AA5" s="264"/>
      <c r="AB5" s="264"/>
      <c r="AC5" s="264"/>
      <c r="AD5" s="264"/>
      <c r="AE5" s="264"/>
      <c r="AF5" s="264">
        <f t="shared" si="8"/>
        <v>0</v>
      </c>
      <c r="AG5" s="263"/>
      <c r="AH5" s="264">
        <v>3.23</v>
      </c>
      <c r="AI5" s="264">
        <v>3.23</v>
      </c>
      <c r="AJ5" s="264"/>
      <c r="AK5" s="264"/>
      <c r="AL5" s="264"/>
      <c r="AM5" s="264"/>
      <c r="AN5" s="264"/>
      <c r="AO5" s="264"/>
      <c r="AP5" s="264"/>
      <c r="AQ5" s="264">
        <v>3.23</v>
      </c>
      <c r="AR5" s="264"/>
      <c r="AS5" s="264"/>
      <c r="AT5" s="264"/>
      <c r="AU5" s="264"/>
      <c r="AV5" s="263"/>
      <c r="AW5" s="264">
        <f t="shared" si="9"/>
        <v>9.69</v>
      </c>
      <c r="AX5" s="264"/>
      <c r="AY5" s="263"/>
      <c r="AZ5" s="264"/>
      <c r="BA5" s="263"/>
      <c r="BB5" s="263"/>
      <c r="BC5" s="264">
        <f t="shared" si="10"/>
        <v>0</v>
      </c>
      <c r="BD5" s="263"/>
      <c r="BE5" s="263"/>
      <c r="BF5" s="263"/>
      <c r="BG5" s="263">
        <f t="shared" si="11"/>
        <v>0</v>
      </c>
      <c r="BH5" s="263"/>
      <c r="BI5" s="263"/>
      <c r="BJ5" s="263"/>
      <c r="BK5" s="263"/>
      <c r="BL5" s="263"/>
      <c r="BM5" s="263"/>
      <c r="BN5" s="263"/>
      <c r="BO5" s="264">
        <v>1.47</v>
      </c>
      <c r="BP5" s="264"/>
      <c r="BQ5" s="264"/>
      <c r="BR5" s="259"/>
      <c r="BS5" s="264">
        <f t="shared" si="12"/>
        <v>1.47</v>
      </c>
      <c r="BT5" s="264"/>
      <c r="BU5" s="264"/>
      <c r="BV5" s="264"/>
      <c r="BW5" s="264"/>
      <c r="BX5" s="264"/>
      <c r="BY5" s="264">
        <f t="shared" si="13"/>
        <v>0</v>
      </c>
      <c r="BZ5" s="429">
        <f t="shared" si="14"/>
        <v>73.999999999999986</v>
      </c>
      <c r="CA5" s="429">
        <f t="shared" si="15"/>
        <v>5.9399999999999995</v>
      </c>
      <c r="CB5" s="431"/>
    </row>
    <row r="6" spans="1:80" s="5" customFormat="1" ht="12" thickBot="1">
      <c r="A6" s="467">
        <f>'1-συμβολαια'!A6</f>
        <v>0</v>
      </c>
      <c r="B6" s="543" t="str">
        <f>'1-συμβολαια'!C6</f>
        <v>χρησικτησία αγροτεμάχιο 279 = 1975 ΑΝΑΔΑΣΜΟΣ εκούσιος</v>
      </c>
      <c r="C6" s="544">
        <f>'5-αντίγρ'!AN6</f>
        <v>0</v>
      </c>
      <c r="D6" s="544">
        <f>'5-αντίγρ'!AM6</f>
        <v>0</v>
      </c>
      <c r="E6" s="545">
        <f>'6-μεταγρ'!P6</f>
        <v>0</v>
      </c>
      <c r="F6" s="545">
        <f>'6-μεταγρ'!N6+'6-μεταγρ'!O6</f>
        <v>3.96</v>
      </c>
      <c r="G6" s="545"/>
      <c r="H6" s="545">
        <f>'7-προςΔΟΥ'!V6</f>
        <v>64.309999999999988</v>
      </c>
      <c r="I6" s="545">
        <f>'7-προςΔΟΥ'!K6</f>
        <v>1.98</v>
      </c>
      <c r="J6" s="545"/>
      <c r="K6" s="545"/>
      <c r="L6" s="545"/>
      <c r="M6" s="545"/>
      <c r="N6" s="545"/>
      <c r="O6" s="545"/>
      <c r="P6" s="545"/>
      <c r="Q6" s="545"/>
      <c r="R6" s="545"/>
      <c r="S6" s="545"/>
      <c r="T6" s="545"/>
      <c r="U6" s="545"/>
      <c r="V6" s="545"/>
      <c r="W6" s="545"/>
      <c r="X6" s="545"/>
      <c r="Y6" s="545"/>
      <c r="Z6" s="545"/>
      <c r="AA6" s="545"/>
      <c r="AB6" s="545"/>
      <c r="AC6" s="545"/>
      <c r="AD6" s="545"/>
      <c r="AE6" s="545"/>
      <c r="AF6" s="545">
        <f t="shared" si="8"/>
        <v>0</v>
      </c>
      <c r="AG6" s="546"/>
      <c r="AH6" s="545">
        <v>3.23</v>
      </c>
      <c r="AI6" s="545">
        <v>3.23</v>
      </c>
      <c r="AJ6" s="545"/>
      <c r="AK6" s="545"/>
      <c r="AL6" s="545"/>
      <c r="AM6" s="545"/>
      <c r="AN6" s="545"/>
      <c r="AO6" s="545"/>
      <c r="AP6" s="545"/>
      <c r="AQ6" s="545">
        <v>3.23</v>
      </c>
      <c r="AR6" s="545"/>
      <c r="AS6" s="545"/>
      <c r="AT6" s="545"/>
      <c r="AU6" s="545"/>
      <c r="AV6" s="546"/>
      <c r="AW6" s="545">
        <f t="shared" si="9"/>
        <v>9.69</v>
      </c>
      <c r="AX6" s="545"/>
      <c r="AY6" s="546"/>
      <c r="AZ6" s="545"/>
      <c r="BA6" s="546"/>
      <c r="BB6" s="546"/>
      <c r="BC6" s="545">
        <f t="shared" si="10"/>
        <v>0</v>
      </c>
      <c r="BD6" s="546"/>
      <c r="BE6" s="546"/>
      <c r="BF6" s="546"/>
      <c r="BG6" s="546">
        <f t="shared" si="11"/>
        <v>0</v>
      </c>
      <c r="BH6" s="546"/>
      <c r="BI6" s="546"/>
      <c r="BJ6" s="546"/>
      <c r="BK6" s="546"/>
      <c r="BL6" s="546"/>
      <c r="BM6" s="546"/>
      <c r="BN6" s="546"/>
      <c r="BO6" s="545">
        <v>1.47</v>
      </c>
      <c r="BP6" s="545"/>
      <c r="BQ6" s="545"/>
      <c r="BR6" s="519"/>
      <c r="BS6" s="545">
        <f t="shared" si="12"/>
        <v>1.47</v>
      </c>
      <c r="BT6" s="545"/>
      <c r="BU6" s="545"/>
      <c r="BV6" s="545"/>
      <c r="BW6" s="545"/>
      <c r="BX6" s="545"/>
      <c r="BY6" s="545">
        <f t="shared" si="13"/>
        <v>0</v>
      </c>
      <c r="BZ6" s="641">
        <f t="shared" si="14"/>
        <v>73.999999999999986</v>
      </c>
      <c r="CA6" s="641">
        <f t="shared" si="15"/>
        <v>5.9399999999999995</v>
      </c>
      <c r="CB6" s="431"/>
    </row>
    <row r="7" spans="1:80" s="5" customFormat="1">
      <c r="A7" s="476" t="str">
        <f>'1-συμβολαια'!A7</f>
        <v>2ο</v>
      </c>
      <c r="B7" s="541" t="str">
        <f>'1-συμβολαια'!C7</f>
        <v>κληρονομιάς ΑΠΟΔΟΧΗ</v>
      </c>
      <c r="C7" s="406">
        <f>'5-αντίγρ'!AN7</f>
        <v>15.95</v>
      </c>
      <c r="D7" s="406">
        <f>'5-αντίγρ'!AM7</f>
        <v>3.96</v>
      </c>
      <c r="E7" s="300">
        <f>'6-μεταγρ'!P7</f>
        <v>0</v>
      </c>
      <c r="F7" s="300">
        <f>'6-μεταγρ'!N7+'6-μεταγρ'!O7</f>
        <v>3.96</v>
      </c>
      <c r="G7" s="300"/>
      <c r="H7" s="300">
        <f>'7-προςΔΟΥ'!V7</f>
        <v>263.98999999999995</v>
      </c>
      <c r="I7" s="300">
        <f>'7-προςΔΟΥ'!K7</f>
        <v>1.98</v>
      </c>
      <c r="J7" s="300">
        <f>5.87+5.87+2*3.23</f>
        <v>18.2</v>
      </c>
      <c r="K7" s="300">
        <v>3.23</v>
      </c>
      <c r="L7" s="300">
        <v>3.23</v>
      </c>
      <c r="M7" s="300"/>
      <c r="N7" s="300">
        <v>3.23</v>
      </c>
      <c r="O7" s="300"/>
      <c r="P7" s="300"/>
      <c r="Q7" s="300"/>
      <c r="R7" s="300"/>
      <c r="S7" s="300">
        <v>3.23</v>
      </c>
      <c r="T7" s="300"/>
      <c r="U7" s="300"/>
      <c r="V7" s="300"/>
      <c r="W7" s="300"/>
      <c r="X7" s="300">
        <v>20.83</v>
      </c>
      <c r="Y7" s="300">
        <v>14.97</v>
      </c>
      <c r="Z7" s="300">
        <v>1.98</v>
      </c>
      <c r="AA7" s="300"/>
      <c r="AB7" s="300"/>
      <c r="AC7" s="300"/>
      <c r="AD7" s="300"/>
      <c r="AE7" s="300"/>
      <c r="AF7" s="300">
        <f t="shared" si="8"/>
        <v>68.900000000000006</v>
      </c>
      <c r="AG7" s="542"/>
      <c r="AH7" s="300"/>
      <c r="AI7" s="300"/>
      <c r="AJ7" s="300">
        <v>3.23</v>
      </c>
      <c r="AK7" s="300"/>
      <c r="AL7" s="300"/>
      <c r="AM7" s="300"/>
      <c r="AN7" s="300"/>
      <c r="AO7" s="300"/>
      <c r="AP7" s="300"/>
      <c r="AQ7" s="300"/>
      <c r="AR7" s="300"/>
      <c r="AS7" s="300"/>
      <c r="AT7" s="300"/>
      <c r="AU7" s="300"/>
      <c r="AV7" s="542"/>
      <c r="AW7" s="300">
        <f t="shared" si="9"/>
        <v>3.23</v>
      </c>
      <c r="AX7" s="300">
        <f>5.87+3.23</f>
        <v>9.1</v>
      </c>
      <c r="AY7" s="542"/>
      <c r="AZ7" s="300">
        <f>5.87+3.23</f>
        <v>9.1</v>
      </c>
      <c r="BA7" s="542"/>
      <c r="BB7" s="542"/>
      <c r="BC7" s="300">
        <f t="shared" si="10"/>
        <v>18.2</v>
      </c>
      <c r="BD7" s="542"/>
      <c r="BE7" s="542"/>
      <c r="BF7" s="542"/>
      <c r="BG7" s="542">
        <f t="shared" si="11"/>
        <v>0</v>
      </c>
      <c r="BH7" s="542"/>
      <c r="BI7" s="542"/>
      <c r="BJ7" s="542"/>
      <c r="BK7" s="542"/>
      <c r="BL7" s="542"/>
      <c r="BM7" s="542"/>
      <c r="BN7" s="542"/>
      <c r="BO7" s="300"/>
      <c r="BP7" s="300">
        <v>0.3</v>
      </c>
      <c r="BQ7" s="300">
        <v>0.3</v>
      </c>
      <c r="BR7" s="517"/>
      <c r="BS7" s="300">
        <f t="shared" si="12"/>
        <v>0.6</v>
      </c>
      <c r="BT7" s="300"/>
      <c r="BU7" s="300"/>
      <c r="BV7" s="300"/>
      <c r="BW7" s="300"/>
      <c r="BX7" s="300"/>
      <c r="BY7" s="300">
        <f t="shared" si="13"/>
        <v>0</v>
      </c>
      <c r="BZ7" s="365">
        <f t="shared" si="14"/>
        <v>368.88999999999993</v>
      </c>
      <c r="CA7" s="365">
        <f t="shared" si="15"/>
        <v>9.9</v>
      </c>
      <c r="CB7" s="431"/>
    </row>
    <row r="8" spans="1:80" s="5" customFormat="1">
      <c r="A8" s="477">
        <f>'1-συμβολαια'!A8</f>
        <v>0</v>
      </c>
      <c r="B8" s="341" t="str">
        <f>'1-συμβολαια'!C8</f>
        <v>χρησικτησία οικοπεδου &amp; οικίας &amp; αποθήκης = 27/7/87 πατρός ΚΛΗΡΟΝΟΜΙΑ άτυπος</v>
      </c>
      <c r="C8" s="403">
        <f>'5-αντίγρ'!AN8</f>
        <v>0</v>
      </c>
      <c r="D8" s="403">
        <f>'5-αντίγρ'!AM8</f>
        <v>0</v>
      </c>
      <c r="E8" s="264">
        <f>'6-μεταγρ'!P8</f>
        <v>0</v>
      </c>
      <c r="F8" s="264">
        <f>'6-μεταγρ'!N8+'6-μεταγρ'!O8</f>
        <v>3.96</v>
      </c>
      <c r="G8" s="264"/>
      <c r="H8" s="264">
        <f>'7-προςΔΟΥ'!V8</f>
        <v>164.15</v>
      </c>
      <c r="I8" s="264">
        <f>'7-προςΔΟΥ'!K8</f>
        <v>1.98</v>
      </c>
      <c r="J8" s="264"/>
      <c r="K8" s="264"/>
      <c r="L8" s="264"/>
      <c r="M8" s="264"/>
      <c r="N8" s="264"/>
      <c r="O8" s="264"/>
      <c r="P8" s="264">
        <v>3.23</v>
      </c>
      <c r="Q8" s="264">
        <v>3.23</v>
      </c>
      <c r="R8" s="264">
        <v>3.23</v>
      </c>
      <c r="S8" s="264"/>
      <c r="T8" s="264"/>
      <c r="U8" s="264"/>
      <c r="V8" s="264">
        <v>3.23</v>
      </c>
      <c r="W8" s="264"/>
      <c r="X8" s="264"/>
      <c r="Y8" s="264"/>
      <c r="Z8" s="264"/>
      <c r="AA8" s="264"/>
      <c r="AB8" s="264"/>
      <c r="AC8" s="264"/>
      <c r="AD8" s="264"/>
      <c r="AE8" s="264"/>
      <c r="AF8" s="264">
        <f t="shared" si="8"/>
        <v>12.92</v>
      </c>
      <c r="AG8" s="263"/>
      <c r="AH8" s="264">
        <v>3.23</v>
      </c>
      <c r="AI8" s="264"/>
      <c r="AJ8" s="264"/>
      <c r="AK8" s="264">
        <v>3.23</v>
      </c>
      <c r="AL8" s="264"/>
      <c r="AM8" s="264"/>
      <c r="AN8" s="264"/>
      <c r="AO8" s="264"/>
      <c r="AP8" s="264"/>
      <c r="AQ8" s="264">
        <v>3.23</v>
      </c>
      <c r="AR8" s="264"/>
      <c r="AS8" s="264"/>
      <c r="AT8" s="264"/>
      <c r="AU8" s="264"/>
      <c r="AV8" s="263"/>
      <c r="AW8" s="264">
        <f t="shared" si="9"/>
        <v>9.69</v>
      </c>
      <c r="AX8" s="264"/>
      <c r="AY8" s="263"/>
      <c r="AZ8" s="264"/>
      <c r="BA8" s="263"/>
      <c r="BB8" s="263"/>
      <c r="BC8" s="264">
        <f t="shared" si="10"/>
        <v>0</v>
      </c>
      <c r="BD8" s="263"/>
      <c r="BE8" s="263"/>
      <c r="BF8" s="263"/>
      <c r="BG8" s="263">
        <f t="shared" si="11"/>
        <v>0</v>
      </c>
      <c r="BH8" s="263"/>
      <c r="BI8" s="263"/>
      <c r="BJ8" s="263"/>
      <c r="BK8" s="263"/>
      <c r="BL8" s="263"/>
      <c r="BM8" s="263"/>
      <c r="BN8" s="263"/>
      <c r="BO8" s="264">
        <v>1.47</v>
      </c>
      <c r="BP8" s="264"/>
      <c r="BQ8" s="264"/>
      <c r="BR8" s="259"/>
      <c r="BS8" s="264">
        <f t="shared" si="12"/>
        <v>1.47</v>
      </c>
      <c r="BT8" s="264"/>
      <c r="BU8" s="264"/>
      <c r="BV8" s="264"/>
      <c r="BW8" s="264"/>
      <c r="BX8" s="264"/>
      <c r="BY8" s="264">
        <f t="shared" si="13"/>
        <v>0</v>
      </c>
      <c r="BZ8" s="429">
        <f t="shared" si="14"/>
        <v>186.76</v>
      </c>
      <c r="CA8" s="429">
        <f t="shared" si="15"/>
        <v>5.9399999999999995</v>
      </c>
      <c r="CB8" s="431"/>
    </row>
    <row r="9" spans="1:80" s="5" customFormat="1">
      <c r="A9" s="477">
        <f>'1-συμβολαια'!A9</f>
        <v>0</v>
      </c>
      <c r="B9" s="341" t="str">
        <f>'1-συμβολαια'!C9</f>
        <v>χρησικτησία αγροτεμάχιο 193 = 27/7/87 πατρός ΚΛΗΡΟΝΟΜΙΑ άτυπος</v>
      </c>
      <c r="C9" s="403">
        <f>'5-αντίγρ'!AN9</f>
        <v>0</v>
      </c>
      <c r="D9" s="403">
        <f>'5-αντίγρ'!AM9</f>
        <v>0</v>
      </c>
      <c r="E9" s="264">
        <f>'6-μεταγρ'!P9</f>
        <v>0</v>
      </c>
      <c r="F9" s="264">
        <f>'6-μεταγρ'!N9+'6-μεταγρ'!O9</f>
        <v>3.96</v>
      </c>
      <c r="G9" s="264"/>
      <c r="H9" s="264">
        <f>'7-προςΔΟΥ'!V9</f>
        <v>64.309999999999988</v>
      </c>
      <c r="I9" s="264">
        <f>'7-προςΔΟΥ'!K9</f>
        <v>1.98</v>
      </c>
      <c r="J9" s="264"/>
      <c r="K9" s="264"/>
      <c r="L9" s="264"/>
      <c r="M9" s="264"/>
      <c r="N9" s="264"/>
      <c r="O9" s="264"/>
      <c r="P9" s="264"/>
      <c r="Q9" s="264"/>
      <c r="R9" s="264"/>
      <c r="S9" s="264"/>
      <c r="T9" s="264"/>
      <c r="U9" s="264"/>
      <c r="V9" s="264"/>
      <c r="W9" s="264"/>
      <c r="X9" s="264"/>
      <c r="Y9" s="264"/>
      <c r="Z9" s="264"/>
      <c r="AA9" s="264"/>
      <c r="AB9" s="264"/>
      <c r="AC9" s="264"/>
      <c r="AD9" s="264"/>
      <c r="AE9" s="264"/>
      <c r="AF9" s="264">
        <f t="shared" si="8"/>
        <v>0</v>
      </c>
      <c r="AG9" s="263"/>
      <c r="AH9" s="264">
        <v>3.23</v>
      </c>
      <c r="AI9" s="264">
        <v>3.23</v>
      </c>
      <c r="AJ9" s="264"/>
      <c r="AK9" s="264"/>
      <c r="AL9" s="264"/>
      <c r="AM9" s="264"/>
      <c r="AN9" s="264"/>
      <c r="AO9" s="264"/>
      <c r="AP9" s="264"/>
      <c r="AQ9" s="264">
        <v>3.23</v>
      </c>
      <c r="AR9" s="264"/>
      <c r="AS9" s="264"/>
      <c r="AT9" s="264"/>
      <c r="AU9" s="264"/>
      <c r="AV9" s="263"/>
      <c r="AW9" s="264">
        <f t="shared" si="9"/>
        <v>9.69</v>
      </c>
      <c r="AX9" s="264"/>
      <c r="AY9" s="263"/>
      <c r="AZ9" s="264"/>
      <c r="BA9" s="263"/>
      <c r="BB9" s="263"/>
      <c r="BC9" s="264">
        <f t="shared" si="10"/>
        <v>0</v>
      </c>
      <c r="BD9" s="263"/>
      <c r="BE9" s="263"/>
      <c r="BF9" s="263"/>
      <c r="BG9" s="263">
        <f t="shared" si="11"/>
        <v>0</v>
      </c>
      <c r="BH9" s="263"/>
      <c r="BI9" s="263"/>
      <c r="BJ9" s="263"/>
      <c r="BK9" s="263"/>
      <c r="BL9" s="263"/>
      <c r="BM9" s="263"/>
      <c r="BN9" s="263"/>
      <c r="BO9" s="264">
        <v>1.47</v>
      </c>
      <c r="BP9" s="264"/>
      <c r="BQ9" s="264"/>
      <c r="BR9" s="259"/>
      <c r="BS9" s="264">
        <f t="shared" si="12"/>
        <v>1.47</v>
      </c>
      <c r="BT9" s="264"/>
      <c r="BU9" s="264"/>
      <c r="BV9" s="264"/>
      <c r="BW9" s="264"/>
      <c r="BX9" s="264"/>
      <c r="BY9" s="264">
        <f t="shared" si="13"/>
        <v>0</v>
      </c>
      <c r="BZ9" s="429">
        <f t="shared" si="14"/>
        <v>73.999999999999986</v>
      </c>
      <c r="CA9" s="429">
        <f t="shared" si="15"/>
        <v>5.9399999999999995</v>
      </c>
      <c r="CB9" s="431"/>
    </row>
    <row r="10" spans="1:80" s="5" customFormat="1" ht="12" thickBot="1">
      <c r="A10" s="478">
        <f>'1-συμβολαια'!A10</f>
        <v>0</v>
      </c>
      <c r="B10" s="543" t="str">
        <f>'1-συμβολαια'!C10</f>
        <v>χρησικτησία αγροτεμάχιο 279 = 27/7/87 πατρός ΚΛΗΡΟΝΟΜΙΑ άτυπος</v>
      </c>
      <c r="C10" s="544">
        <f>'5-αντίγρ'!AN10</f>
        <v>0</v>
      </c>
      <c r="D10" s="544">
        <f>'5-αντίγρ'!AM10</f>
        <v>0</v>
      </c>
      <c r="E10" s="545">
        <f>'6-μεταγρ'!P10</f>
        <v>0</v>
      </c>
      <c r="F10" s="545">
        <f>'6-μεταγρ'!N10+'6-μεταγρ'!O10</f>
        <v>3.96</v>
      </c>
      <c r="G10" s="545"/>
      <c r="H10" s="545">
        <f>'7-προςΔΟΥ'!V10</f>
        <v>64.309999999999988</v>
      </c>
      <c r="I10" s="545">
        <f>'7-προςΔΟΥ'!K10</f>
        <v>1.98</v>
      </c>
      <c r="J10" s="545"/>
      <c r="K10" s="545"/>
      <c r="L10" s="545"/>
      <c r="M10" s="545"/>
      <c r="N10" s="545"/>
      <c r="O10" s="545"/>
      <c r="P10" s="545"/>
      <c r="Q10" s="545"/>
      <c r="R10" s="545"/>
      <c r="S10" s="545"/>
      <c r="T10" s="545"/>
      <c r="U10" s="545"/>
      <c r="V10" s="545"/>
      <c r="W10" s="545"/>
      <c r="X10" s="545"/>
      <c r="Y10" s="545"/>
      <c r="Z10" s="545"/>
      <c r="AA10" s="545"/>
      <c r="AB10" s="545"/>
      <c r="AC10" s="545"/>
      <c r="AD10" s="545"/>
      <c r="AE10" s="545"/>
      <c r="AF10" s="545">
        <f t="shared" si="8"/>
        <v>0</v>
      </c>
      <c r="AG10" s="546"/>
      <c r="AH10" s="545">
        <v>3.23</v>
      </c>
      <c r="AI10" s="545">
        <v>3.23</v>
      </c>
      <c r="AJ10" s="545"/>
      <c r="AK10" s="545"/>
      <c r="AL10" s="545"/>
      <c r="AM10" s="545"/>
      <c r="AN10" s="545"/>
      <c r="AO10" s="545"/>
      <c r="AP10" s="545"/>
      <c r="AQ10" s="545">
        <v>3.23</v>
      </c>
      <c r="AR10" s="545"/>
      <c r="AS10" s="545"/>
      <c r="AT10" s="545"/>
      <c r="AU10" s="545"/>
      <c r="AV10" s="546"/>
      <c r="AW10" s="545">
        <f t="shared" si="9"/>
        <v>9.69</v>
      </c>
      <c r="AX10" s="545"/>
      <c r="AY10" s="546"/>
      <c r="AZ10" s="545"/>
      <c r="BA10" s="546"/>
      <c r="BB10" s="546"/>
      <c r="BC10" s="545">
        <f t="shared" si="10"/>
        <v>0</v>
      </c>
      <c r="BD10" s="546"/>
      <c r="BE10" s="546"/>
      <c r="BF10" s="546"/>
      <c r="BG10" s="546">
        <f t="shared" si="11"/>
        <v>0</v>
      </c>
      <c r="BH10" s="546"/>
      <c r="BI10" s="546"/>
      <c r="BJ10" s="546"/>
      <c r="BK10" s="546"/>
      <c r="BL10" s="546"/>
      <c r="BM10" s="546"/>
      <c r="BN10" s="546"/>
      <c r="BO10" s="545">
        <v>1.47</v>
      </c>
      <c r="BP10" s="545"/>
      <c r="BQ10" s="545"/>
      <c r="BR10" s="519"/>
      <c r="BS10" s="545">
        <f t="shared" si="12"/>
        <v>1.47</v>
      </c>
      <c r="BT10" s="545"/>
      <c r="BU10" s="545"/>
      <c r="BV10" s="545"/>
      <c r="BW10" s="545"/>
      <c r="BX10" s="545"/>
      <c r="BY10" s="545">
        <f t="shared" si="13"/>
        <v>0</v>
      </c>
      <c r="BZ10" s="641">
        <f t="shared" si="14"/>
        <v>73.999999999999986</v>
      </c>
      <c r="CA10" s="641">
        <f t="shared" si="15"/>
        <v>5.9399999999999995</v>
      </c>
      <c r="CB10" s="552"/>
    </row>
    <row r="11" spans="1:80" s="5" customFormat="1" ht="12" thickBot="1">
      <c r="A11" s="480" t="str">
        <f>'1-συμβολαια'!A11</f>
        <v>3ο</v>
      </c>
      <c r="B11" s="566" t="str">
        <f>'1-συμβολαια'!C11</f>
        <v>κάθετος ΣΥΣΤΑΣΗ</v>
      </c>
      <c r="C11" s="589">
        <f>'5-αντίγρ'!AN11</f>
        <v>19.18</v>
      </c>
      <c r="D11" s="589">
        <f>'5-αντίγρ'!AM11</f>
        <v>3.96</v>
      </c>
      <c r="E11" s="635">
        <f>'6-μεταγρ'!P11</f>
        <v>14.8</v>
      </c>
      <c r="F11" s="635">
        <f>'6-μεταγρ'!N11+'6-μεταγρ'!O11</f>
        <v>11.879999999999999</v>
      </c>
      <c r="G11" s="635"/>
      <c r="H11" s="635">
        <f>'7-προςΔΟΥ'!V11</f>
        <v>246.36999999999998</v>
      </c>
      <c r="I11" s="635">
        <f>'7-προςΔΟΥ'!K11</f>
        <v>1.98</v>
      </c>
      <c r="J11" s="634"/>
      <c r="K11" s="634">
        <v>3.23</v>
      </c>
      <c r="L11" s="634">
        <v>3.23</v>
      </c>
      <c r="M11" s="634"/>
      <c r="N11" s="634"/>
      <c r="O11" s="634"/>
      <c r="P11" s="634">
        <v>3.23</v>
      </c>
      <c r="Q11" s="634">
        <v>6.46</v>
      </c>
      <c r="R11" s="634">
        <v>3.23</v>
      </c>
      <c r="S11" s="634">
        <v>3.23</v>
      </c>
      <c r="T11" s="634"/>
      <c r="U11" s="634"/>
      <c r="V11" s="634">
        <v>3.23</v>
      </c>
      <c r="W11" s="634"/>
      <c r="X11" s="634"/>
      <c r="Y11" s="634"/>
      <c r="Z11" s="634"/>
      <c r="AA11" s="634"/>
      <c r="AB11" s="634"/>
      <c r="AC11" s="634"/>
      <c r="AD11" s="634"/>
      <c r="AE11" s="634"/>
      <c r="AF11" s="634">
        <f t="shared" si="8"/>
        <v>25.84</v>
      </c>
      <c r="AG11" s="636"/>
      <c r="AH11" s="634">
        <v>3.23</v>
      </c>
      <c r="AI11" s="634"/>
      <c r="AJ11" s="634">
        <v>3.23</v>
      </c>
      <c r="AK11" s="634">
        <v>6.46</v>
      </c>
      <c r="AL11" s="634"/>
      <c r="AM11" s="634"/>
      <c r="AN11" s="634"/>
      <c r="AO11" s="634"/>
      <c r="AP11" s="634"/>
      <c r="AQ11" s="634">
        <v>6.46</v>
      </c>
      <c r="AR11" s="634"/>
      <c r="AS11" s="634"/>
      <c r="AT11" s="634"/>
      <c r="AU11" s="634"/>
      <c r="AV11" s="636"/>
      <c r="AW11" s="634">
        <f t="shared" si="9"/>
        <v>19.38</v>
      </c>
      <c r="AX11" s="634">
        <f>5.87+3.23</f>
        <v>9.1</v>
      </c>
      <c r="AY11" s="636"/>
      <c r="AZ11" s="634">
        <f>5.87+3.23</f>
        <v>9.1</v>
      </c>
      <c r="BA11" s="636"/>
      <c r="BB11" s="636"/>
      <c r="BC11" s="634">
        <f t="shared" si="10"/>
        <v>18.2</v>
      </c>
      <c r="BD11" s="636"/>
      <c r="BE11" s="636"/>
      <c r="BF11" s="636"/>
      <c r="BG11" s="636">
        <f t="shared" si="11"/>
        <v>0</v>
      </c>
      <c r="BH11" s="639"/>
      <c r="BI11" s="639"/>
      <c r="BJ11" s="639"/>
      <c r="BK11" s="639"/>
      <c r="BL11" s="639"/>
      <c r="BM11" s="639"/>
      <c r="BN11" s="639"/>
      <c r="BO11" s="635">
        <v>1.47</v>
      </c>
      <c r="BP11" s="635">
        <v>0.3</v>
      </c>
      <c r="BQ11" s="635">
        <v>0.3</v>
      </c>
      <c r="BR11" s="640"/>
      <c r="BS11" s="635">
        <f t="shared" si="12"/>
        <v>2.0699999999999998</v>
      </c>
      <c r="BT11" s="634"/>
      <c r="BU11" s="634"/>
      <c r="BV11" s="634"/>
      <c r="BW11" s="634"/>
      <c r="BX11" s="634"/>
      <c r="BY11" s="634">
        <f t="shared" si="13"/>
        <v>0</v>
      </c>
      <c r="BZ11" s="642">
        <f t="shared" si="14"/>
        <v>329.56999999999988</v>
      </c>
      <c r="CA11" s="642">
        <f t="shared" si="15"/>
        <v>17.82</v>
      </c>
      <c r="CB11" s="366"/>
    </row>
    <row r="12" spans="1:80" s="5" customFormat="1" ht="12" thickBot="1">
      <c r="A12" s="562" t="str">
        <f>'1-συμβολαια'!A12</f>
        <v>4ο</v>
      </c>
      <c r="B12" s="564" t="str">
        <f>'1-συμβολαια'!C12</f>
        <v>γονική ΨΙΛΗΣ ΚΥΡΙΟΤΗΤΑΣ</v>
      </c>
      <c r="C12" s="580">
        <f>'5-αντίγρ'!AN12</f>
        <v>59.12</v>
      </c>
      <c r="D12" s="580">
        <f>'5-αντίγρ'!AM12</f>
        <v>3.96</v>
      </c>
      <c r="E12" s="634">
        <f>'6-μεταγρ'!P12</f>
        <v>0</v>
      </c>
      <c r="F12" s="634">
        <f>'6-μεταγρ'!N12+'6-μεταγρ'!O12</f>
        <v>3.96</v>
      </c>
      <c r="G12" s="634"/>
      <c r="H12" s="634">
        <f>'7-προςΔΟΥ'!V12</f>
        <v>115.7</v>
      </c>
      <c r="I12" s="634">
        <f>'7-προςΔΟΥ'!K12</f>
        <v>1.98</v>
      </c>
      <c r="J12" s="634"/>
      <c r="K12" s="634">
        <v>3.23</v>
      </c>
      <c r="L12" s="634">
        <v>3.23</v>
      </c>
      <c r="M12" s="634"/>
      <c r="N12" s="634"/>
      <c r="O12" s="634">
        <v>3.23</v>
      </c>
      <c r="P12" s="634">
        <v>3.23</v>
      </c>
      <c r="Q12" s="634">
        <v>3.23</v>
      </c>
      <c r="R12" s="634">
        <v>3.23</v>
      </c>
      <c r="S12" s="634">
        <v>3.23</v>
      </c>
      <c r="T12" s="634">
        <v>3.23</v>
      </c>
      <c r="U12" s="634"/>
      <c r="V12" s="634">
        <v>3.23</v>
      </c>
      <c r="W12" s="634"/>
      <c r="X12" s="634"/>
      <c r="Y12" s="634"/>
      <c r="Z12" s="634"/>
      <c r="AA12" s="634"/>
      <c r="AB12" s="634"/>
      <c r="AC12" s="634"/>
      <c r="AD12" s="634"/>
      <c r="AE12" s="634"/>
      <c r="AF12" s="634">
        <f t="shared" si="8"/>
        <v>29.07</v>
      </c>
      <c r="AG12" s="636"/>
      <c r="AH12" s="634">
        <v>6.46</v>
      </c>
      <c r="AI12" s="634"/>
      <c r="AJ12" s="634">
        <v>6.46</v>
      </c>
      <c r="AK12" s="634">
        <v>3.23</v>
      </c>
      <c r="AL12" s="634"/>
      <c r="AM12" s="634">
        <v>3.23</v>
      </c>
      <c r="AN12" s="634"/>
      <c r="AO12" s="634"/>
      <c r="AP12" s="634">
        <v>3.23</v>
      </c>
      <c r="AQ12" s="634">
        <v>3.23</v>
      </c>
      <c r="AR12" s="634"/>
      <c r="AS12" s="634"/>
      <c r="AT12" s="634"/>
      <c r="AU12" s="634"/>
      <c r="AV12" s="636"/>
      <c r="AW12" s="634">
        <f t="shared" si="9"/>
        <v>25.84</v>
      </c>
      <c r="AX12" s="634">
        <f>2*3.23+5.87</f>
        <v>12.33</v>
      </c>
      <c r="AY12" s="636"/>
      <c r="AZ12" s="634">
        <f>2*3.23+5.87</f>
        <v>12.33</v>
      </c>
      <c r="BA12" s="636"/>
      <c r="BB12" s="636"/>
      <c r="BC12" s="634">
        <f t="shared" si="10"/>
        <v>24.66</v>
      </c>
      <c r="BD12" s="636"/>
      <c r="BE12" s="636"/>
      <c r="BF12" s="636"/>
      <c r="BG12" s="636">
        <f t="shared" si="11"/>
        <v>0</v>
      </c>
      <c r="BH12" s="636"/>
      <c r="BI12" s="636"/>
      <c r="BJ12" s="636"/>
      <c r="BK12" s="636"/>
      <c r="BL12" s="636"/>
      <c r="BM12" s="636"/>
      <c r="BN12" s="636"/>
      <c r="BO12" s="634">
        <v>1.47</v>
      </c>
      <c r="BP12" s="634">
        <v>0.3</v>
      </c>
      <c r="BQ12" s="634">
        <v>0.6</v>
      </c>
      <c r="BR12" s="638"/>
      <c r="BS12" s="634">
        <f t="shared" si="12"/>
        <v>2.37</v>
      </c>
      <c r="BT12" s="634"/>
      <c r="BU12" s="634"/>
      <c r="BV12" s="634"/>
      <c r="BW12" s="634"/>
      <c r="BX12" s="634"/>
      <c r="BY12" s="634">
        <f t="shared" si="13"/>
        <v>0</v>
      </c>
      <c r="BZ12" s="642">
        <f t="shared" si="14"/>
        <v>255.29</v>
      </c>
      <c r="CA12" s="642">
        <f t="shared" si="15"/>
        <v>9.9</v>
      </c>
      <c r="CB12" s="431"/>
    </row>
    <row r="13" spans="1:80" s="5" customFormat="1" ht="12" thickBot="1">
      <c r="A13" s="562" t="str">
        <f>'1-συμβολαια'!A13</f>
        <v>5ο</v>
      </c>
      <c r="B13" s="564" t="str">
        <f>'1-συμβολαια'!C13</f>
        <v>πληρεξούσιο</v>
      </c>
      <c r="C13" s="580">
        <f>'5-αντίγρ'!AN13</f>
        <v>0</v>
      </c>
      <c r="D13" s="580">
        <f>'5-αντίγρ'!AM13</f>
        <v>0</v>
      </c>
      <c r="E13" s="634">
        <f>'6-μεταγρ'!P13</f>
        <v>0</v>
      </c>
      <c r="F13" s="634">
        <f>'6-μεταγρ'!N13+'6-μεταγρ'!O13</f>
        <v>0</v>
      </c>
      <c r="G13" s="634"/>
      <c r="H13" s="634">
        <f>'7-προςΔΟΥ'!V13</f>
        <v>0</v>
      </c>
      <c r="I13" s="634">
        <f>'7-προςΔΟΥ'!K13</f>
        <v>0</v>
      </c>
      <c r="J13" s="634"/>
      <c r="K13" s="634"/>
      <c r="L13" s="634"/>
      <c r="M13" s="634"/>
      <c r="N13" s="634"/>
      <c r="O13" s="634"/>
      <c r="P13" s="634"/>
      <c r="Q13" s="634"/>
      <c r="R13" s="634"/>
      <c r="S13" s="634"/>
      <c r="T13" s="634"/>
      <c r="U13" s="634"/>
      <c r="V13" s="634"/>
      <c r="W13" s="634"/>
      <c r="X13" s="634"/>
      <c r="Y13" s="634"/>
      <c r="Z13" s="634"/>
      <c r="AA13" s="634"/>
      <c r="AB13" s="634"/>
      <c r="AC13" s="634"/>
      <c r="AD13" s="634"/>
      <c r="AE13" s="634"/>
      <c r="AF13" s="634">
        <f t="shared" si="8"/>
        <v>0</v>
      </c>
      <c r="AG13" s="636"/>
      <c r="AH13" s="634"/>
      <c r="AI13" s="634"/>
      <c r="AJ13" s="634"/>
      <c r="AK13" s="634"/>
      <c r="AL13" s="634"/>
      <c r="AM13" s="634"/>
      <c r="AN13" s="634"/>
      <c r="AO13" s="634"/>
      <c r="AP13" s="634"/>
      <c r="AQ13" s="634"/>
      <c r="AR13" s="634"/>
      <c r="AS13" s="634"/>
      <c r="AT13" s="634"/>
      <c r="AU13" s="634"/>
      <c r="AV13" s="636"/>
      <c r="AW13" s="634">
        <f t="shared" si="9"/>
        <v>0</v>
      </c>
      <c r="AX13" s="634"/>
      <c r="AY13" s="636"/>
      <c r="AZ13" s="634"/>
      <c r="BA13" s="636"/>
      <c r="BB13" s="636"/>
      <c r="BC13" s="634">
        <f t="shared" si="10"/>
        <v>0</v>
      </c>
      <c r="BD13" s="636"/>
      <c r="BE13" s="636"/>
      <c r="BF13" s="636"/>
      <c r="BG13" s="636">
        <f t="shared" si="11"/>
        <v>0</v>
      </c>
      <c r="BH13" s="636"/>
      <c r="BI13" s="636"/>
      <c r="BJ13" s="636"/>
      <c r="BK13" s="636"/>
      <c r="BL13" s="636"/>
      <c r="BM13" s="636"/>
      <c r="BN13" s="636"/>
      <c r="BO13" s="634"/>
      <c r="BP13" s="634"/>
      <c r="BQ13" s="634">
        <v>0.6</v>
      </c>
      <c r="BR13" s="638"/>
      <c r="BS13" s="634">
        <f t="shared" si="12"/>
        <v>0.6</v>
      </c>
      <c r="BT13" s="634"/>
      <c r="BU13" s="634"/>
      <c r="BV13" s="634"/>
      <c r="BW13" s="634"/>
      <c r="BX13" s="634"/>
      <c r="BY13" s="634">
        <f t="shared" si="13"/>
        <v>0</v>
      </c>
      <c r="BZ13" s="642">
        <f t="shared" si="14"/>
        <v>0.6</v>
      </c>
      <c r="CA13" s="642">
        <f t="shared" si="15"/>
        <v>0</v>
      </c>
      <c r="CB13" s="552"/>
    </row>
    <row r="14" spans="1:80" s="5" customFormat="1">
      <c r="A14" s="672" t="str">
        <f>'1-συμβολαια'!A14</f>
        <v>6ο</v>
      </c>
      <c r="B14" s="541" t="str">
        <f>'1-συμβολαια'!C14</f>
        <v>μίσθωση αγροτεμαχίων 15 έτη { έως 19/1/2019 }</v>
      </c>
      <c r="C14" s="406">
        <f>'5-αντίγρ'!AN14</f>
        <v>49.92</v>
      </c>
      <c r="D14" s="406">
        <f>'5-αντίγρ'!AM14</f>
        <v>5.9399999999999995</v>
      </c>
      <c r="E14" s="300">
        <f>'6-μεταγρ'!P14</f>
        <v>14.8</v>
      </c>
      <c r="F14" s="300">
        <f>'6-μεταγρ'!N14+'6-μεταγρ'!O14</f>
        <v>3.96</v>
      </c>
      <c r="G14" s="300"/>
      <c r="H14" s="300">
        <f>'7-προςΔΟΥ'!V14</f>
        <v>0</v>
      </c>
      <c r="I14" s="300">
        <f>'7-προςΔΟΥ'!K14</f>
        <v>0</v>
      </c>
      <c r="J14" s="300">
        <f>5.87+5.87+14*3.23</f>
        <v>56.96</v>
      </c>
      <c r="K14" s="300"/>
      <c r="L14" s="300"/>
      <c r="M14" s="300"/>
      <c r="N14" s="300"/>
      <c r="O14" s="300"/>
      <c r="P14" s="300"/>
      <c r="Q14" s="300"/>
      <c r="R14" s="300"/>
      <c r="S14" s="300">
        <v>3.23</v>
      </c>
      <c r="T14" s="300">
        <v>3.23</v>
      </c>
      <c r="U14" s="300">
        <v>3.23</v>
      </c>
      <c r="V14" s="300"/>
      <c r="W14" s="300"/>
      <c r="X14" s="300"/>
      <c r="Y14" s="300"/>
      <c r="Z14" s="300"/>
      <c r="AA14" s="300"/>
      <c r="AB14" s="300"/>
      <c r="AC14" s="300"/>
      <c r="AD14" s="300"/>
      <c r="AE14" s="300"/>
      <c r="AF14" s="300">
        <f t="shared" si="8"/>
        <v>66.649999999999991</v>
      </c>
      <c r="AG14" s="542"/>
      <c r="AH14" s="300">
        <v>6.26</v>
      </c>
      <c r="AI14" s="300">
        <v>6.26</v>
      </c>
      <c r="AJ14" s="300">
        <v>6.26</v>
      </c>
      <c r="AK14" s="300"/>
      <c r="AL14" s="300"/>
      <c r="AM14" s="300">
        <v>6.26</v>
      </c>
      <c r="AN14" s="300"/>
      <c r="AO14" s="300">
        <v>6.26</v>
      </c>
      <c r="AP14" s="300"/>
      <c r="AQ14" s="300">
        <v>6.26</v>
      </c>
      <c r="AR14" s="300"/>
      <c r="AS14" s="300"/>
      <c r="AT14" s="300"/>
      <c r="AU14" s="300"/>
      <c r="AV14" s="542"/>
      <c r="AW14" s="300">
        <f t="shared" si="9"/>
        <v>37.559999999999995</v>
      </c>
      <c r="AX14" s="300">
        <f>5.87+2*3.23</f>
        <v>12.33</v>
      </c>
      <c r="AY14" s="542"/>
      <c r="AZ14" s="300">
        <f>5.87+2*3.23</f>
        <v>12.33</v>
      </c>
      <c r="BA14" s="542"/>
      <c r="BB14" s="542"/>
      <c r="BC14" s="300">
        <f t="shared" si="10"/>
        <v>24.66</v>
      </c>
      <c r="BD14" s="542"/>
      <c r="BE14" s="542"/>
      <c r="BF14" s="300">
        <f>5.87+3.23</f>
        <v>9.1</v>
      </c>
      <c r="BG14" s="300">
        <f t="shared" si="11"/>
        <v>9.1</v>
      </c>
      <c r="BH14" s="542"/>
      <c r="BI14" s="542"/>
      <c r="BJ14" s="542"/>
      <c r="BK14" s="542"/>
      <c r="BL14" s="542"/>
      <c r="BM14" s="542"/>
      <c r="BN14" s="542"/>
      <c r="BO14" s="300">
        <f>14*1.47</f>
        <v>20.58</v>
      </c>
      <c r="BP14" s="300">
        <v>0.3</v>
      </c>
      <c r="BQ14" s="300">
        <v>0.6</v>
      </c>
      <c r="BR14" s="517"/>
      <c r="BS14" s="300">
        <f t="shared" si="12"/>
        <v>21.48</v>
      </c>
      <c r="BT14" s="300"/>
      <c r="BU14" s="300"/>
      <c r="BV14" s="300"/>
      <c r="BW14" s="300"/>
      <c r="BX14" s="300"/>
      <c r="BY14" s="300">
        <f t="shared" si="13"/>
        <v>0</v>
      </c>
      <c r="BZ14" s="365">
        <f t="shared" si="14"/>
        <v>188.78999999999996</v>
      </c>
      <c r="CA14" s="365">
        <f t="shared" si="15"/>
        <v>9.8999999999999986</v>
      </c>
      <c r="CB14" s="366"/>
    </row>
    <row r="15" spans="1:80" s="5" customFormat="1">
      <c r="A15" s="465">
        <f>'1-συμβολαια'!A15</f>
        <v>0</v>
      </c>
      <c r="B15" s="341" t="str">
        <f>'1-συμβολαια'!C15</f>
        <v>ΧΡΗΣΙΚΤΗΣΙΑ αγροτεμαχίων 2'-3' = 19?? ΑΝΑΔΑΣΜΟΣ</v>
      </c>
      <c r="C15" s="403">
        <f>'5-αντίγρ'!AN15</f>
        <v>0</v>
      </c>
      <c r="D15" s="403">
        <f>'5-αντίγρ'!AM15</f>
        <v>0</v>
      </c>
      <c r="E15" s="264">
        <f>'6-μεταγρ'!P15</f>
        <v>0</v>
      </c>
      <c r="F15" s="264">
        <f>'6-μεταγρ'!N15+'6-μεταγρ'!O15</f>
        <v>0</v>
      </c>
      <c r="G15" s="264"/>
      <c r="H15" s="264">
        <f>'7-προςΔΟΥ'!V15</f>
        <v>0</v>
      </c>
      <c r="I15" s="264">
        <f>'7-προςΔΟΥ'!K15</f>
        <v>0</v>
      </c>
      <c r="J15" s="264"/>
      <c r="K15" s="264"/>
      <c r="L15" s="264"/>
      <c r="M15" s="264"/>
      <c r="N15" s="264"/>
      <c r="O15" s="264"/>
      <c r="P15" s="264"/>
      <c r="Q15" s="264"/>
      <c r="R15" s="264"/>
      <c r="S15" s="264"/>
      <c r="T15" s="264"/>
      <c r="U15" s="264"/>
      <c r="V15" s="264"/>
      <c r="W15" s="264"/>
      <c r="X15" s="264"/>
      <c r="Y15" s="264"/>
      <c r="Z15" s="264"/>
      <c r="AA15" s="264"/>
      <c r="AB15" s="264"/>
      <c r="AC15" s="264"/>
      <c r="AD15" s="264"/>
      <c r="AE15" s="264"/>
      <c r="AF15" s="264">
        <f t="shared" ref="AF15" si="16">SUM(J15:AE15)</f>
        <v>0</v>
      </c>
      <c r="AG15" s="263"/>
      <c r="AH15" s="264"/>
      <c r="AI15" s="264"/>
      <c r="AJ15" s="264"/>
      <c r="AK15" s="264"/>
      <c r="AL15" s="264"/>
      <c r="AM15" s="264"/>
      <c r="AN15" s="264"/>
      <c r="AO15" s="264"/>
      <c r="AP15" s="264"/>
      <c r="AQ15" s="264"/>
      <c r="AR15" s="264"/>
      <c r="AS15" s="264"/>
      <c r="AT15" s="264"/>
      <c r="AU15" s="264"/>
      <c r="AV15" s="263"/>
      <c r="AW15" s="264">
        <f t="shared" ref="AW15" si="17">SUM(AH15:AV15)</f>
        <v>0</v>
      </c>
      <c r="AX15" s="264"/>
      <c r="AY15" s="263"/>
      <c r="AZ15" s="264"/>
      <c r="BA15" s="263"/>
      <c r="BB15" s="263"/>
      <c r="BC15" s="264">
        <f t="shared" ref="BC15" si="18">SUM(AX15:BB15)</f>
        <v>0</v>
      </c>
      <c r="BD15" s="263"/>
      <c r="BE15" s="263"/>
      <c r="BF15" s="264"/>
      <c r="BG15" s="264">
        <f t="shared" ref="BG15" si="19">SUM(BD15:BF15)</f>
        <v>0</v>
      </c>
      <c r="BH15" s="263"/>
      <c r="BI15" s="263"/>
      <c r="BJ15" s="263"/>
      <c r="BK15" s="263"/>
      <c r="BL15" s="263"/>
      <c r="BM15" s="263"/>
      <c r="BN15" s="263"/>
      <c r="BO15" s="264"/>
      <c r="BP15" s="264"/>
      <c r="BQ15" s="264"/>
      <c r="BR15" s="259"/>
      <c r="BS15" s="264">
        <f t="shared" ref="BS15" si="20">SUM(BH15:BR15)</f>
        <v>0</v>
      </c>
      <c r="BT15" s="264"/>
      <c r="BU15" s="264"/>
      <c r="BV15" s="264"/>
      <c r="BW15" s="264"/>
      <c r="BX15" s="264"/>
      <c r="BY15" s="264">
        <f t="shared" ref="BY15" si="21">BT15+BU15+BV15+BW15</f>
        <v>0</v>
      </c>
      <c r="BZ15" s="429">
        <f t="shared" ref="BZ15" si="22">C15+G15+H15+AF15-Z15+AW15+BC15+BG15+BS15-BO15+BY15-BW15</f>
        <v>0</v>
      </c>
      <c r="CA15" s="429">
        <f t="shared" ref="CA15" si="23">D15+F15+I15+AB15+BX15</f>
        <v>0</v>
      </c>
      <c r="CB15" s="431"/>
    </row>
    <row r="16" spans="1:80" s="5" customFormat="1">
      <c r="A16" s="465">
        <f>'1-συμβολαια'!A16</f>
        <v>0</v>
      </c>
      <c r="B16" s="341" t="str">
        <f>'1-συμβολαια'!C16</f>
        <v>ΧΡΗΣΙΚΤΗΣΙΑ αγροτεμαχίων υπόλοιπων 12 = πατρός 19?? ΔΩΡΕΕΣ &amp; ΚΛΗΡΟΝΟΜΙΕΣ άτυπες</v>
      </c>
      <c r="C16" s="403">
        <f>'5-αντίγρ'!AN16</f>
        <v>0</v>
      </c>
      <c r="D16" s="403">
        <f>'5-αντίγρ'!AM16</f>
        <v>0</v>
      </c>
      <c r="E16" s="264">
        <f>'6-μεταγρ'!P16</f>
        <v>0</v>
      </c>
      <c r="F16" s="264">
        <f>'6-μεταγρ'!N16+'6-μεταγρ'!O16</f>
        <v>0</v>
      </c>
      <c r="G16" s="264"/>
      <c r="H16" s="264">
        <f>'7-προςΔΟΥ'!V16</f>
        <v>0</v>
      </c>
      <c r="I16" s="264">
        <f>'7-προςΔΟΥ'!K16</f>
        <v>0</v>
      </c>
      <c r="J16" s="264"/>
      <c r="K16" s="264"/>
      <c r="L16" s="264"/>
      <c r="M16" s="264"/>
      <c r="N16" s="264"/>
      <c r="O16" s="264"/>
      <c r="P16" s="264"/>
      <c r="Q16" s="264"/>
      <c r="R16" s="264"/>
      <c r="S16" s="264"/>
      <c r="T16" s="264"/>
      <c r="U16" s="264"/>
      <c r="V16" s="264"/>
      <c r="W16" s="264"/>
      <c r="X16" s="264"/>
      <c r="Y16" s="264"/>
      <c r="Z16" s="264"/>
      <c r="AA16" s="264"/>
      <c r="AB16" s="264"/>
      <c r="AC16" s="264"/>
      <c r="AD16" s="264"/>
      <c r="AE16" s="264"/>
      <c r="AF16" s="264">
        <f t="shared" ref="AF16:AF21" si="24">SUM(J16:AE16)</f>
        <v>0</v>
      </c>
      <c r="AG16" s="263"/>
      <c r="AH16" s="264"/>
      <c r="AI16" s="264"/>
      <c r="AJ16" s="264"/>
      <c r="AK16" s="264"/>
      <c r="AL16" s="264"/>
      <c r="AM16" s="264"/>
      <c r="AN16" s="264"/>
      <c r="AO16" s="264"/>
      <c r="AP16" s="264"/>
      <c r="AQ16" s="264"/>
      <c r="AR16" s="264"/>
      <c r="AS16" s="264"/>
      <c r="AT16" s="264"/>
      <c r="AU16" s="264"/>
      <c r="AV16" s="263"/>
      <c r="AW16" s="264">
        <f t="shared" ref="AW16:AW21" si="25">SUM(AH16:AV16)</f>
        <v>0</v>
      </c>
      <c r="AX16" s="264"/>
      <c r="AY16" s="263"/>
      <c r="AZ16" s="264"/>
      <c r="BA16" s="263"/>
      <c r="BB16" s="263"/>
      <c r="BC16" s="264">
        <f t="shared" ref="BC16:BC21" si="26">SUM(AX16:BB16)</f>
        <v>0</v>
      </c>
      <c r="BD16" s="263"/>
      <c r="BE16" s="263"/>
      <c r="BF16" s="264"/>
      <c r="BG16" s="264">
        <f t="shared" ref="BG16:BG21" si="27">SUM(BD16:BF16)</f>
        <v>0</v>
      </c>
      <c r="BH16" s="263"/>
      <c r="BI16" s="263"/>
      <c r="BJ16" s="263"/>
      <c r="BK16" s="263"/>
      <c r="BL16" s="263"/>
      <c r="BM16" s="263"/>
      <c r="BN16" s="263"/>
      <c r="BO16" s="264"/>
      <c r="BP16" s="264"/>
      <c r="BQ16" s="264"/>
      <c r="BR16" s="259"/>
      <c r="BS16" s="264">
        <f t="shared" ref="BS16:BS21" si="28">SUM(BH16:BR16)</f>
        <v>0</v>
      </c>
      <c r="BT16" s="264"/>
      <c r="BU16" s="264"/>
      <c r="BV16" s="264"/>
      <c r="BW16" s="264"/>
      <c r="BX16" s="264"/>
      <c r="BY16" s="264">
        <f t="shared" ref="BY16:BY21" si="29">BT16+BU16+BV16+BW16</f>
        <v>0</v>
      </c>
      <c r="BZ16" s="429">
        <f t="shared" ref="BZ16:BZ21" si="30">C16+G16+H16+AF16-Z16+AW16+BC16+BG16+BS16-BO16+BY16-BW16</f>
        <v>0</v>
      </c>
      <c r="CA16" s="429">
        <f t="shared" ref="CA16:CA21" si="31">D16+F16+I16+AB16+BX16</f>
        <v>0</v>
      </c>
      <c r="CB16" s="431"/>
    </row>
    <row r="17" spans="1:80" s="5" customFormat="1" ht="12" thickBot="1">
      <c r="A17" s="467">
        <f>'1-συμβολαια'!A17</f>
        <v>0</v>
      </c>
      <c r="B17" s="543" t="str">
        <f>'1-συμβολαια'!C17</f>
        <v>μίσθωση = ΠΑΓΙΑ ως νέος αγρότης</v>
      </c>
      <c r="C17" s="544">
        <f>'5-αντίγρ'!AN17</f>
        <v>0</v>
      </c>
      <c r="D17" s="544">
        <f>'5-αντίγρ'!AM17</f>
        <v>0</v>
      </c>
      <c r="E17" s="545">
        <f>'6-μεταγρ'!P17</f>
        <v>0</v>
      </c>
      <c r="F17" s="545">
        <f>'6-μεταγρ'!N17+'6-μεταγρ'!O17</f>
        <v>0</v>
      </c>
      <c r="G17" s="545"/>
      <c r="H17" s="545">
        <f>'7-προςΔΟΥ'!V17</f>
        <v>0</v>
      </c>
      <c r="I17" s="545">
        <f>'7-προςΔΟΥ'!K17</f>
        <v>0</v>
      </c>
      <c r="J17" s="545"/>
      <c r="K17" s="545"/>
      <c r="L17" s="545"/>
      <c r="M17" s="545"/>
      <c r="N17" s="545"/>
      <c r="O17" s="545"/>
      <c r="P17" s="545"/>
      <c r="Q17" s="545"/>
      <c r="R17" s="545"/>
      <c r="S17" s="545"/>
      <c r="T17" s="545"/>
      <c r="U17" s="545"/>
      <c r="V17" s="545"/>
      <c r="W17" s="545"/>
      <c r="X17" s="545"/>
      <c r="Y17" s="545"/>
      <c r="Z17" s="545"/>
      <c r="AA17" s="545"/>
      <c r="AB17" s="545"/>
      <c r="AC17" s="545"/>
      <c r="AD17" s="545"/>
      <c r="AE17" s="545"/>
      <c r="AF17" s="545">
        <f t="shared" si="24"/>
        <v>0</v>
      </c>
      <c r="AG17" s="546"/>
      <c r="AH17" s="545"/>
      <c r="AI17" s="545"/>
      <c r="AJ17" s="545"/>
      <c r="AK17" s="545"/>
      <c r="AL17" s="545"/>
      <c r="AM17" s="545"/>
      <c r="AN17" s="545"/>
      <c r="AO17" s="545"/>
      <c r="AP17" s="545"/>
      <c r="AQ17" s="545"/>
      <c r="AR17" s="545"/>
      <c r="AS17" s="545"/>
      <c r="AT17" s="545"/>
      <c r="AU17" s="545"/>
      <c r="AV17" s="546"/>
      <c r="AW17" s="545">
        <f t="shared" si="25"/>
        <v>0</v>
      </c>
      <c r="AX17" s="545"/>
      <c r="AY17" s="546"/>
      <c r="AZ17" s="545"/>
      <c r="BA17" s="546"/>
      <c r="BB17" s="546"/>
      <c r="BC17" s="545">
        <f t="shared" si="26"/>
        <v>0</v>
      </c>
      <c r="BD17" s="546"/>
      <c r="BE17" s="546"/>
      <c r="BF17" s="545"/>
      <c r="BG17" s="545">
        <f t="shared" si="27"/>
        <v>0</v>
      </c>
      <c r="BH17" s="546"/>
      <c r="BI17" s="546"/>
      <c r="BJ17" s="546"/>
      <c r="BK17" s="546"/>
      <c r="BL17" s="546"/>
      <c r="BM17" s="546"/>
      <c r="BN17" s="546"/>
      <c r="BO17" s="545"/>
      <c r="BP17" s="545"/>
      <c r="BQ17" s="545"/>
      <c r="BR17" s="519"/>
      <c r="BS17" s="545">
        <f t="shared" si="28"/>
        <v>0</v>
      </c>
      <c r="BT17" s="545"/>
      <c r="BU17" s="545"/>
      <c r="BV17" s="545"/>
      <c r="BW17" s="545"/>
      <c r="BX17" s="545"/>
      <c r="BY17" s="545">
        <f t="shared" si="29"/>
        <v>0</v>
      </c>
      <c r="BZ17" s="641">
        <f t="shared" si="30"/>
        <v>0</v>
      </c>
      <c r="CA17" s="641">
        <f t="shared" si="31"/>
        <v>0</v>
      </c>
      <c r="CB17" s="552"/>
    </row>
    <row r="18" spans="1:80" s="5" customFormat="1" ht="12" thickBot="1">
      <c r="A18" s="480" t="str">
        <f>'1-συμβολαια'!A18</f>
        <v>7ο</v>
      </c>
      <c r="B18" s="566" t="str">
        <f>'1-συμβολαια'!C18</f>
        <v>*καθετου συστάσεως 2.539 ΔΙΟΡΘΩΣΗ</v>
      </c>
      <c r="C18" s="589">
        <f>'5-αντίγρ'!AN18</f>
        <v>35.239999999999995</v>
      </c>
      <c r="D18" s="589">
        <f>'5-αντίγρ'!AM18</f>
        <v>1.98</v>
      </c>
      <c r="E18" s="635">
        <f>'6-μεταγρ'!P18</f>
        <v>14.8</v>
      </c>
      <c r="F18" s="635">
        <f>'6-μεταγρ'!N18+'6-μεταγρ'!O18</f>
        <v>3.96</v>
      </c>
      <c r="G18" s="635"/>
      <c r="H18" s="635">
        <f>'7-προςΔΟΥ'!V18</f>
        <v>0</v>
      </c>
      <c r="I18" s="635">
        <f>'7-προςΔΟΥ'!K18</f>
        <v>0</v>
      </c>
      <c r="J18" s="635"/>
      <c r="K18" s="635"/>
      <c r="L18" s="635"/>
      <c r="M18" s="635"/>
      <c r="N18" s="635"/>
      <c r="O18" s="635"/>
      <c r="P18" s="635"/>
      <c r="Q18" s="635"/>
      <c r="R18" s="635"/>
      <c r="S18" s="635"/>
      <c r="T18" s="635"/>
      <c r="U18" s="635"/>
      <c r="V18" s="635"/>
      <c r="W18" s="635"/>
      <c r="X18" s="635"/>
      <c r="Y18" s="635"/>
      <c r="Z18" s="635"/>
      <c r="AA18" s="635"/>
      <c r="AB18" s="635"/>
      <c r="AC18" s="635"/>
      <c r="AD18" s="635"/>
      <c r="AE18" s="635"/>
      <c r="AF18" s="635">
        <f t="shared" si="24"/>
        <v>0</v>
      </c>
      <c r="AG18" s="639"/>
      <c r="AH18" s="635"/>
      <c r="AI18" s="635"/>
      <c r="AJ18" s="635"/>
      <c r="AK18" s="635"/>
      <c r="AL18" s="635"/>
      <c r="AM18" s="635"/>
      <c r="AN18" s="635"/>
      <c r="AO18" s="635"/>
      <c r="AP18" s="635"/>
      <c r="AQ18" s="635"/>
      <c r="AR18" s="635"/>
      <c r="AS18" s="635"/>
      <c r="AT18" s="635"/>
      <c r="AU18" s="635"/>
      <c r="AV18" s="639"/>
      <c r="AW18" s="635">
        <f t="shared" si="25"/>
        <v>0</v>
      </c>
      <c r="AX18" s="635"/>
      <c r="AY18" s="639"/>
      <c r="AZ18" s="635"/>
      <c r="BA18" s="639"/>
      <c r="BB18" s="639"/>
      <c r="BC18" s="635">
        <f t="shared" si="26"/>
        <v>0</v>
      </c>
      <c r="BD18" s="639"/>
      <c r="BE18" s="639"/>
      <c r="BF18" s="639"/>
      <c r="BG18" s="639">
        <f t="shared" si="27"/>
        <v>0</v>
      </c>
      <c r="BH18" s="639"/>
      <c r="BI18" s="639"/>
      <c r="BJ18" s="639"/>
      <c r="BK18" s="639"/>
      <c r="BL18" s="639"/>
      <c r="BM18" s="639"/>
      <c r="BN18" s="639"/>
      <c r="BO18" s="635"/>
      <c r="BP18" s="635"/>
      <c r="BQ18" s="635"/>
      <c r="BR18" s="640"/>
      <c r="BS18" s="635">
        <f t="shared" si="28"/>
        <v>0</v>
      </c>
      <c r="BT18" s="635"/>
      <c r="BU18" s="635"/>
      <c r="BV18" s="635"/>
      <c r="BW18" s="635"/>
      <c r="BX18" s="635"/>
      <c r="BY18" s="635">
        <f t="shared" si="29"/>
        <v>0</v>
      </c>
      <c r="BZ18" s="706">
        <f t="shared" si="30"/>
        <v>35.239999999999995</v>
      </c>
      <c r="CA18" s="706">
        <f t="shared" si="31"/>
        <v>5.9399999999999995</v>
      </c>
      <c r="CB18" s="669"/>
    </row>
    <row r="19" spans="1:80" s="5" customFormat="1" ht="12" thickBot="1">
      <c r="A19" s="480" t="str">
        <f>'1-συμβολαια'!A19</f>
        <v>8ο</v>
      </c>
      <c r="B19" s="566" t="str">
        <f>'1-συμβολαια'!C19</f>
        <v>*γονικής 2.540 ΔΙΟΡΘΩΣΗ</v>
      </c>
      <c r="C19" s="589">
        <f>'5-αντίγρ'!AN19</f>
        <v>64.31</v>
      </c>
      <c r="D19" s="589">
        <f>'5-αντίγρ'!AM19</f>
        <v>5.9399999999999995</v>
      </c>
      <c r="E19" s="635">
        <f>'6-μεταγρ'!P19</f>
        <v>0</v>
      </c>
      <c r="F19" s="635">
        <f>'6-μεταγρ'!N19+'6-μεταγρ'!O19</f>
        <v>3.96</v>
      </c>
      <c r="G19" s="635"/>
      <c r="H19" s="635">
        <f>'7-προςΔΟΥ'!V19</f>
        <v>0</v>
      </c>
      <c r="I19" s="635">
        <f>'7-προςΔΟΥ'!K19</f>
        <v>0</v>
      </c>
      <c r="J19" s="635"/>
      <c r="K19" s="635"/>
      <c r="L19" s="635"/>
      <c r="M19" s="635"/>
      <c r="N19" s="635"/>
      <c r="O19" s="635"/>
      <c r="P19" s="635"/>
      <c r="Q19" s="635"/>
      <c r="R19" s="635"/>
      <c r="S19" s="635"/>
      <c r="T19" s="635"/>
      <c r="U19" s="635"/>
      <c r="V19" s="635"/>
      <c r="W19" s="635"/>
      <c r="X19" s="635"/>
      <c r="Y19" s="635"/>
      <c r="Z19" s="635"/>
      <c r="AA19" s="635"/>
      <c r="AB19" s="635"/>
      <c r="AC19" s="635"/>
      <c r="AD19" s="635"/>
      <c r="AE19" s="635"/>
      <c r="AF19" s="635">
        <f t="shared" si="24"/>
        <v>0</v>
      </c>
      <c r="AG19" s="639"/>
      <c r="AH19" s="635"/>
      <c r="AI19" s="635"/>
      <c r="AJ19" s="635"/>
      <c r="AK19" s="635"/>
      <c r="AL19" s="635"/>
      <c r="AM19" s="635"/>
      <c r="AN19" s="635"/>
      <c r="AO19" s="635"/>
      <c r="AP19" s="635"/>
      <c r="AQ19" s="635"/>
      <c r="AR19" s="635"/>
      <c r="AS19" s="635"/>
      <c r="AT19" s="635"/>
      <c r="AU19" s="635"/>
      <c r="AV19" s="639"/>
      <c r="AW19" s="635">
        <f t="shared" si="25"/>
        <v>0</v>
      </c>
      <c r="AX19" s="635"/>
      <c r="AY19" s="639"/>
      <c r="AZ19" s="635"/>
      <c r="BA19" s="639"/>
      <c r="BB19" s="639"/>
      <c r="BC19" s="635">
        <f t="shared" si="26"/>
        <v>0</v>
      </c>
      <c r="BD19" s="639"/>
      <c r="BE19" s="639"/>
      <c r="BF19" s="639"/>
      <c r="BG19" s="639">
        <f t="shared" si="27"/>
        <v>0</v>
      </c>
      <c r="BH19" s="639"/>
      <c r="BI19" s="639"/>
      <c r="BJ19" s="639"/>
      <c r="BK19" s="639"/>
      <c r="BL19" s="639"/>
      <c r="BM19" s="639"/>
      <c r="BN19" s="639"/>
      <c r="BO19" s="635"/>
      <c r="BP19" s="635"/>
      <c r="BQ19" s="635"/>
      <c r="BR19" s="640"/>
      <c r="BS19" s="635">
        <f t="shared" si="28"/>
        <v>0</v>
      </c>
      <c r="BT19" s="635"/>
      <c r="BU19" s="635"/>
      <c r="BV19" s="635"/>
      <c r="BW19" s="635"/>
      <c r="BX19" s="635"/>
      <c r="BY19" s="635">
        <f t="shared" si="29"/>
        <v>0</v>
      </c>
      <c r="BZ19" s="706">
        <f t="shared" si="30"/>
        <v>64.31</v>
      </c>
      <c r="CA19" s="706">
        <f t="shared" si="31"/>
        <v>9.8999999999999986</v>
      </c>
      <c r="CB19" s="669"/>
    </row>
    <row r="20" spans="1:80" s="5" customFormat="1">
      <c r="A20" s="672" t="str">
        <f>'1-συμβολαια'!A20</f>
        <v>9ο</v>
      </c>
      <c r="B20" s="541" t="str">
        <f>'1-συμβολαια'!C20</f>
        <v>γονική</v>
      </c>
      <c r="C20" s="406">
        <f>'5-αντίγρ'!AN20</f>
        <v>37</v>
      </c>
      <c r="D20" s="406">
        <f>'5-αντίγρ'!AM20</f>
        <v>3.96</v>
      </c>
      <c r="E20" s="300">
        <f>'6-μεταγρ'!P20</f>
        <v>0</v>
      </c>
      <c r="F20" s="300">
        <f>'6-μεταγρ'!N20+'6-μεταγρ'!O20</f>
        <v>3.96</v>
      </c>
      <c r="G20" s="300"/>
      <c r="H20" s="300">
        <f>'7-προςΔΟΥ'!V20</f>
        <v>161.21</v>
      </c>
      <c r="I20" s="300">
        <f>'7-προςΔΟΥ'!K20</f>
        <v>1.98</v>
      </c>
      <c r="J20" s="300"/>
      <c r="K20" s="300">
        <v>14.97</v>
      </c>
      <c r="L20" s="300">
        <v>3.23</v>
      </c>
      <c r="M20" s="300">
        <v>3.23</v>
      </c>
      <c r="N20" s="300"/>
      <c r="O20" s="300">
        <v>3.23</v>
      </c>
      <c r="P20" s="300">
        <v>3.23</v>
      </c>
      <c r="Q20" s="300">
        <v>3.23</v>
      </c>
      <c r="R20" s="300">
        <v>3.23</v>
      </c>
      <c r="S20" s="300">
        <v>3.23</v>
      </c>
      <c r="T20" s="300">
        <v>3.23</v>
      </c>
      <c r="U20" s="300">
        <v>3.23</v>
      </c>
      <c r="V20" s="300">
        <v>3.23</v>
      </c>
      <c r="W20" s="300"/>
      <c r="X20" s="300"/>
      <c r="Y20" s="300"/>
      <c r="Z20" s="300"/>
      <c r="AA20" s="300"/>
      <c r="AB20" s="300"/>
      <c r="AC20" s="300"/>
      <c r="AD20" s="300"/>
      <c r="AE20" s="300"/>
      <c r="AF20" s="300">
        <f t="shared" si="24"/>
        <v>47.269999999999989</v>
      </c>
      <c r="AG20" s="542"/>
      <c r="AH20" s="300">
        <v>6.46</v>
      </c>
      <c r="AI20" s="300"/>
      <c r="AJ20" s="300">
        <f>3*3.23</f>
        <v>9.69</v>
      </c>
      <c r="AK20" s="300">
        <v>3.23</v>
      </c>
      <c r="AL20" s="300"/>
      <c r="AM20" s="300">
        <v>3.23</v>
      </c>
      <c r="AN20" s="300"/>
      <c r="AO20" s="300"/>
      <c r="AP20" s="300">
        <v>3.23</v>
      </c>
      <c r="AQ20" s="300">
        <v>9.69</v>
      </c>
      <c r="AR20" s="300"/>
      <c r="AS20" s="300"/>
      <c r="AT20" s="300"/>
      <c r="AU20" s="300"/>
      <c r="AV20" s="542"/>
      <c r="AW20" s="300">
        <f t="shared" si="25"/>
        <v>35.53</v>
      </c>
      <c r="AX20" s="300">
        <v>16.559999999999999</v>
      </c>
      <c r="AY20" s="542"/>
      <c r="AZ20" s="300">
        <v>16.559999999999999</v>
      </c>
      <c r="BA20" s="542"/>
      <c r="BB20" s="542"/>
      <c r="BC20" s="300">
        <f t="shared" si="26"/>
        <v>33.119999999999997</v>
      </c>
      <c r="BD20" s="542"/>
      <c r="BE20" s="542"/>
      <c r="BF20" s="542"/>
      <c r="BG20" s="542">
        <f t="shared" si="27"/>
        <v>0</v>
      </c>
      <c r="BH20" s="542"/>
      <c r="BI20" s="542"/>
      <c r="BJ20" s="542"/>
      <c r="BK20" s="542"/>
      <c r="BL20" s="542"/>
      <c r="BM20" s="542"/>
      <c r="BN20" s="542"/>
      <c r="BO20" s="300"/>
      <c r="BP20" s="300"/>
      <c r="BQ20" s="300"/>
      <c r="BR20" s="517"/>
      <c r="BS20" s="300">
        <f t="shared" si="28"/>
        <v>0</v>
      </c>
      <c r="BT20" s="300"/>
      <c r="BU20" s="300"/>
      <c r="BV20" s="300"/>
      <c r="BW20" s="300"/>
      <c r="BX20" s="300"/>
      <c r="BY20" s="300">
        <f t="shared" si="29"/>
        <v>0</v>
      </c>
      <c r="BZ20" s="365">
        <f t="shared" si="30"/>
        <v>314.13</v>
      </c>
      <c r="CA20" s="365">
        <f t="shared" si="31"/>
        <v>9.9</v>
      </c>
      <c r="CB20" s="366"/>
    </row>
    <row r="21" spans="1:80" s="5" customFormat="1" ht="12" thickBot="1">
      <c r="A21" s="467">
        <f>'1-συμβολαια'!A21</f>
        <v>0</v>
      </c>
      <c r="B21" s="543" t="str">
        <f>'1-συμβολαια'!C21</f>
        <v>ΧΡΗΣΙΚΤΗΣΙΑ οικοπέδου ΄΄κάστρο'' 52,50μ2 = 1970 κυδωνηςΙωαννης ΔΩΡΕΑ άτυπη</v>
      </c>
      <c r="C21" s="544">
        <f>'5-αντίγρ'!AN21</f>
        <v>0</v>
      </c>
      <c r="D21" s="544">
        <f>'5-αντίγρ'!AM21</f>
        <v>0</v>
      </c>
      <c r="E21" s="545">
        <f>'6-μεταγρ'!P21</f>
        <v>0</v>
      </c>
      <c r="F21" s="545">
        <f>'6-μεταγρ'!N21+'6-μεταγρ'!O21</f>
        <v>0</v>
      </c>
      <c r="G21" s="545"/>
      <c r="H21" s="545">
        <f>'7-προςΔΟΥ'!V21</f>
        <v>149.47</v>
      </c>
      <c r="I21" s="545">
        <f>'7-προςΔΟΥ'!K21</f>
        <v>1.98</v>
      </c>
      <c r="J21" s="545"/>
      <c r="K21" s="545"/>
      <c r="L21" s="545"/>
      <c r="M21" s="545"/>
      <c r="N21" s="545"/>
      <c r="O21" s="545"/>
      <c r="P21" s="545"/>
      <c r="Q21" s="545"/>
      <c r="R21" s="545"/>
      <c r="S21" s="545"/>
      <c r="T21" s="545"/>
      <c r="U21" s="545"/>
      <c r="V21" s="545"/>
      <c r="W21" s="545"/>
      <c r="X21" s="545"/>
      <c r="Y21" s="545"/>
      <c r="Z21" s="545"/>
      <c r="AA21" s="545"/>
      <c r="AB21" s="545"/>
      <c r="AC21" s="545"/>
      <c r="AD21" s="545"/>
      <c r="AE21" s="545"/>
      <c r="AF21" s="545">
        <f t="shared" si="24"/>
        <v>0</v>
      </c>
      <c r="AG21" s="546"/>
      <c r="AH21" s="545"/>
      <c r="AI21" s="545"/>
      <c r="AJ21" s="545"/>
      <c r="AK21" s="545"/>
      <c r="AL21" s="545"/>
      <c r="AM21" s="545"/>
      <c r="AN21" s="545"/>
      <c r="AO21" s="545"/>
      <c r="AP21" s="545"/>
      <c r="AQ21" s="545"/>
      <c r="AR21" s="545"/>
      <c r="AS21" s="545"/>
      <c r="AT21" s="545"/>
      <c r="AU21" s="545"/>
      <c r="AV21" s="546"/>
      <c r="AW21" s="545">
        <f t="shared" si="25"/>
        <v>0</v>
      </c>
      <c r="AX21" s="545"/>
      <c r="AY21" s="546"/>
      <c r="AZ21" s="545"/>
      <c r="BA21" s="546"/>
      <c r="BB21" s="546"/>
      <c r="BC21" s="545">
        <f t="shared" si="26"/>
        <v>0</v>
      </c>
      <c r="BD21" s="546"/>
      <c r="BE21" s="546"/>
      <c r="BF21" s="546"/>
      <c r="BG21" s="546">
        <f t="shared" si="27"/>
        <v>0</v>
      </c>
      <c r="BH21" s="546"/>
      <c r="BI21" s="546"/>
      <c r="BJ21" s="546"/>
      <c r="BK21" s="546"/>
      <c r="BL21" s="546"/>
      <c r="BM21" s="546"/>
      <c r="BN21" s="546"/>
      <c r="BO21" s="545"/>
      <c r="BP21" s="545"/>
      <c r="BQ21" s="545"/>
      <c r="BR21" s="519"/>
      <c r="BS21" s="545">
        <f t="shared" si="28"/>
        <v>0</v>
      </c>
      <c r="BT21" s="545"/>
      <c r="BU21" s="545"/>
      <c r="BV21" s="545"/>
      <c r="BW21" s="545"/>
      <c r="BX21" s="545"/>
      <c r="BY21" s="545">
        <f t="shared" si="29"/>
        <v>0</v>
      </c>
      <c r="BZ21" s="641">
        <f t="shared" si="30"/>
        <v>149.47</v>
      </c>
      <c r="CA21" s="641">
        <f t="shared" si="31"/>
        <v>1.98</v>
      </c>
      <c r="CB21" s="552"/>
    </row>
    <row r="22" spans="1:80">
      <c r="A22" s="713" t="s">
        <v>47</v>
      </c>
      <c r="B22" s="714"/>
      <c r="C22" s="395">
        <f t="shared" ref="C22:Q22" si="32">SUM(C3:C21)</f>
        <v>299.89999999999998</v>
      </c>
      <c r="D22" s="395">
        <f t="shared" si="32"/>
        <v>33.660000000000004</v>
      </c>
      <c r="E22" s="395">
        <f t="shared" si="32"/>
        <v>56.14</v>
      </c>
      <c r="F22" s="395">
        <f t="shared" si="32"/>
        <v>63.360000000000007</v>
      </c>
      <c r="G22" s="395">
        <f t="shared" si="32"/>
        <v>0</v>
      </c>
      <c r="H22" s="395">
        <f t="shared" si="32"/>
        <v>1798.01</v>
      </c>
      <c r="I22" s="395">
        <f t="shared" si="32"/>
        <v>23.76</v>
      </c>
      <c r="J22" s="395">
        <f t="shared" si="32"/>
        <v>93.36</v>
      </c>
      <c r="K22" s="395">
        <f t="shared" si="32"/>
        <v>27.89</v>
      </c>
      <c r="L22" s="395">
        <f t="shared" si="32"/>
        <v>16.149999999999999</v>
      </c>
      <c r="M22" s="395">
        <f t="shared" si="32"/>
        <v>3.23</v>
      </c>
      <c r="N22" s="395">
        <f t="shared" si="32"/>
        <v>3.23</v>
      </c>
      <c r="O22" s="395">
        <f t="shared" si="32"/>
        <v>6.46</v>
      </c>
      <c r="P22" s="395">
        <f t="shared" si="32"/>
        <v>16.149999999999999</v>
      </c>
      <c r="Q22" s="395">
        <f t="shared" si="32"/>
        <v>19.38</v>
      </c>
      <c r="R22" s="395"/>
      <c r="S22" s="395">
        <f t="shared" ref="S22:AF22" si="33">SUM(S3:S21)</f>
        <v>19.38</v>
      </c>
      <c r="T22" s="395">
        <f t="shared" si="33"/>
        <v>9.69</v>
      </c>
      <c r="U22" s="395">
        <f t="shared" si="33"/>
        <v>6.46</v>
      </c>
      <c r="V22" s="395">
        <f t="shared" si="33"/>
        <v>16.149999999999999</v>
      </c>
      <c r="W22" s="395">
        <f t="shared" si="33"/>
        <v>0</v>
      </c>
      <c r="X22" s="395">
        <f t="shared" si="33"/>
        <v>41.66</v>
      </c>
      <c r="Y22" s="395">
        <f t="shared" si="33"/>
        <v>29.94</v>
      </c>
      <c r="Z22" s="395">
        <f t="shared" si="33"/>
        <v>3.96</v>
      </c>
      <c r="AA22" s="395">
        <f t="shared" si="33"/>
        <v>0</v>
      </c>
      <c r="AB22" s="395">
        <f t="shared" si="33"/>
        <v>0</v>
      </c>
      <c r="AC22" s="395">
        <f t="shared" si="33"/>
        <v>0</v>
      </c>
      <c r="AD22" s="395">
        <f t="shared" si="33"/>
        <v>0</v>
      </c>
      <c r="AE22" s="395">
        <f t="shared" si="33"/>
        <v>0</v>
      </c>
      <c r="AF22" s="395">
        <f t="shared" si="33"/>
        <v>329.23999999999995</v>
      </c>
      <c r="AG22" s="395"/>
      <c r="AH22" s="395">
        <f>SUM(AH3:AH21)</f>
        <v>41.79</v>
      </c>
      <c r="AI22" s="395">
        <f>SUM(AI3:AI21)</f>
        <v>19.18</v>
      </c>
      <c r="AJ22" s="395">
        <f>SUM(AJ3:AJ21)</f>
        <v>32.099999999999994</v>
      </c>
      <c r="AK22" s="395">
        <f>SUM(AK3:AK21)</f>
        <v>19.38</v>
      </c>
      <c r="AL22" s="395">
        <f>SUM(AL3:AL21)</f>
        <v>0</v>
      </c>
      <c r="AM22" s="395"/>
      <c r="AN22" s="421">
        <f t="shared" ref="AN22:AT22" si="34">SUM(AN3:AN21)</f>
        <v>0</v>
      </c>
      <c r="AO22" s="395">
        <f t="shared" si="34"/>
        <v>6.26</v>
      </c>
      <c r="AP22" s="395">
        <f t="shared" si="34"/>
        <v>6.46</v>
      </c>
      <c r="AQ22" s="395">
        <f t="shared" si="34"/>
        <v>45.019999999999996</v>
      </c>
      <c r="AR22" s="395">
        <f t="shared" si="34"/>
        <v>0</v>
      </c>
      <c r="AS22" s="395">
        <f t="shared" si="34"/>
        <v>0</v>
      </c>
      <c r="AT22" s="395">
        <f t="shared" si="34"/>
        <v>0</v>
      </c>
      <c r="AU22" s="395"/>
      <c r="AV22" s="395">
        <f t="shared" ref="AV22:BS22" si="35">SUM(AV3:AV21)</f>
        <v>0</v>
      </c>
      <c r="AW22" s="395">
        <f t="shared" si="35"/>
        <v>182.91</v>
      </c>
      <c r="AX22" s="395">
        <f t="shared" si="35"/>
        <v>68.52</v>
      </c>
      <c r="AY22" s="422">
        <f t="shared" si="35"/>
        <v>0</v>
      </c>
      <c r="AZ22" s="395">
        <f t="shared" si="35"/>
        <v>68.52</v>
      </c>
      <c r="BA22" s="422">
        <f t="shared" si="35"/>
        <v>0</v>
      </c>
      <c r="BB22" s="422">
        <f t="shared" si="35"/>
        <v>0</v>
      </c>
      <c r="BC22" s="395">
        <f t="shared" si="35"/>
        <v>137.04</v>
      </c>
      <c r="BD22" s="395">
        <f t="shared" si="35"/>
        <v>0</v>
      </c>
      <c r="BE22" s="422">
        <f t="shared" si="35"/>
        <v>0</v>
      </c>
      <c r="BF22" s="395">
        <f t="shared" si="35"/>
        <v>9.1</v>
      </c>
      <c r="BG22" s="395">
        <f t="shared" si="35"/>
        <v>9.1</v>
      </c>
      <c r="BH22" s="395">
        <f t="shared" si="35"/>
        <v>0</v>
      </c>
      <c r="BI22" s="395">
        <f t="shared" si="35"/>
        <v>0</v>
      </c>
      <c r="BJ22" s="395">
        <f t="shared" si="35"/>
        <v>0</v>
      </c>
      <c r="BK22" s="395">
        <f t="shared" si="35"/>
        <v>0</v>
      </c>
      <c r="BL22" s="395">
        <f t="shared" si="35"/>
        <v>0</v>
      </c>
      <c r="BM22" s="395">
        <f t="shared" si="35"/>
        <v>0</v>
      </c>
      <c r="BN22" s="395">
        <f t="shared" si="35"/>
        <v>0</v>
      </c>
      <c r="BO22" s="395">
        <f t="shared" si="35"/>
        <v>32.340000000000003</v>
      </c>
      <c r="BP22" s="395">
        <f t="shared" si="35"/>
        <v>1.5</v>
      </c>
      <c r="BQ22" s="395">
        <f t="shared" si="35"/>
        <v>2.7</v>
      </c>
      <c r="BR22" s="395">
        <f t="shared" si="35"/>
        <v>0</v>
      </c>
      <c r="BS22" s="395">
        <f t="shared" si="35"/>
        <v>36.54</v>
      </c>
      <c r="BT22" s="395"/>
      <c r="BU22" s="395"/>
      <c r="BV22" s="395"/>
      <c r="BW22" s="395"/>
      <c r="BX22" s="395"/>
      <c r="BY22" s="395"/>
      <c r="BZ22" s="395">
        <f>SUM(BZ3:BZ21)</f>
        <v>2756.4399999999996</v>
      </c>
      <c r="CA22" s="395">
        <f>SUM(CA3:CA21)</f>
        <v>120.78000000000002</v>
      </c>
      <c r="CB22" s="422"/>
    </row>
    <row r="23" spans="1:80" ht="11.25" customHeight="1"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</row>
    <row r="24" spans="1:80" ht="11.25" customHeight="1">
      <c r="C24" s="118"/>
      <c r="D24" s="118"/>
      <c r="E24" s="2"/>
      <c r="F24" s="2"/>
      <c r="G24" s="2"/>
      <c r="H24" s="2"/>
      <c r="I24" s="2"/>
      <c r="J24" s="146" t="s">
        <v>539</v>
      </c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2"/>
      <c r="AG24" s="2"/>
      <c r="AH24" s="16" t="s">
        <v>542</v>
      </c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139" t="s">
        <v>182</v>
      </c>
      <c r="AY24" s="2"/>
      <c r="AZ24" s="2"/>
      <c r="BA24" s="2"/>
      <c r="BB24" s="2"/>
      <c r="BC24" s="2"/>
      <c r="BD24" s="139" t="s">
        <v>194</v>
      </c>
      <c r="BE24" s="2"/>
      <c r="BF24" s="2"/>
      <c r="BG24" s="2"/>
      <c r="BH24" s="139" t="s">
        <v>207</v>
      </c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 t="s">
        <v>501</v>
      </c>
      <c r="BU24" s="2"/>
      <c r="BV24" s="2"/>
      <c r="BW24" s="2"/>
      <c r="BX24" s="2"/>
      <c r="BY24" s="2"/>
      <c r="BZ24" s="2"/>
      <c r="CA24" s="2"/>
      <c r="CB24" s="2"/>
    </row>
    <row r="25" spans="1:80" ht="11.25" customHeight="1">
      <c r="C25" s="118"/>
      <c r="D25" s="118"/>
      <c r="E25" s="2"/>
      <c r="F25" s="2"/>
      <c r="G25" s="2"/>
      <c r="H25" s="2"/>
      <c r="I25" s="2"/>
      <c r="J25" s="4"/>
      <c r="K25" s="302" t="s">
        <v>540</v>
      </c>
      <c r="L25" s="303"/>
      <c r="M25" s="303"/>
      <c r="N25" s="303"/>
      <c r="O25" s="303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2"/>
      <c r="AG25" s="2"/>
      <c r="AH25" s="2"/>
      <c r="AI25" s="146" t="s">
        <v>178</v>
      </c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29" t="s">
        <v>185</v>
      </c>
      <c r="AZ25" s="2"/>
      <c r="BA25" s="2"/>
      <c r="BB25" s="2"/>
      <c r="BC25" s="2"/>
      <c r="BD25" s="2"/>
      <c r="BE25" s="228" t="s">
        <v>195</v>
      </c>
      <c r="BF25" s="2"/>
      <c r="BG25" s="2"/>
      <c r="BH25" s="2"/>
      <c r="BI25" s="157" t="s">
        <v>210</v>
      </c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 t="s">
        <v>502</v>
      </c>
      <c r="BV25" s="2"/>
      <c r="BW25" s="2"/>
      <c r="BX25" s="2"/>
      <c r="BY25" s="2"/>
      <c r="BZ25" s="2"/>
      <c r="CA25" s="2"/>
      <c r="CB25" s="2"/>
    </row>
    <row r="26" spans="1:80" ht="11.25" customHeight="1">
      <c r="A26" s="357" t="s">
        <v>617</v>
      </c>
      <c r="B26" s="8" t="s">
        <v>618</v>
      </c>
      <c r="C26" s="357" t="s">
        <v>617</v>
      </c>
      <c r="D26" s="2" t="s">
        <v>554</v>
      </c>
      <c r="E26" s="2"/>
      <c r="F26" s="2"/>
      <c r="G26" s="2"/>
      <c r="H26" s="357" t="s">
        <v>617</v>
      </c>
      <c r="I26" s="2" t="s">
        <v>554</v>
      </c>
      <c r="J26" s="4"/>
      <c r="K26" s="303"/>
      <c r="L26" s="302" t="s">
        <v>541</v>
      </c>
      <c r="M26" s="303"/>
      <c r="N26" s="303"/>
      <c r="O26" s="303"/>
      <c r="P26" s="4"/>
      <c r="Q26" s="4"/>
      <c r="R26" s="4"/>
      <c r="S26" s="4"/>
      <c r="T26" s="4"/>
      <c r="U26" s="4"/>
      <c r="V26" s="4"/>
      <c r="W26" s="4"/>
      <c r="X26" s="4" t="s">
        <v>585</v>
      </c>
      <c r="Y26" s="4" t="s">
        <v>586</v>
      </c>
      <c r="Z26" s="4"/>
      <c r="AA26" s="4"/>
      <c r="AB26" s="4"/>
      <c r="AC26" s="4"/>
      <c r="AD26" s="4"/>
      <c r="AE26" s="4"/>
      <c r="AF26" s="2"/>
      <c r="AG26" s="2"/>
      <c r="AH26" s="2"/>
      <c r="AI26" s="2"/>
      <c r="AJ26" s="16" t="s">
        <v>421</v>
      </c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4" t="s">
        <v>183</v>
      </c>
      <c r="BA26" s="2"/>
      <c r="BB26" s="2"/>
      <c r="BC26" s="2"/>
      <c r="BD26" s="2"/>
      <c r="BE26" s="2"/>
      <c r="BF26" s="139" t="s">
        <v>196</v>
      </c>
      <c r="BG26" s="2"/>
      <c r="BH26" s="2"/>
      <c r="BI26" s="2"/>
      <c r="BJ26" s="139" t="s">
        <v>211</v>
      </c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 t="s">
        <v>31</v>
      </c>
      <c r="BW26" s="2"/>
      <c r="BX26" s="2"/>
      <c r="BY26" s="2"/>
      <c r="BZ26" s="2"/>
      <c r="CA26" s="2"/>
      <c r="CB26" s="2"/>
    </row>
    <row r="27" spans="1:80" ht="11.25" customHeight="1">
      <c r="A27" s="357"/>
      <c r="B27" s="88" t="s">
        <v>550</v>
      </c>
      <c r="C27" s="592" t="s">
        <v>581</v>
      </c>
      <c r="D27" s="3"/>
      <c r="E27" s="2"/>
      <c r="F27" s="2"/>
      <c r="G27" s="2"/>
      <c r="H27" s="357"/>
      <c r="I27" s="2"/>
      <c r="J27" s="4"/>
      <c r="K27" s="303"/>
      <c r="L27" s="303"/>
      <c r="M27" s="303" t="s">
        <v>415</v>
      </c>
      <c r="N27" s="303"/>
      <c r="O27" s="303"/>
      <c r="P27" s="4"/>
      <c r="Q27" s="4"/>
      <c r="R27" s="4"/>
      <c r="S27" s="4"/>
      <c r="T27" s="4"/>
      <c r="U27" s="4"/>
      <c r="V27" s="4"/>
      <c r="W27" s="4"/>
      <c r="X27" s="4">
        <v>3.23</v>
      </c>
      <c r="Y27" s="4">
        <v>3.23</v>
      </c>
      <c r="Z27" s="4"/>
      <c r="AA27" s="4"/>
      <c r="AB27" s="4"/>
      <c r="AC27" s="4"/>
      <c r="AD27" s="4"/>
      <c r="AE27" s="4"/>
      <c r="AF27" s="2"/>
      <c r="AG27" s="2"/>
      <c r="AH27" s="2"/>
      <c r="AI27" s="2"/>
      <c r="AJ27" s="2"/>
      <c r="AK27" s="108" t="s">
        <v>422</v>
      </c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29" t="s">
        <v>184</v>
      </c>
      <c r="BB27" s="2"/>
      <c r="BC27" s="2"/>
      <c r="BD27" s="2"/>
      <c r="BE27" s="2"/>
      <c r="BF27" s="2"/>
      <c r="BG27" s="2"/>
      <c r="BH27" s="2"/>
      <c r="BI27" s="2"/>
      <c r="BJ27" s="2"/>
      <c r="BK27" s="157" t="s">
        <v>213</v>
      </c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 t="s">
        <v>503</v>
      </c>
      <c r="BX27" s="2"/>
      <c r="BY27" s="2"/>
      <c r="BZ27" s="2"/>
      <c r="CA27" s="2"/>
      <c r="CB27" s="2"/>
    </row>
    <row r="28" spans="1:80" ht="11.25" customHeight="1">
      <c r="A28" s="357"/>
      <c r="B28" s="435" t="s">
        <v>551</v>
      </c>
      <c r="C28" s="363"/>
      <c r="D28" s="3"/>
      <c r="E28" s="2"/>
      <c r="F28" s="2"/>
      <c r="G28" s="2"/>
      <c r="H28" s="357"/>
      <c r="I28" s="2"/>
      <c r="J28" s="4"/>
      <c r="K28" s="4"/>
      <c r="L28" s="4"/>
      <c r="M28" s="4"/>
      <c r="N28" s="4" t="s">
        <v>416</v>
      </c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2"/>
      <c r="AG28" s="2"/>
      <c r="AH28" s="2"/>
      <c r="AI28" s="2"/>
      <c r="AJ28" s="2"/>
      <c r="AK28" s="2"/>
      <c r="AL28" s="16" t="s">
        <v>579</v>
      </c>
      <c r="AM28" s="16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28" t="s">
        <v>191</v>
      </c>
      <c r="BC28" s="2"/>
      <c r="BD28" s="2"/>
      <c r="BE28" s="2"/>
      <c r="BF28" s="2"/>
      <c r="BG28" s="2"/>
      <c r="BH28" s="2"/>
      <c r="BI28" s="2"/>
      <c r="BJ28" s="2"/>
      <c r="BK28" s="2"/>
      <c r="BL28" s="139" t="s">
        <v>214</v>
      </c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 t="s">
        <v>59</v>
      </c>
      <c r="BY28" s="2"/>
      <c r="BZ28" s="3"/>
      <c r="CA28" s="3"/>
    </row>
    <row r="29" spans="1:80" ht="11.25" customHeight="1">
      <c r="A29" s="357"/>
      <c r="B29" s="435" t="s">
        <v>552</v>
      </c>
      <c r="C29" s="276"/>
      <c r="D29" s="3"/>
      <c r="E29" s="2"/>
      <c r="F29" s="2"/>
      <c r="G29" s="2"/>
      <c r="H29" s="357"/>
      <c r="I29" s="2"/>
      <c r="J29" s="4"/>
      <c r="K29" s="4"/>
      <c r="L29" s="4"/>
      <c r="M29" s="4"/>
      <c r="N29" s="4"/>
      <c r="O29" s="4" t="s">
        <v>466</v>
      </c>
      <c r="P29" s="4"/>
      <c r="Q29" s="4"/>
      <c r="R29" s="4"/>
      <c r="S29" s="4"/>
      <c r="T29" s="159"/>
      <c r="U29" s="159"/>
      <c r="V29" s="159"/>
      <c r="W29" s="4"/>
      <c r="X29" s="4"/>
      <c r="Y29" s="4"/>
      <c r="Z29" s="4"/>
      <c r="AA29" s="4"/>
      <c r="AB29" s="4"/>
      <c r="AC29" s="4"/>
      <c r="AD29" s="4"/>
      <c r="AE29" s="4"/>
      <c r="AF29" s="2"/>
      <c r="AG29" s="2"/>
      <c r="AH29" s="2"/>
      <c r="AI29" s="2"/>
      <c r="AJ29" s="2"/>
      <c r="AK29" s="2"/>
      <c r="AL29" s="2"/>
      <c r="AM29" s="2" t="s">
        <v>580</v>
      </c>
      <c r="AN29" s="146"/>
      <c r="AO29" s="108"/>
      <c r="AP29" s="108"/>
      <c r="AQ29" s="108"/>
      <c r="AR29" s="108"/>
      <c r="AS29" s="108"/>
      <c r="AT29" s="108"/>
      <c r="AU29" s="157"/>
      <c r="AV29" s="108"/>
      <c r="AW29" s="2"/>
      <c r="AX29" s="2"/>
      <c r="AY29" s="2"/>
      <c r="AZ29" s="2"/>
      <c r="BA29" s="2"/>
      <c r="BB29" s="2"/>
      <c r="BC29" s="2"/>
      <c r="BD29" s="2"/>
      <c r="BE29" s="2"/>
      <c r="BF29" s="139" t="s">
        <v>202</v>
      </c>
      <c r="BG29" s="2"/>
      <c r="BH29" s="2"/>
      <c r="BI29" s="2"/>
      <c r="BJ29" s="2"/>
      <c r="BK29" s="2"/>
      <c r="BL29" s="2"/>
      <c r="BM29" s="157" t="s">
        <v>215</v>
      </c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3"/>
      <c r="CA29" s="3"/>
    </row>
    <row r="30" spans="1:80" ht="11.25" customHeight="1">
      <c r="A30" s="357"/>
      <c r="B30" s="88" t="s">
        <v>619</v>
      </c>
      <c r="C30" s="276"/>
      <c r="D30" s="3"/>
      <c r="E30" s="2"/>
      <c r="F30" s="2"/>
      <c r="G30" s="2"/>
      <c r="H30" s="357"/>
      <c r="I30" s="2"/>
      <c r="J30" s="4"/>
      <c r="K30" s="4"/>
      <c r="L30" s="4"/>
      <c r="M30" s="4"/>
      <c r="N30" s="4"/>
      <c r="O30" s="4"/>
      <c r="P30" s="4" t="s">
        <v>488</v>
      </c>
      <c r="Q30" s="4"/>
      <c r="R30" s="4"/>
      <c r="S30" s="4"/>
      <c r="T30" s="159"/>
      <c r="U30" s="159"/>
      <c r="V30" s="159"/>
      <c r="W30" s="4"/>
      <c r="X30" s="4"/>
      <c r="Y30" s="4"/>
      <c r="Z30" s="4"/>
      <c r="AA30" s="4"/>
      <c r="AB30" s="4"/>
      <c r="AC30" s="4"/>
      <c r="AD30" s="4"/>
      <c r="AE30" s="4"/>
      <c r="AF30" s="2"/>
      <c r="AG30" s="2"/>
      <c r="AH30" s="2"/>
      <c r="AI30" s="2"/>
      <c r="AJ30" s="2"/>
      <c r="AK30" s="2"/>
      <c r="AL30" s="2"/>
      <c r="AM30" s="2"/>
      <c r="AN30" s="227" t="s">
        <v>423</v>
      </c>
      <c r="AO30" s="108"/>
      <c r="AP30" s="108"/>
      <c r="AQ30" s="108"/>
      <c r="AR30" s="108"/>
      <c r="AS30" s="108"/>
      <c r="AT30" s="108"/>
      <c r="AU30" s="157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29" t="s">
        <v>200</v>
      </c>
      <c r="BG30" s="2"/>
      <c r="BH30" s="2"/>
      <c r="BI30" s="2"/>
      <c r="BJ30" s="2"/>
      <c r="BK30" s="2"/>
      <c r="BL30" s="2"/>
      <c r="BM30" s="157"/>
      <c r="BN30" s="139" t="s">
        <v>216</v>
      </c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3"/>
      <c r="CA30" s="3"/>
    </row>
    <row r="31" spans="1:80" ht="11.25" customHeight="1">
      <c r="A31" s="363"/>
      <c r="B31" s="88" t="s">
        <v>620</v>
      </c>
      <c r="C31" s="276"/>
      <c r="D31" s="3"/>
      <c r="E31" s="2"/>
      <c r="F31" s="2"/>
      <c r="G31" s="2"/>
      <c r="H31" s="363"/>
      <c r="I31" s="3"/>
      <c r="J31" s="4"/>
      <c r="K31" s="4"/>
      <c r="L31" s="4"/>
      <c r="M31" s="4"/>
      <c r="N31" s="4"/>
      <c r="O31" s="4"/>
      <c r="P31" s="4"/>
      <c r="Q31" s="139" t="s">
        <v>492</v>
      </c>
      <c r="R31" s="139"/>
      <c r="S31" s="4"/>
      <c r="T31" s="159"/>
      <c r="U31" s="159"/>
      <c r="V31" s="159"/>
      <c r="W31" s="4"/>
      <c r="X31" s="4"/>
      <c r="Y31" s="4"/>
      <c r="Z31" s="4"/>
      <c r="AA31" s="4"/>
      <c r="AB31" s="4"/>
      <c r="AC31" s="4"/>
      <c r="AD31" s="4"/>
      <c r="AE31" s="4"/>
      <c r="AF31" s="2"/>
      <c r="AG31" s="2"/>
      <c r="AH31" s="2"/>
      <c r="AI31" s="2"/>
      <c r="AJ31" s="2"/>
      <c r="AK31" s="2"/>
      <c r="AL31" s="2"/>
      <c r="AM31" s="2"/>
      <c r="AN31" s="2"/>
      <c r="AO31" s="145" t="s">
        <v>424</v>
      </c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192" t="s">
        <v>201</v>
      </c>
      <c r="BG31" s="2"/>
      <c r="BH31" s="2"/>
      <c r="BI31" s="2"/>
      <c r="BJ31" s="2"/>
      <c r="BK31" s="2"/>
      <c r="BL31" s="2"/>
      <c r="BM31" s="157"/>
      <c r="BN31" s="4"/>
      <c r="BO31" s="157" t="s">
        <v>285</v>
      </c>
      <c r="BP31" s="157"/>
      <c r="BQ31" s="157"/>
      <c r="BR31" s="2"/>
      <c r="BS31" s="2"/>
      <c r="BT31" s="2"/>
      <c r="BU31" s="2"/>
      <c r="BV31" s="2"/>
      <c r="BW31" s="2"/>
      <c r="BX31" s="2"/>
      <c r="BY31" s="2"/>
      <c r="BZ31" s="3"/>
      <c r="CA31" s="3"/>
    </row>
    <row r="32" spans="1:80">
      <c r="A32" s="276"/>
      <c r="B32" s="88"/>
      <c r="C32" s="276"/>
      <c r="D32" s="3"/>
      <c r="E32" s="2"/>
      <c r="F32" s="2"/>
      <c r="G32" s="2"/>
      <c r="H32" s="276"/>
      <c r="I32" s="3"/>
      <c r="J32" s="4"/>
      <c r="K32" s="4"/>
      <c r="L32" s="4"/>
      <c r="M32" s="4"/>
      <c r="N32" s="4"/>
      <c r="O32" s="4"/>
      <c r="P32" s="4"/>
      <c r="Q32" s="4"/>
      <c r="R32" s="4" t="s">
        <v>573</v>
      </c>
      <c r="S32" s="159"/>
      <c r="T32" s="159"/>
      <c r="U32" s="159"/>
      <c r="V32" s="159"/>
      <c r="W32" s="4"/>
      <c r="X32" s="4"/>
      <c r="Y32" s="4"/>
      <c r="Z32" s="4"/>
      <c r="AA32" s="4"/>
      <c r="AB32" s="4"/>
      <c r="AC32" s="4"/>
      <c r="AD32" s="4"/>
      <c r="AE32" s="4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108" t="s">
        <v>463</v>
      </c>
      <c r="AQ32" s="108"/>
      <c r="AR32" s="108"/>
      <c r="AS32" s="108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157" t="s">
        <v>203</v>
      </c>
      <c r="BG32" s="2"/>
      <c r="BH32" s="2"/>
      <c r="BI32" s="2"/>
      <c r="BJ32" s="2"/>
      <c r="BK32" s="2"/>
      <c r="BL32" s="2"/>
      <c r="BM32" s="2"/>
      <c r="BN32" s="2"/>
      <c r="BO32" s="2"/>
      <c r="BP32" s="139" t="s">
        <v>451</v>
      </c>
      <c r="BQ32" s="139"/>
      <c r="BR32" s="2"/>
      <c r="BS32" s="2"/>
      <c r="BT32" s="2"/>
      <c r="BU32" s="2"/>
      <c r="BV32" s="2"/>
      <c r="BW32" s="2"/>
      <c r="BX32" s="2"/>
      <c r="BY32" s="2"/>
      <c r="BZ32" s="3"/>
      <c r="CA32" s="3"/>
    </row>
    <row r="33" spans="1:79">
      <c r="A33" s="357" t="s">
        <v>621</v>
      </c>
      <c r="B33" s="8" t="s">
        <v>622</v>
      </c>
      <c r="C33" s="357" t="s">
        <v>621</v>
      </c>
      <c r="D33" s="2" t="s">
        <v>554</v>
      </c>
      <c r="E33" s="2"/>
      <c r="F33" s="2"/>
      <c r="G33" s="2"/>
      <c r="H33" s="357" t="s">
        <v>621</v>
      </c>
      <c r="I33" s="2" t="s">
        <v>554</v>
      </c>
      <c r="J33" s="4"/>
      <c r="K33" s="4"/>
      <c r="L33" s="4"/>
      <c r="M33" s="4"/>
      <c r="N33" s="4"/>
      <c r="O33" s="4"/>
      <c r="P33" s="4"/>
      <c r="Q33" s="4"/>
      <c r="R33" s="4"/>
      <c r="S33" s="159" t="s">
        <v>417</v>
      </c>
      <c r="T33" s="159"/>
      <c r="U33" s="159"/>
      <c r="V33" s="159"/>
      <c r="W33" s="4"/>
      <c r="X33" s="4"/>
      <c r="Y33" s="4"/>
      <c r="Z33" s="4"/>
      <c r="AA33" s="4"/>
      <c r="AB33" s="4"/>
      <c r="AC33" s="4"/>
      <c r="AD33" s="4"/>
      <c r="AE33" s="4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145" t="s">
        <v>464</v>
      </c>
      <c r="AR33" s="2"/>
      <c r="AS33" s="145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162" t="s">
        <v>249</v>
      </c>
      <c r="BG33" s="2"/>
      <c r="BH33" s="2"/>
      <c r="BI33" s="2"/>
      <c r="BJ33" s="2"/>
      <c r="BK33" s="2"/>
      <c r="BL33" s="2"/>
      <c r="BM33" s="2"/>
      <c r="BN33" s="2"/>
      <c r="BO33" s="343"/>
      <c r="BP33" s="84"/>
      <c r="BQ33" s="159" t="s">
        <v>450</v>
      </c>
      <c r="BR33" s="2"/>
      <c r="BS33" s="2"/>
      <c r="BT33" s="2"/>
      <c r="BU33" s="2"/>
      <c r="BV33" s="2"/>
      <c r="BW33" s="2"/>
      <c r="BX33" s="2"/>
      <c r="BY33" s="2"/>
      <c r="BZ33" s="3"/>
      <c r="CA33" s="3"/>
    </row>
    <row r="34" spans="1:79">
      <c r="A34" s="357"/>
      <c r="B34" s="88" t="s">
        <v>550</v>
      </c>
      <c r="C34" s="592" t="s">
        <v>581</v>
      </c>
      <c r="D34" s="3"/>
      <c r="E34" s="2"/>
      <c r="F34" s="2"/>
      <c r="G34" s="2"/>
      <c r="H34" s="357"/>
      <c r="I34" s="2"/>
      <c r="J34" s="4"/>
      <c r="K34" s="4"/>
      <c r="L34" s="4"/>
      <c r="M34" s="4"/>
      <c r="N34" s="4"/>
      <c r="O34" s="4"/>
      <c r="P34" s="4"/>
      <c r="Q34" s="4"/>
      <c r="R34" s="4"/>
      <c r="S34" s="4"/>
      <c r="T34" s="4" t="s">
        <v>432</v>
      </c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84"/>
      <c r="AQ34" s="84"/>
      <c r="AR34" s="108" t="s">
        <v>493</v>
      </c>
      <c r="AS34" s="108"/>
      <c r="AT34" s="84"/>
      <c r="AU34" s="343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163" t="s">
        <v>250</v>
      </c>
      <c r="BG34" s="2"/>
      <c r="BH34" s="2"/>
      <c r="BI34" s="2"/>
      <c r="BJ34" s="2"/>
      <c r="BK34" s="2"/>
      <c r="BL34" s="2"/>
      <c r="BM34" s="2"/>
      <c r="BN34" s="84"/>
      <c r="BO34" s="343"/>
      <c r="BP34" s="84"/>
      <c r="BQ34" s="84"/>
      <c r="BR34" s="139" t="s">
        <v>498</v>
      </c>
      <c r="BS34" s="84"/>
      <c r="BT34" s="84"/>
      <c r="BU34" s="84"/>
      <c r="BV34" s="84"/>
      <c r="BW34" s="84"/>
      <c r="BX34" s="84"/>
      <c r="BY34" s="84"/>
      <c r="BZ34" s="84"/>
      <c r="CA34" s="3"/>
    </row>
    <row r="35" spans="1:79">
      <c r="A35" s="357"/>
      <c r="B35" s="435" t="s">
        <v>551</v>
      </c>
      <c r="C35" s="363"/>
      <c r="D35" s="3"/>
      <c r="E35" s="84"/>
      <c r="F35" s="84"/>
      <c r="G35" s="84"/>
      <c r="H35" s="357"/>
      <c r="I35" s="2"/>
      <c r="J35" s="84"/>
      <c r="K35" s="84"/>
      <c r="L35" s="84"/>
      <c r="M35" s="84"/>
      <c r="N35" s="4"/>
      <c r="O35" s="4"/>
      <c r="P35" s="4"/>
      <c r="Q35" s="4"/>
      <c r="R35" s="4"/>
      <c r="S35" s="4"/>
      <c r="T35" s="4"/>
      <c r="U35" s="303" t="s">
        <v>433</v>
      </c>
      <c r="V35" s="159"/>
      <c r="W35" s="4"/>
      <c r="X35" s="4"/>
      <c r="Y35" s="4"/>
      <c r="Z35" s="4"/>
      <c r="AA35" s="4"/>
      <c r="AB35" s="4"/>
      <c r="AC35" s="4"/>
      <c r="AD35" s="4"/>
      <c r="AE35" s="4"/>
      <c r="AF35" s="2"/>
      <c r="AG35" s="2"/>
      <c r="AH35" s="2"/>
      <c r="AI35" s="2"/>
      <c r="AJ35" s="84"/>
      <c r="AK35" s="84"/>
      <c r="AL35" s="84"/>
      <c r="AM35" s="84"/>
      <c r="AN35" s="2"/>
      <c r="AO35" s="84"/>
      <c r="AP35" s="84"/>
      <c r="AQ35" s="84"/>
      <c r="AR35" s="2"/>
      <c r="AS35" s="108" t="s">
        <v>489</v>
      </c>
      <c r="AT35" s="108"/>
      <c r="AU35" s="343"/>
      <c r="AV35" s="2"/>
      <c r="AW35" s="2"/>
      <c r="AX35" s="84"/>
      <c r="AY35" s="84"/>
      <c r="AZ35" s="84"/>
      <c r="BA35" s="84"/>
      <c r="BB35" s="84"/>
      <c r="BC35" s="84"/>
      <c r="BD35" s="84"/>
      <c r="BE35" s="84"/>
      <c r="BF35" s="162" t="s">
        <v>251</v>
      </c>
      <c r="BG35" s="84"/>
      <c r="BH35" s="84"/>
      <c r="BI35" s="84"/>
      <c r="BJ35" s="84"/>
      <c r="BK35" s="84"/>
      <c r="BL35" s="84"/>
      <c r="BM35" s="84"/>
      <c r="BN35" s="84"/>
      <c r="BO35" s="343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3"/>
      <c r="CA35" s="3"/>
    </row>
    <row r="36" spans="1:79">
      <c r="A36" s="357"/>
      <c r="B36" s="435" t="s">
        <v>552</v>
      </c>
      <c r="C36" s="276"/>
      <c r="D36" s="3"/>
      <c r="H36" s="357"/>
      <c r="I36" s="2"/>
      <c r="J36" s="84"/>
      <c r="K36" s="84"/>
      <c r="L36" s="84"/>
      <c r="M36" s="84"/>
      <c r="N36" s="84"/>
      <c r="O36" s="84"/>
      <c r="P36" s="84"/>
      <c r="Q36" s="84"/>
      <c r="R36" s="84"/>
      <c r="S36" s="4"/>
      <c r="T36" s="4"/>
      <c r="U36" s="4"/>
      <c r="V36" s="139" t="s">
        <v>460</v>
      </c>
      <c r="W36" s="4"/>
      <c r="X36" s="4"/>
      <c r="Y36" s="4"/>
      <c r="Z36" s="4"/>
      <c r="AA36" s="4"/>
      <c r="AB36" s="4"/>
      <c r="AC36" s="4"/>
      <c r="AD36" s="4"/>
      <c r="AE36" s="4"/>
      <c r="AF36" s="2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2"/>
      <c r="AS36" s="2"/>
      <c r="AT36" s="145" t="s">
        <v>490</v>
      </c>
      <c r="AU36" s="2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343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3"/>
      <c r="CA36" s="3"/>
    </row>
    <row r="37" spans="1:79">
      <c r="A37" s="276"/>
      <c r="B37" s="88" t="s">
        <v>619</v>
      </c>
      <c r="C37" s="276"/>
      <c r="D37" s="3"/>
      <c r="H37" s="276"/>
      <c r="I37" s="3"/>
      <c r="L37" s="84"/>
      <c r="M37" s="84"/>
      <c r="N37" s="84"/>
      <c r="O37" s="84"/>
      <c r="P37" s="84"/>
      <c r="Q37" s="84"/>
      <c r="R37" s="84"/>
      <c r="S37" s="4"/>
      <c r="T37" s="4"/>
      <c r="U37" s="4"/>
      <c r="V37" s="4"/>
      <c r="W37" s="159" t="s">
        <v>467</v>
      </c>
      <c r="X37" s="4"/>
      <c r="Y37" s="4"/>
      <c r="Z37" s="4"/>
      <c r="AA37" s="4"/>
      <c r="AB37" s="4"/>
      <c r="AC37" s="4"/>
      <c r="AD37" s="4"/>
      <c r="AE37" s="4"/>
      <c r="AF37" s="2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343"/>
      <c r="AV37" s="84"/>
      <c r="AW37" s="84"/>
      <c r="AX37" s="342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343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3"/>
      <c r="CA37" s="3"/>
    </row>
    <row r="38" spans="1:79">
      <c r="A38" s="276"/>
      <c r="B38" s="88" t="s">
        <v>620</v>
      </c>
      <c r="C38" s="276"/>
      <c r="D38" s="3"/>
      <c r="H38" s="276"/>
      <c r="I38" s="3"/>
      <c r="L38" s="84"/>
      <c r="M38" s="84"/>
      <c r="N38" s="84"/>
      <c r="O38" s="84"/>
      <c r="P38" s="84"/>
      <c r="Q38" s="84"/>
      <c r="R38" s="84"/>
      <c r="S38" s="4"/>
      <c r="T38" s="4"/>
      <c r="U38" s="4"/>
      <c r="V38" s="4"/>
      <c r="W38" s="4"/>
      <c r="X38" s="159" t="s">
        <v>584</v>
      </c>
      <c r="Y38" s="4"/>
      <c r="Z38" s="4"/>
      <c r="AA38" s="4"/>
      <c r="AB38" s="4"/>
      <c r="AC38" s="4"/>
      <c r="AD38" s="4"/>
      <c r="AE38" s="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343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343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3"/>
      <c r="CA38" s="3"/>
    </row>
    <row r="39" spans="1:79">
      <c r="A39" s="276"/>
      <c r="B39" s="8"/>
      <c r="C39" s="357"/>
      <c r="D39" s="3"/>
      <c r="H39" s="276"/>
      <c r="I39" s="3"/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4"/>
      <c r="X39" s="4"/>
      <c r="Y39" s="4" t="s">
        <v>418</v>
      </c>
      <c r="Z39" s="4"/>
      <c r="AA39" s="4"/>
      <c r="AB39" s="4"/>
      <c r="AC39" s="4"/>
      <c r="AD39" s="4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343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343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3"/>
      <c r="CA39" s="3"/>
    </row>
    <row r="40" spans="1:79">
      <c r="A40" s="357" t="s">
        <v>623</v>
      </c>
      <c r="B40" s="3" t="s">
        <v>561</v>
      </c>
      <c r="C40" s="357" t="s">
        <v>623</v>
      </c>
      <c r="D40" s="2" t="s">
        <v>554</v>
      </c>
      <c r="H40" s="357" t="s">
        <v>623</v>
      </c>
      <c r="I40" s="2" t="s">
        <v>554</v>
      </c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4"/>
      <c r="X40" s="4"/>
      <c r="Y40" s="4"/>
      <c r="Z40" s="158" t="s">
        <v>419</v>
      </c>
      <c r="AA40" s="4"/>
      <c r="AB40" s="4"/>
      <c r="AC40" s="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343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343"/>
      <c r="BP40" s="84"/>
      <c r="BQ40" s="84"/>
      <c r="BR40" s="84"/>
      <c r="BS40" s="84"/>
      <c r="BT40" s="84"/>
      <c r="BU40" s="84"/>
      <c r="BV40" s="84"/>
      <c r="BW40" s="84"/>
      <c r="BX40" s="84"/>
      <c r="BY40" s="84"/>
    </row>
    <row r="41" spans="1:79">
      <c r="A41" s="357"/>
      <c r="B41" s="435" t="s">
        <v>562</v>
      </c>
      <c r="C41" s="592" t="s">
        <v>583</v>
      </c>
      <c r="D41" s="3"/>
      <c r="H41" s="357"/>
      <c r="I41" s="2"/>
      <c r="K41" s="3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4"/>
      <c r="X41" s="4"/>
      <c r="Y41" s="4"/>
      <c r="Z41" s="4"/>
      <c r="AA41" s="159" t="s">
        <v>496</v>
      </c>
      <c r="AB41" s="84"/>
      <c r="AC41" s="84"/>
      <c r="AD41" s="84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343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343"/>
      <c r="BP41" s="84"/>
      <c r="BQ41" s="84"/>
      <c r="BR41" s="84"/>
      <c r="BS41" s="84"/>
      <c r="BT41" s="84"/>
      <c r="BU41" s="84"/>
      <c r="BV41" s="84"/>
      <c r="BW41" s="84"/>
      <c r="BX41" s="84"/>
      <c r="BY41" s="84"/>
    </row>
    <row r="42" spans="1:79">
      <c r="A42" s="357"/>
      <c r="B42" s="435" t="s">
        <v>563</v>
      </c>
      <c r="C42" s="363"/>
      <c r="D42" s="3"/>
      <c r="H42" s="357"/>
      <c r="I42" s="2"/>
      <c r="K42" s="3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139" t="s">
        <v>497</v>
      </c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343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343"/>
      <c r="BP42" s="84"/>
      <c r="BQ42" s="84"/>
      <c r="BR42" s="84"/>
      <c r="BS42" s="84"/>
      <c r="BT42" s="84"/>
      <c r="BU42" s="84"/>
      <c r="BV42" s="84"/>
      <c r="BW42" s="84"/>
      <c r="BX42" s="84"/>
      <c r="BY42" s="84"/>
    </row>
    <row r="43" spans="1:79">
      <c r="A43" s="276"/>
      <c r="B43" s="435" t="s">
        <v>564</v>
      </c>
      <c r="C43" s="276"/>
      <c r="D43" s="3"/>
      <c r="H43" s="276"/>
      <c r="I43" s="3"/>
      <c r="K43" s="3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159" t="s">
        <v>420</v>
      </c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343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343"/>
      <c r="BP43" s="84"/>
      <c r="BQ43" s="84"/>
      <c r="BR43" s="84"/>
      <c r="BS43" s="84"/>
      <c r="BT43" s="84"/>
      <c r="BU43" s="84"/>
      <c r="BV43" s="84"/>
      <c r="BW43" s="84"/>
      <c r="BX43" s="84"/>
      <c r="BY43" s="84"/>
    </row>
    <row r="44" spans="1:79">
      <c r="A44" s="276"/>
      <c r="B44" s="88"/>
      <c r="C44" s="276"/>
      <c r="D44" s="3"/>
      <c r="H44" s="276"/>
      <c r="I44" s="3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343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343"/>
      <c r="BP44" s="84"/>
      <c r="BQ44" s="84"/>
      <c r="BR44" s="84"/>
      <c r="BS44" s="84"/>
      <c r="BT44" s="84"/>
      <c r="BU44" s="84"/>
      <c r="BV44" s="84"/>
      <c r="BW44" s="84"/>
      <c r="BX44" s="84"/>
      <c r="BY44" s="84"/>
    </row>
    <row r="45" spans="1:79">
      <c r="A45" s="276"/>
      <c r="B45" s="3"/>
      <c r="C45" s="276"/>
      <c r="D45" s="3"/>
      <c r="H45" s="276"/>
      <c r="I45" s="3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343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343"/>
      <c r="BP45" s="84"/>
      <c r="BQ45" s="84"/>
      <c r="BR45" s="84"/>
      <c r="BS45" s="84"/>
      <c r="BT45" s="84"/>
      <c r="BU45" s="84"/>
      <c r="BV45" s="84"/>
      <c r="BW45" s="84"/>
      <c r="BX45" s="84"/>
      <c r="BY45" s="84"/>
    </row>
    <row r="46" spans="1:79">
      <c r="A46" s="357" t="s">
        <v>624</v>
      </c>
      <c r="B46" s="3" t="s">
        <v>566</v>
      </c>
      <c r="C46" s="357" t="s">
        <v>624</v>
      </c>
      <c r="D46" s="2" t="s">
        <v>567</v>
      </c>
      <c r="H46" s="357" t="s">
        <v>624</v>
      </c>
      <c r="I46" s="2" t="s">
        <v>567</v>
      </c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343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343"/>
      <c r="BP46" s="84"/>
      <c r="BQ46" s="84"/>
      <c r="BR46" s="84"/>
      <c r="BS46" s="84"/>
      <c r="BT46" s="84"/>
      <c r="BU46" s="84"/>
      <c r="BV46" s="84"/>
      <c r="BW46" s="84"/>
      <c r="BX46" s="84"/>
      <c r="BY46" s="84"/>
    </row>
    <row r="47" spans="1:79">
      <c r="A47" s="79"/>
      <c r="B47" s="435" t="s">
        <v>562</v>
      </c>
      <c r="C47" s="592" t="s">
        <v>583</v>
      </c>
      <c r="D47" s="3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343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343"/>
      <c r="BP47" s="84"/>
      <c r="BQ47" s="84"/>
      <c r="BR47" s="84"/>
      <c r="BS47" s="84"/>
      <c r="BT47" s="84"/>
      <c r="BU47" s="84"/>
      <c r="BV47" s="84"/>
      <c r="BW47" s="84"/>
      <c r="BX47" s="84"/>
      <c r="BY47" s="84"/>
    </row>
    <row r="48" spans="1:79">
      <c r="A48" s="79"/>
      <c r="C48" s="276"/>
      <c r="D48" s="3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343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4"/>
      <c r="BM48" s="84"/>
      <c r="BN48" s="84"/>
      <c r="BO48" s="343"/>
      <c r="BP48" s="84"/>
      <c r="BQ48" s="84"/>
      <c r="BR48" s="84"/>
      <c r="BS48" s="84"/>
      <c r="BT48" s="84"/>
      <c r="BU48" s="84"/>
      <c r="BV48" s="84"/>
      <c r="BW48" s="84"/>
      <c r="BX48" s="84"/>
      <c r="BY48" s="84"/>
    </row>
    <row r="49" spans="1:9">
      <c r="A49" s="357" t="s">
        <v>625</v>
      </c>
      <c r="B49" s="655" t="s">
        <v>626</v>
      </c>
      <c r="C49" s="357" t="s">
        <v>625</v>
      </c>
      <c r="D49" s="2" t="s">
        <v>567</v>
      </c>
      <c r="H49" s="357" t="s">
        <v>625</v>
      </c>
      <c r="I49" s="2" t="s">
        <v>567</v>
      </c>
    </row>
    <row r="50" spans="1:9">
      <c r="B50" s="655" t="s">
        <v>594</v>
      </c>
      <c r="C50" s="592" t="s">
        <v>583</v>
      </c>
      <c r="D50" s="3"/>
      <c r="H50" s="7"/>
    </row>
    <row r="51" spans="1:9">
      <c r="B51" s="655" t="s">
        <v>595</v>
      </c>
      <c r="D51" s="3"/>
    </row>
    <row r="52" spans="1:9">
      <c r="B52" s="655" t="s">
        <v>627</v>
      </c>
      <c r="D52" s="3"/>
    </row>
    <row r="53" spans="1:9">
      <c r="B53" s="655" t="s">
        <v>628</v>
      </c>
      <c r="C53" s="357"/>
      <c r="D53" s="3"/>
    </row>
    <row r="54" spans="1:9">
      <c r="B54" s="655" t="s">
        <v>629</v>
      </c>
      <c r="C54" s="396"/>
      <c r="D54" s="3"/>
    </row>
    <row r="55" spans="1:9">
      <c r="B55" s="655" t="s">
        <v>630</v>
      </c>
      <c r="C55" s="363"/>
      <c r="D55" s="3"/>
    </row>
    <row r="56" spans="1:9">
      <c r="B56" s="655" t="s">
        <v>631</v>
      </c>
      <c r="C56" s="276"/>
      <c r="D56" s="3"/>
    </row>
    <row r="57" spans="1:9">
      <c r="B57" s="655" t="s">
        <v>632</v>
      </c>
      <c r="C57" s="276"/>
      <c r="D57" s="3"/>
    </row>
    <row r="58" spans="1:9">
      <c r="B58" s="655" t="s">
        <v>633</v>
      </c>
      <c r="C58" s="276"/>
      <c r="D58" s="3"/>
    </row>
    <row r="59" spans="1:9">
      <c r="B59" s="655" t="s">
        <v>634</v>
      </c>
      <c r="C59" s="276"/>
      <c r="D59" s="3"/>
    </row>
    <row r="60" spans="1:9">
      <c r="B60" s="655" t="s">
        <v>635</v>
      </c>
      <c r="C60" s="276"/>
      <c r="D60" s="3"/>
    </row>
    <row r="61" spans="1:9">
      <c r="B61" s="655" t="s">
        <v>636</v>
      </c>
      <c r="C61" s="276"/>
      <c r="D61" s="3"/>
    </row>
    <row r="62" spans="1:9">
      <c r="B62" s="655" t="s">
        <v>637</v>
      </c>
      <c r="C62" s="276"/>
      <c r="D62" s="3"/>
    </row>
    <row r="63" spans="1:9">
      <c r="B63" s="3"/>
      <c r="C63" s="276"/>
      <c r="D63" s="3"/>
    </row>
  </sheetData>
  <mergeCells count="13">
    <mergeCell ref="BZ1:CB1"/>
    <mergeCell ref="A22:B22"/>
    <mergeCell ref="E1:G1"/>
    <mergeCell ref="H1:I1"/>
    <mergeCell ref="AX1:BC1"/>
    <mergeCell ref="BD1:BG1"/>
    <mergeCell ref="BH1:BS1"/>
    <mergeCell ref="A1:A2"/>
    <mergeCell ref="B1:B2"/>
    <mergeCell ref="J1:AG1"/>
    <mergeCell ref="AH1:AW1"/>
    <mergeCell ref="C1:D1"/>
    <mergeCell ref="BT1:BY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28"/>
  <sheetViews>
    <sheetView workbookViewId="0">
      <pane ySplit="2" topLeftCell="A3" activePane="bottomLeft" state="frozen"/>
      <selection pane="bottomLeft" activeCell="M40" sqref="M40"/>
    </sheetView>
  </sheetViews>
  <sheetFormatPr defaultRowHeight="11.25"/>
  <cols>
    <col min="1" max="1" width="7.28515625" style="7" bestFit="1" customWidth="1"/>
    <col min="2" max="2" width="56.28515625" style="86" bestFit="1" customWidth="1"/>
    <col min="3" max="3" width="11.140625" style="2" bestFit="1" customWidth="1"/>
    <col min="4" max="4" width="6.28515625" style="2" bestFit="1" customWidth="1"/>
    <col min="5" max="5" width="6.85546875" style="2" bestFit="1" customWidth="1"/>
    <col min="6" max="6" width="6.28515625" style="2" bestFit="1" customWidth="1"/>
    <col min="7" max="7" width="6.85546875" style="2" bestFit="1" customWidth="1"/>
    <col min="8" max="8" width="6.28515625" style="2" bestFit="1" customWidth="1"/>
    <col min="9" max="9" width="6.85546875" style="2" bestFit="1" customWidth="1"/>
    <col min="10" max="10" width="11.85546875" style="2" bestFit="1" customWidth="1"/>
    <col min="11" max="12" width="11.85546875" style="2" customWidth="1"/>
    <col min="13" max="15" width="14" style="2" customWidth="1"/>
    <col min="16" max="17" width="10.85546875" style="2" customWidth="1"/>
    <col min="18" max="18" width="7.7109375" style="81" customWidth="1"/>
    <col min="19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4" ht="15.75" customHeight="1">
      <c r="A1" s="915" t="s">
        <v>1</v>
      </c>
      <c r="B1" s="917" t="s">
        <v>0</v>
      </c>
      <c r="C1" s="919" t="s">
        <v>7</v>
      </c>
      <c r="D1" s="910" t="s">
        <v>6</v>
      </c>
      <c r="E1" s="911"/>
      <c r="F1" s="912" t="s">
        <v>5</v>
      </c>
      <c r="G1" s="913"/>
      <c r="H1" s="910" t="s">
        <v>63</v>
      </c>
      <c r="I1" s="911"/>
      <c r="J1" s="907" t="s">
        <v>9</v>
      </c>
      <c r="K1" s="711" t="s">
        <v>425</v>
      </c>
      <c r="L1" s="909"/>
      <c r="M1" s="711" t="s">
        <v>81</v>
      </c>
      <c r="N1" s="712"/>
      <c r="O1" s="712"/>
      <c r="P1" s="712"/>
      <c r="Q1" s="712"/>
      <c r="R1" s="903" t="s">
        <v>83</v>
      </c>
      <c r="S1" s="903"/>
      <c r="T1" s="903"/>
      <c r="U1" s="903"/>
      <c r="V1" s="903"/>
      <c r="W1" s="903"/>
      <c r="X1" s="903"/>
    </row>
    <row r="2" spans="1:24" ht="15.75" customHeight="1" thickBot="1">
      <c r="A2" s="916"/>
      <c r="B2" s="918"/>
      <c r="C2" s="788"/>
      <c r="D2" s="60"/>
      <c r="E2" s="35" t="s">
        <v>9</v>
      </c>
      <c r="F2" s="60"/>
      <c r="G2" s="61" t="s">
        <v>9</v>
      </c>
      <c r="H2" s="60"/>
      <c r="I2" s="35" t="s">
        <v>9</v>
      </c>
      <c r="J2" s="908"/>
      <c r="K2" s="309"/>
      <c r="L2" s="161" t="s">
        <v>9</v>
      </c>
      <c r="M2" s="164" t="s">
        <v>139</v>
      </c>
      <c r="N2" s="164" t="s">
        <v>425</v>
      </c>
      <c r="O2" s="164" t="s">
        <v>364</v>
      </c>
      <c r="P2" s="164" t="s">
        <v>59</v>
      </c>
      <c r="Q2" s="165" t="s">
        <v>138</v>
      </c>
      <c r="R2" s="904" t="s">
        <v>429</v>
      </c>
      <c r="S2" s="905"/>
      <c r="T2" s="905"/>
      <c r="U2" s="905"/>
      <c r="V2" s="905"/>
      <c r="W2" s="906"/>
      <c r="X2" s="166" t="s">
        <v>47</v>
      </c>
    </row>
    <row r="3" spans="1:24" s="5" customFormat="1">
      <c r="A3" s="465" t="str">
        <f>'1-συμβολαια'!A3</f>
        <v>1ο</v>
      </c>
      <c r="B3" s="341" t="str">
        <f>'1-συμβολαια'!C3</f>
        <v>κληρονομιάς ΑΠΟΔΟΧΗ</v>
      </c>
      <c r="C3" s="345">
        <f>'1-συμβολαια'!D3</f>
        <v>0</v>
      </c>
      <c r="D3" s="323"/>
      <c r="E3" s="323"/>
      <c r="F3" s="323"/>
      <c r="G3" s="323"/>
      <c r="H3" s="323"/>
      <c r="I3" s="323"/>
      <c r="J3" s="313">
        <f>'1-συμβολαια'!N3</f>
        <v>51</v>
      </c>
      <c r="K3" s="313">
        <f>'2-δικαιώμ'!O3+'5-αντίγρ'!O3</f>
        <v>5.3603000000000005</v>
      </c>
      <c r="L3" s="313">
        <v>5.36</v>
      </c>
      <c r="M3" s="313">
        <f>'1-συμβολαια'!O3</f>
        <v>9.9896999999999991</v>
      </c>
      <c r="N3" s="313">
        <f t="shared" ref="N3" si="0">K3-L3</f>
        <v>3.00000000000189E-4</v>
      </c>
      <c r="O3" s="313">
        <f>'8-κ-15-17'!AG3</f>
        <v>0</v>
      </c>
      <c r="P3" s="313">
        <f>'11-χαρτόσ'!L3+'5-αντίγρ'!AM3+'6-μεταγρ'!N3+'6-μεταγρ'!O3+'7-προςΔΟΥ'!K3+'13-ντιΜιΧο'!CA3</f>
        <v>20.3</v>
      </c>
      <c r="Q3" s="313">
        <f>'13-ντιΜιΧο'!BZ3</f>
        <v>380.63</v>
      </c>
      <c r="R3" s="265"/>
      <c r="S3" s="258"/>
      <c r="T3" s="258"/>
      <c r="U3" s="258"/>
      <c r="V3" s="258"/>
      <c r="W3" s="258"/>
      <c r="X3" s="261"/>
    </row>
    <row r="4" spans="1:24" s="5" customFormat="1">
      <c r="A4" s="465">
        <f>'1-συμβολαια'!A4</f>
        <v>0</v>
      </c>
      <c r="B4" s="341" t="str">
        <f>'1-συμβολαια'!C4</f>
        <v>χρησικτησία οικοπεδου = 194? γεωργούδηΝικολαο ΑΓΟΡΑΠΩΛΗΣΙΑ (ως αγροτεμάχιο) άτυπος</v>
      </c>
      <c r="C4" s="345">
        <f>'1-συμβολαια'!D4</f>
        <v>1111.1099999999999</v>
      </c>
      <c r="D4" s="323"/>
      <c r="E4" s="323"/>
      <c r="F4" s="323"/>
      <c r="G4" s="323"/>
      <c r="H4" s="323"/>
      <c r="I4" s="323"/>
      <c r="J4" s="312">
        <f>'1-συμβολαια'!N4</f>
        <v>0</v>
      </c>
      <c r="K4" s="313">
        <f>'2-δικαιώμ'!O4+'5-αντίγρ'!O4</f>
        <v>3.9062980000000005</v>
      </c>
      <c r="L4" s="312"/>
      <c r="M4" s="312">
        <f>'1-συμβολαια'!O4</f>
        <v>41.697021999999997</v>
      </c>
      <c r="N4" s="312">
        <f t="shared" ref="N4:N21" si="1">K4-L4</f>
        <v>3.9062980000000005</v>
      </c>
      <c r="O4" s="312">
        <f>'8-κ-15-17'!AG4</f>
        <v>8.6111024999999994</v>
      </c>
      <c r="P4" s="312">
        <f>'11-χαρτόσ'!L4+'5-αντίγρ'!AM4+'6-μεταγρ'!N4+'6-μεταγρ'!O4+'7-προςΔΟΥ'!K4+'13-ντιΜιΧο'!CA4</f>
        <v>14.879999999999999</v>
      </c>
      <c r="Q4" s="312">
        <f>'13-ντιΜιΧο'!BZ4</f>
        <v>186.76</v>
      </c>
      <c r="R4" s="430"/>
      <c r="S4" s="258"/>
      <c r="T4" s="258"/>
      <c r="U4" s="258"/>
      <c r="V4" s="258"/>
      <c r="W4" s="258"/>
      <c r="X4" s="261"/>
    </row>
    <row r="5" spans="1:24" s="5" customFormat="1">
      <c r="A5" s="465">
        <f>'1-συμβολαια'!A5</f>
        <v>0</v>
      </c>
      <c r="B5" s="341" t="str">
        <f>'1-συμβολαια'!C5</f>
        <v>χρησικτησία αγροτεμάχιο 193 = 1975 ΑΝΑΔΑΣΜΟΣ εκούσιος</v>
      </c>
      <c r="C5" s="345">
        <f>'1-συμβολαια'!D5</f>
        <v>11.11</v>
      </c>
      <c r="D5" s="323"/>
      <c r="E5" s="323"/>
      <c r="F5" s="323"/>
      <c r="G5" s="323"/>
      <c r="H5" s="323"/>
      <c r="I5" s="323"/>
      <c r="J5" s="312">
        <f>'1-συμβολαια'!N5</f>
        <v>0</v>
      </c>
      <c r="K5" s="313">
        <f>'2-δικαιώμ'!O5+'5-αντίγρ'!O5</f>
        <v>1.9262980000000001</v>
      </c>
      <c r="L5" s="312"/>
      <c r="M5" s="312">
        <f>'1-συμβολαια'!O5</f>
        <v>30.477022000000002</v>
      </c>
      <c r="N5" s="312">
        <f t="shared" si="1"/>
        <v>1.9262980000000001</v>
      </c>
      <c r="O5" s="312">
        <f>'8-κ-15-17'!AG5</f>
        <v>8.6102499999999998E-2</v>
      </c>
      <c r="P5" s="312">
        <f>'11-χαρτόσ'!L5+'5-αντίγρ'!AM5+'6-μεταγρ'!N5+'6-μεταγρ'!O5+'7-προςΔΟΥ'!K5+'13-ντιΜιΧο'!CA5</f>
        <v>14.879999999999999</v>
      </c>
      <c r="Q5" s="312">
        <f>'13-ντιΜιΧο'!BZ5</f>
        <v>73.999999999999986</v>
      </c>
      <c r="R5" s="430"/>
      <c r="S5" s="258"/>
      <c r="T5" s="258"/>
      <c r="U5" s="258"/>
      <c r="V5" s="258"/>
      <c r="W5" s="258"/>
      <c r="X5" s="261"/>
    </row>
    <row r="6" spans="1:24" s="5" customFormat="1" ht="12" thickBot="1">
      <c r="A6" s="467">
        <f>'1-συμβολαια'!A6</f>
        <v>0</v>
      </c>
      <c r="B6" s="543" t="str">
        <f>'1-συμβολαια'!C6</f>
        <v>χρησικτησία αγροτεμάχιο 279 = 1975 ΑΝΑΔΑΣΜΟΣ εκούσιος</v>
      </c>
      <c r="C6" s="550">
        <f>'1-συμβολαια'!D6</f>
        <v>222.22</v>
      </c>
      <c r="D6" s="506"/>
      <c r="E6" s="506"/>
      <c r="F6" s="506"/>
      <c r="G6" s="506"/>
      <c r="H6" s="506"/>
      <c r="I6" s="506"/>
      <c r="J6" s="471">
        <f>'1-συμβολαια'!N6</f>
        <v>0</v>
      </c>
      <c r="K6" s="471">
        <f>'2-δικαιώμ'!O6+'5-αντίγρ'!O6</f>
        <v>2.3062959999999997</v>
      </c>
      <c r="L6" s="471"/>
      <c r="M6" s="471">
        <f>'1-συμβολαια'!O6</f>
        <v>32.630344000000001</v>
      </c>
      <c r="N6" s="471">
        <f t="shared" si="1"/>
        <v>2.3062959999999997</v>
      </c>
      <c r="O6" s="471">
        <f>'8-κ-15-17'!AG6</f>
        <v>1.7222050000000002</v>
      </c>
      <c r="P6" s="471">
        <f>'11-χαρτόσ'!L6+'5-αντίγρ'!AM6+'6-μεταγρ'!N6+'6-μεταγρ'!O6+'7-προςΔΟΥ'!K6+'13-ντιΜιΧο'!CA6</f>
        <v>14.879999999999999</v>
      </c>
      <c r="Q6" s="471">
        <f>'13-ντιΜιΧο'!BZ6</f>
        <v>73.999999999999986</v>
      </c>
      <c r="R6" s="551"/>
      <c r="S6" s="525"/>
      <c r="T6" s="525"/>
      <c r="U6" s="525"/>
      <c r="V6" s="525"/>
      <c r="W6" s="525"/>
      <c r="X6" s="387"/>
    </row>
    <row r="7" spans="1:24" s="5" customFormat="1">
      <c r="A7" s="476" t="str">
        <f>'1-συμβολαια'!A7</f>
        <v>2ο</v>
      </c>
      <c r="B7" s="541" t="str">
        <f>'1-συμβολαια'!C7</f>
        <v>κληρονομιάς ΑΠΟΔΟΧΗ</v>
      </c>
      <c r="C7" s="549">
        <f>'1-συμβολαια'!D7</f>
        <v>0</v>
      </c>
      <c r="D7" s="314"/>
      <c r="E7" s="314"/>
      <c r="F7" s="314"/>
      <c r="G7" s="314"/>
      <c r="H7" s="314"/>
      <c r="I7" s="314"/>
      <c r="J7" s="313">
        <f>'1-συμβολαια'!N7</f>
        <v>50.999999999999993</v>
      </c>
      <c r="K7" s="313">
        <f>'2-δικαιώμ'!O7+'5-αντίγρ'!O7</f>
        <v>5.3603000000000005</v>
      </c>
      <c r="L7" s="313">
        <v>5.36</v>
      </c>
      <c r="M7" s="313">
        <f>'1-συμβολαια'!O7</f>
        <v>9.9897000000000062</v>
      </c>
      <c r="N7" s="313">
        <f t="shared" si="1"/>
        <v>3.00000000000189E-4</v>
      </c>
      <c r="O7" s="313">
        <f>'8-κ-15-17'!AG7</f>
        <v>0</v>
      </c>
      <c r="P7" s="313">
        <f>'11-χαρτόσ'!L7+'5-αντίγρ'!AM7+'6-μεταγρ'!N7+'6-μεταγρ'!O7+'7-προςΔΟΥ'!K7+'13-ντιΜιΧο'!CA7</f>
        <v>20.3</v>
      </c>
      <c r="Q7" s="313">
        <f>'13-ντιΜιΧο'!BZ7</f>
        <v>368.88999999999993</v>
      </c>
      <c r="R7" s="265"/>
      <c r="S7" s="262"/>
      <c r="T7" s="262"/>
      <c r="U7" s="262"/>
      <c r="V7" s="262"/>
      <c r="W7" s="262"/>
      <c r="X7" s="257"/>
    </row>
    <row r="8" spans="1:24" s="5" customFormat="1">
      <c r="A8" s="477">
        <f>'1-συμβολαια'!A8</f>
        <v>0</v>
      </c>
      <c r="B8" s="341" t="str">
        <f>'1-συμβολαια'!C8</f>
        <v>χρησικτησία οικοπεδου &amp; οικίας &amp; αποθήκης = 27/7/87 πατρός ΚΛΗΡΟΝΟΜΙΑ άτυπος</v>
      </c>
      <c r="C8" s="345">
        <f>'1-συμβολαια'!D8</f>
        <v>11111.11</v>
      </c>
      <c r="D8" s="323"/>
      <c r="E8" s="323"/>
      <c r="F8" s="323"/>
      <c r="G8" s="323"/>
      <c r="H8" s="323"/>
      <c r="I8" s="323"/>
      <c r="J8" s="312">
        <f>'1-συμβολαια'!N8</f>
        <v>0</v>
      </c>
      <c r="K8" s="313">
        <f>'2-δικαιώμ'!O8+'5-αντίγρ'!O8</f>
        <v>21.906298</v>
      </c>
      <c r="L8" s="312"/>
      <c r="M8" s="312">
        <f>'1-συμβολαια'!O8</f>
        <v>143.69702200000006</v>
      </c>
      <c r="N8" s="312">
        <f t="shared" si="1"/>
        <v>21.906298</v>
      </c>
      <c r="O8" s="312">
        <f>'8-κ-15-17'!AG8</f>
        <v>86.111102500000001</v>
      </c>
      <c r="P8" s="312">
        <f>'11-χαρτόσ'!L8+'5-αντίγρ'!AM8+'6-μεταγρ'!N8+'6-μεταγρ'!O8+'7-προςΔΟΥ'!K8+'13-ντιΜιΧο'!CA8</f>
        <v>14.879999999999999</v>
      </c>
      <c r="Q8" s="312">
        <f>'13-ντιΜιΧο'!BZ8</f>
        <v>186.76</v>
      </c>
      <c r="R8" s="430"/>
      <c r="S8" s="258"/>
      <c r="T8" s="258"/>
      <c r="U8" s="258"/>
      <c r="V8" s="258"/>
      <c r="W8" s="258"/>
      <c r="X8" s="261"/>
    </row>
    <row r="9" spans="1:24" s="5" customFormat="1">
      <c r="A9" s="477">
        <f>'1-συμβολαια'!A9</f>
        <v>0</v>
      </c>
      <c r="B9" s="341" t="str">
        <f>'1-συμβολαια'!C9</f>
        <v>χρησικτησία αγροτεμάχιο 193 = 27/7/87 πατρός ΚΛΗΡΟΝΟΜΙΑ άτυπος</v>
      </c>
      <c r="C9" s="345">
        <f>'1-συμβολαια'!D9</f>
        <v>11.11</v>
      </c>
      <c r="D9" s="323"/>
      <c r="E9" s="323"/>
      <c r="F9" s="323"/>
      <c r="G9" s="323"/>
      <c r="H9" s="323"/>
      <c r="I9" s="323"/>
      <c r="J9" s="312">
        <f>'1-συμβολαια'!N9</f>
        <v>0</v>
      </c>
      <c r="K9" s="313">
        <f>'2-δικαιώμ'!O9+'5-αντίγρ'!O9</f>
        <v>1.9262980000000001</v>
      </c>
      <c r="L9" s="312"/>
      <c r="M9" s="312">
        <f>'1-συμβολαια'!O9</f>
        <v>30.477022000000002</v>
      </c>
      <c r="N9" s="312">
        <f t="shared" si="1"/>
        <v>1.9262980000000001</v>
      </c>
      <c r="O9" s="312">
        <f>'8-κ-15-17'!AG9</f>
        <v>8.6102499999999998E-2</v>
      </c>
      <c r="P9" s="312">
        <f>'11-χαρτόσ'!L9+'5-αντίγρ'!AM9+'6-μεταγρ'!N9+'6-μεταγρ'!O9+'7-προςΔΟΥ'!K9+'13-ντιΜιΧο'!CA9</f>
        <v>14.879999999999999</v>
      </c>
      <c r="Q9" s="312">
        <f>'13-ντιΜιΧο'!BZ9</f>
        <v>73.999999999999986</v>
      </c>
      <c r="R9" s="430"/>
      <c r="S9" s="258"/>
      <c r="T9" s="258"/>
      <c r="U9" s="258"/>
      <c r="V9" s="258"/>
      <c r="W9" s="258"/>
      <c r="X9" s="261"/>
    </row>
    <row r="10" spans="1:24" s="5" customFormat="1" ht="12" thickBot="1">
      <c r="A10" s="478">
        <f>'1-συμβολαια'!A10</f>
        <v>0</v>
      </c>
      <c r="B10" s="543" t="str">
        <f>'1-συμβολαια'!C10</f>
        <v>χρησικτησία αγροτεμάχιο 279 = 27/7/87 πατρός ΚΛΗΡΟΝΟΜΙΑ άτυπος</v>
      </c>
      <c r="C10" s="550">
        <f>'1-συμβολαια'!D10</f>
        <v>222.22</v>
      </c>
      <c r="D10" s="506"/>
      <c r="E10" s="506"/>
      <c r="F10" s="506"/>
      <c r="G10" s="506"/>
      <c r="H10" s="506"/>
      <c r="I10" s="506"/>
      <c r="J10" s="471">
        <f>'1-συμβολαια'!N10</f>
        <v>0</v>
      </c>
      <c r="K10" s="471">
        <f>'2-δικαιώμ'!O10+'5-αντίγρ'!O10</f>
        <v>2.3062959999999997</v>
      </c>
      <c r="L10" s="471"/>
      <c r="M10" s="471">
        <f>'1-συμβολαια'!O10</f>
        <v>32.630344000000001</v>
      </c>
      <c r="N10" s="471">
        <f t="shared" si="1"/>
        <v>2.3062959999999997</v>
      </c>
      <c r="O10" s="471">
        <f>'8-κ-15-17'!AG10</f>
        <v>1.7222050000000002</v>
      </c>
      <c r="P10" s="471">
        <f>'11-χαρτόσ'!L10+'5-αντίγρ'!AM10+'6-μεταγρ'!N10+'6-μεταγρ'!O10+'7-προςΔΟΥ'!K10+'13-ντιΜιΧο'!CA10</f>
        <v>14.879999999999999</v>
      </c>
      <c r="Q10" s="471">
        <f>'13-ντιΜιΧο'!BZ10</f>
        <v>73.999999999999986</v>
      </c>
      <c r="R10" s="551"/>
      <c r="S10" s="525"/>
      <c r="T10" s="525"/>
      <c r="U10" s="525"/>
      <c r="V10" s="525"/>
      <c r="W10" s="525"/>
      <c r="X10" s="387"/>
    </row>
    <row r="11" spans="1:24" s="5" customFormat="1" ht="12" thickBot="1">
      <c r="A11" s="480" t="str">
        <f>'1-συμβολαια'!A11</f>
        <v>3ο</v>
      </c>
      <c r="B11" s="566" t="str">
        <f>'1-συμβολαια'!C11</f>
        <v>κάθετος ΣΥΣΤΑΣΗ</v>
      </c>
      <c r="C11" s="567">
        <f>'1-συμβολαια'!D11</f>
        <v>0</v>
      </c>
      <c r="D11" s="568"/>
      <c r="E11" s="568"/>
      <c r="F11" s="568"/>
      <c r="G11" s="568"/>
      <c r="H11" s="568"/>
      <c r="I11" s="568"/>
      <c r="J11" s="484">
        <f>'1-συμβολαια'!N11</f>
        <v>96.710000000000008</v>
      </c>
      <c r="K11" s="484">
        <f>'2-δικαιώμ'!O11+'5-αντίγρ'!O11</f>
        <v>10.7195</v>
      </c>
      <c r="L11" s="484">
        <v>10.72</v>
      </c>
      <c r="M11" s="484">
        <f>'1-συμβολαια'!O11</f>
        <v>39.530499999999989</v>
      </c>
      <c r="N11" s="484">
        <f t="shared" si="1"/>
        <v>-5.0000000000061107E-4</v>
      </c>
      <c r="O11" s="484">
        <f>'8-κ-15-17'!AG11</f>
        <v>0</v>
      </c>
      <c r="P11" s="484">
        <f>'11-χαρτόσ'!L11+'5-αντίγρ'!AM11+'6-μεταγρ'!N11+'6-μεταγρ'!O11+'7-προςΔΟΥ'!K11+'13-ντιΜιΧο'!CA11</f>
        <v>36.14</v>
      </c>
      <c r="Q11" s="484">
        <f>'13-ντιΜιΧο'!BZ11</f>
        <v>329.56999999999988</v>
      </c>
      <c r="R11" s="643"/>
      <c r="S11" s="599"/>
      <c r="T11" s="599"/>
      <c r="U11" s="599"/>
      <c r="V11" s="599"/>
      <c r="W11" s="599"/>
      <c r="X11" s="569"/>
    </row>
    <row r="12" spans="1:24" s="5" customFormat="1" ht="12" thickBot="1">
      <c r="A12" s="562" t="str">
        <f>'1-συμβολαια'!A12</f>
        <v>4ο</v>
      </c>
      <c r="B12" s="564" t="str">
        <f>'1-συμβολαια'!C12</f>
        <v>γονική ΨΙΛΗΣ ΚΥΡΙΟΤΗΤΑΣ</v>
      </c>
      <c r="C12" s="565">
        <f>'1-συμβολαια'!D12</f>
        <v>19272.79</v>
      </c>
      <c r="D12" s="505"/>
      <c r="E12" s="505"/>
      <c r="F12" s="505"/>
      <c r="G12" s="505"/>
      <c r="H12" s="505"/>
      <c r="I12" s="505"/>
      <c r="J12" s="504">
        <f>'1-συμβολαια'!N12</f>
        <v>232.50999999999996</v>
      </c>
      <c r="K12" s="504">
        <f>'2-δικαιώμ'!O12+'5-αντίγρ'!O12</f>
        <v>39.439722000000003</v>
      </c>
      <c r="L12" s="504">
        <v>39.4</v>
      </c>
      <c r="M12" s="504">
        <f>'1-συμβολαια'!O12</f>
        <v>25.90375800000001</v>
      </c>
      <c r="N12" s="504">
        <f t="shared" si="1"/>
        <v>3.9722000000004698E-2</v>
      </c>
      <c r="O12" s="504">
        <f>'8-κ-15-17'!AG12</f>
        <v>4.1225000000224554E-3</v>
      </c>
      <c r="P12" s="504">
        <f>'11-χαρτόσ'!L12+'5-αντίγρ'!AM12+'6-μεταγρ'!N12+'6-μεταγρ'!O12+'7-προςΔΟΥ'!K12+'13-ντιΜιΧο'!CA12</f>
        <v>22.8</v>
      </c>
      <c r="Q12" s="504">
        <f>'13-ντιΜιΧο'!BZ12</f>
        <v>255.29</v>
      </c>
      <c r="R12" s="643"/>
      <c r="S12" s="599"/>
      <c r="T12" s="599"/>
      <c r="U12" s="599"/>
      <c r="V12" s="599"/>
      <c r="W12" s="599"/>
      <c r="X12" s="569"/>
    </row>
    <row r="13" spans="1:24" s="5" customFormat="1" ht="12" thickBot="1">
      <c r="A13" s="480" t="str">
        <f>'1-συμβολαια'!A13</f>
        <v>5ο</v>
      </c>
      <c r="B13" s="566" t="str">
        <f>'1-συμβολαια'!C13</f>
        <v>πληρεξούσιο</v>
      </c>
      <c r="C13" s="567">
        <f>'1-συμβολαια'!D13</f>
        <v>0</v>
      </c>
      <c r="D13" s="568"/>
      <c r="E13" s="568"/>
      <c r="F13" s="568"/>
      <c r="G13" s="568"/>
      <c r="H13" s="568"/>
      <c r="I13" s="568"/>
      <c r="J13" s="484">
        <f>'1-συμβολαια'!N13</f>
        <v>25.25</v>
      </c>
      <c r="K13" s="484">
        <f>'2-δικαιώμ'!O13+'5-αντίγρ'!O13</f>
        <v>2.0339</v>
      </c>
      <c r="L13" s="484">
        <v>2.0299999999999998</v>
      </c>
      <c r="M13" s="484">
        <f>'1-συμβολαια'!O13</f>
        <v>-4.0939000000000014</v>
      </c>
      <c r="N13" s="484">
        <f t="shared" si="1"/>
        <v>3.9000000000002366E-3</v>
      </c>
      <c r="O13" s="484">
        <f>'8-κ-15-17'!AG13</f>
        <v>0</v>
      </c>
      <c r="P13" s="484">
        <f>'11-χαρτόσ'!L13+'5-αντίγρ'!AM13+'6-μεταγρ'!N13+'6-μεταγρ'!O13+'7-προςΔΟΥ'!K13+'13-ντιΜιΧο'!CA13</f>
        <v>0</v>
      </c>
      <c r="Q13" s="484">
        <f>'13-ντιΜιΧο'!BZ13</f>
        <v>0.6</v>
      </c>
      <c r="R13" s="668"/>
      <c r="S13" s="603"/>
      <c r="T13" s="603"/>
      <c r="U13" s="603"/>
      <c r="V13" s="603"/>
      <c r="W13" s="603"/>
      <c r="X13" s="492"/>
    </row>
    <row r="14" spans="1:24" s="5" customFormat="1">
      <c r="A14" s="672" t="str">
        <f>'1-συμβολαια'!A14</f>
        <v>6ο</v>
      </c>
      <c r="B14" s="541" t="str">
        <f>'1-συμβολαια'!C14</f>
        <v>μίσθωση αγροτεμαχίων 15 έτη { έως 19/1/2019 }</v>
      </c>
      <c r="C14" s="549">
        <f>'1-συμβολαια'!D14</f>
        <v>8109</v>
      </c>
      <c r="D14" s="314"/>
      <c r="E14" s="314"/>
      <c r="F14" s="314"/>
      <c r="G14" s="314"/>
      <c r="H14" s="314"/>
      <c r="I14" s="314"/>
      <c r="J14" s="313">
        <f>'1-συμβολαια'!N14</f>
        <v>78.570000000000007</v>
      </c>
      <c r="K14" s="313">
        <f>'2-δικαιώμ'!O14+'5-αντίγρ'!O14</f>
        <v>20.766100000000002</v>
      </c>
      <c r="L14" s="313">
        <v>15.55</v>
      </c>
      <c r="M14" s="313">
        <f>'1-συμβολαια'!O14</f>
        <v>71.931899999999999</v>
      </c>
      <c r="N14" s="313">
        <f t="shared" si="1"/>
        <v>5.2161000000000008</v>
      </c>
      <c r="O14" s="313">
        <f>'8-κ-15-17'!AG14</f>
        <v>47.567000000000014</v>
      </c>
      <c r="P14" s="313">
        <f>'11-χαρτόσ'!L14+'5-αντίγρ'!AM14+'6-μεταγρ'!N14+'6-μεταγρ'!O14+'7-προςΔΟΥ'!K14+'13-ντιΜιΧο'!CA14</f>
        <v>23.299999999999997</v>
      </c>
      <c r="Q14" s="313">
        <f>'13-ντιΜιΧο'!BZ14</f>
        <v>188.78999999999996</v>
      </c>
      <c r="R14" s="265"/>
      <c r="S14" s="262"/>
      <c r="T14" s="262"/>
      <c r="U14" s="262"/>
      <c r="V14" s="262"/>
      <c r="W14" s="262"/>
      <c r="X14" s="257"/>
    </row>
    <row r="15" spans="1:24" s="5" customFormat="1">
      <c r="A15" s="465">
        <f>'1-συμβολαια'!A15</f>
        <v>0</v>
      </c>
      <c r="B15" s="341" t="str">
        <f>'1-συμβολαια'!C15</f>
        <v>ΧΡΗΣΙΚΤΗΣΙΑ αγροτεμαχίων 2'-3' = 19?? ΑΝΑΔΑΣΜΟΣ</v>
      </c>
      <c r="C15" s="345">
        <f>'1-συμβολαια'!D15</f>
        <v>444.44</v>
      </c>
      <c r="D15" s="323"/>
      <c r="E15" s="323"/>
      <c r="F15" s="323"/>
      <c r="G15" s="323"/>
      <c r="H15" s="323"/>
      <c r="I15" s="323"/>
      <c r="J15" s="312">
        <f>'1-συμβολαια'!N15</f>
        <v>0</v>
      </c>
      <c r="K15" s="313">
        <f>'2-δικαιώμ'!O15+'5-αντίγρ'!O15</f>
        <v>2.7062920000000004</v>
      </c>
      <c r="L15" s="312"/>
      <c r="M15" s="312">
        <f>'1-συμβολαια'!O15</f>
        <v>24.906987999999998</v>
      </c>
      <c r="N15" s="312">
        <f t="shared" si="1"/>
        <v>2.7062920000000004</v>
      </c>
      <c r="O15" s="312">
        <f>'8-κ-15-17'!AG15</f>
        <v>3.4444100000000004</v>
      </c>
      <c r="P15" s="312">
        <f>'11-χαρτόσ'!L15+'5-αντίγρ'!AM15+'6-μεταγρ'!N15+'6-μεταγρ'!O15+'7-προςΔΟΥ'!K15+'13-ντιΜιΧο'!CA15</f>
        <v>3</v>
      </c>
      <c r="Q15" s="312">
        <f>'13-ντιΜιΧο'!BZ15</f>
        <v>0</v>
      </c>
      <c r="R15" s="430"/>
      <c r="S15" s="258"/>
      <c r="T15" s="258"/>
      <c r="U15" s="258"/>
      <c r="V15" s="258"/>
      <c r="W15" s="258"/>
      <c r="X15" s="261"/>
    </row>
    <row r="16" spans="1:24" s="5" customFormat="1">
      <c r="A16" s="465">
        <f>'1-συμβολαια'!A16</f>
        <v>0</v>
      </c>
      <c r="B16" s="341" t="str">
        <f>'1-συμβολαια'!C16</f>
        <v>ΧΡΗΣΙΚΤΗΣΙΑ αγροτεμαχίων υπόλοιπων 12 = πατρός 19?? ΔΩΡΕΕΣ &amp; ΚΛΗΡΟΝΟΜΙΕΣ άτυπες</v>
      </c>
      <c r="C16" s="345">
        <f>'1-συμβολαια'!D16</f>
        <v>2222.2199999999998</v>
      </c>
      <c r="D16" s="323"/>
      <c r="E16" s="323"/>
      <c r="F16" s="323"/>
      <c r="G16" s="323"/>
      <c r="H16" s="323"/>
      <c r="I16" s="323"/>
      <c r="J16" s="312">
        <f>'1-συμβολαια'!N16</f>
        <v>0</v>
      </c>
      <c r="K16" s="312">
        <f>'2-δικαιώμ'!O16+'5-αντίγρ'!O16</f>
        <v>5.9062959999999993</v>
      </c>
      <c r="L16" s="312"/>
      <c r="M16" s="312">
        <f>'1-συμβολαια'!O16</f>
        <v>43.040343999999997</v>
      </c>
      <c r="N16" s="312">
        <f t="shared" si="1"/>
        <v>5.9062959999999993</v>
      </c>
      <c r="O16" s="312">
        <f>'8-κ-15-17'!AG16</f>
        <v>17.222204999999999</v>
      </c>
      <c r="P16" s="312">
        <f>'11-χαρτόσ'!L16+'5-αντίγρ'!AM16+'6-μεταγρ'!N16+'6-μεταγρ'!O16+'7-προςΔΟΥ'!K16+'13-ντιΜιΧο'!CA16</f>
        <v>3</v>
      </c>
      <c r="Q16" s="312">
        <f>'13-ντιΜιΧο'!BZ16</f>
        <v>0</v>
      </c>
      <c r="R16" s="430"/>
      <c r="S16" s="258"/>
      <c r="T16" s="258"/>
      <c r="U16" s="258"/>
      <c r="V16" s="258"/>
      <c r="W16" s="258"/>
      <c r="X16" s="261"/>
    </row>
    <row r="17" spans="1:28" s="5" customFormat="1" ht="12" thickBot="1">
      <c r="A17" s="467">
        <f>'1-συμβολαια'!A17</f>
        <v>0</v>
      </c>
      <c r="B17" s="543" t="str">
        <f>'1-συμβολαια'!C17</f>
        <v>μίσθωση = ΠΑΓΙΑ ως νέος αγρότης</v>
      </c>
      <c r="C17" s="550">
        <f>'1-συμβολαια'!D17</f>
        <v>11111.11</v>
      </c>
      <c r="D17" s="506"/>
      <c r="E17" s="506"/>
      <c r="F17" s="506"/>
      <c r="G17" s="506"/>
      <c r="H17" s="506"/>
      <c r="I17" s="506"/>
      <c r="J17" s="471">
        <f>'1-συμβολαια'!N17</f>
        <v>0</v>
      </c>
      <c r="K17" s="471">
        <f>'2-δικαιώμ'!O17+'5-αντίγρ'!O17</f>
        <v>21.906298</v>
      </c>
      <c r="L17" s="471"/>
      <c r="M17" s="471">
        <f>'1-συμβολαια'!O17</f>
        <v>133.70702200000002</v>
      </c>
      <c r="N17" s="471">
        <f t="shared" si="1"/>
        <v>21.906298</v>
      </c>
      <c r="O17" s="471">
        <f>'8-κ-15-17'!AG17</f>
        <v>144.44443000000001</v>
      </c>
      <c r="P17" s="471">
        <f>'11-χαρτόσ'!L17+'5-αντίγρ'!AM17+'6-μεταγρ'!N17+'6-μεταγρ'!O17+'7-προςΔΟΥ'!K17+'13-ντιΜιΧο'!CA17</f>
        <v>3</v>
      </c>
      <c r="Q17" s="471">
        <f>'13-ντιΜιΧο'!BZ17</f>
        <v>0</v>
      </c>
      <c r="R17" s="551"/>
      <c r="S17" s="525"/>
      <c r="T17" s="525"/>
      <c r="U17" s="525"/>
      <c r="V17" s="525"/>
      <c r="W17" s="525"/>
      <c r="X17" s="387"/>
    </row>
    <row r="18" spans="1:28" s="5" customFormat="1" ht="12" thickBot="1">
      <c r="A18" s="480" t="str">
        <f>'1-συμβολαια'!A18</f>
        <v>7ο</v>
      </c>
      <c r="B18" s="566" t="str">
        <f>'1-συμβολαια'!C18</f>
        <v>*καθετου συστάσεως 2.539 ΔΙΟΡΘΩΣΗ</v>
      </c>
      <c r="C18" s="567">
        <f>'1-συμβολαια'!D18</f>
        <v>0</v>
      </c>
      <c r="D18" s="568"/>
      <c r="E18" s="568"/>
      <c r="F18" s="568"/>
      <c r="G18" s="568"/>
      <c r="H18" s="568"/>
      <c r="I18" s="568"/>
      <c r="J18" s="484">
        <f>'1-συμβολαια'!N18</f>
        <v>84.71</v>
      </c>
      <c r="K18" s="484">
        <f>'2-δικαιώμ'!O18+'5-αντίγρ'!O18</f>
        <v>4.1657000000000002</v>
      </c>
      <c r="L18" s="484">
        <v>9.86</v>
      </c>
      <c r="M18" s="484">
        <f>'1-συμβολαια'!O18</f>
        <v>-39.845699999999994</v>
      </c>
      <c r="N18" s="484">
        <f t="shared" si="1"/>
        <v>-5.6942999999999993</v>
      </c>
      <c r="O18" s="484">
        <f>'8-κ-15-17'!AG18</f>
        <v>0</v>
      </c>
      <c r="P18" s="484">
        <f>'11-χαρτόσ'!L18+'5-αντίγρ'!AM18+'6-μεταγρ'!N18+'6-μεταγρ'!O18+'7-προςΔΟΥ'!K18+'13-ντιΜιΧο'!CA18</f>
        <v>11.879999999999999</v>
      </c>
      <c r="Q18" s="484">
        <f>'13-ντιΜιΧο'!BZ18</f>
        <v>35.239999999999995</v>
      </c>
      <c r="R18" s="668"/>
      <c r="S18" s="603"/>
      <c r="T18" s="603"/>
      <c r="U18" s="603"/>
      <c r="V18" s="603"/>
      <c r="W18" s="603"/>
      <c r="X18" s="492"/>
    </row>
    <row r="19" spans="1:28" s="5" customFormat="1" ht="12" thickBot="1">
      <c r="A19" s="480" t="str">
        <f>'1-συμβολαια'!A19</f>
        <v>8ο</v>
      </c>
      <c r="B19" s="566" t="str">
        <f>'1-συμβολαια'!C19</f>
        <v>*γονικής 2.540 ΔΙΟΡΘΩΣΗ</v>
      </c>
      <c r="C19" s="567">
        <f>'1-συμβολαια'!D19</f>
        <v>0</v>
      </c>
      <c r="D19" s="568"/>
      <c r="E19" s="568"/>
      <c r="F19" s="568"/>
      <c r="G19" s="568"/>
      <c r="H19" s="568"/>
      <c r="I19" s="568"/>
      <c r="J19" s="484">
        <f>'1-συμβολαια'!N19</f>
        <v>53.05</v>
      </c>
      <c r="K19" s="484">
        <f>'2-δικαιώμ'!O19+'5-αντίγρ'!O19</f>
        <v>5.2316000000000003</v>
      </c>
      <c r="L19" s="484">
        <v>5.23</v>
      </c>
      <c r="M19" s="484">
        <f>'1-συμβολαια'!O19</f>
        <v>2.7884000000000029</v>
      </c>
      <c r="N19" s="484">
        <f t="shared" si="1"/>
        <v>1.5999999999998238E-3</v>
      </c>
      <c r="O19" s="484">
        <f>'8-κ-15-17'!AG19</f>
        <v>0</v>
      </c>
      <c r="P19" s="484">
        <f>'11-χαρτόσ'!L19+'5-αντίγρ'!AM19+'6-μεταγρ'!N19+'6-μεταγρ'!O19+'7-προςΔΟΥ'!K19+'13-ντιΜιΧο'!CA19</f>
        <v>19.799999999999997</v>
      </c>
      <c r="Q19" s="484">
        <f>'13-ντιΜιΧο'!BZ19</f>
        <v>64.31</v>
      </c>
      <c r="R19" s="668"/>
      <c r="S19" s="603"/>
      <c r="T19" s="603"/>
      <c r="U19" s="603"/>
      <c r="V19" s="603"/>
      <c r="W19" s="603"/>
      <c r="X19" s="492"/>
    </row>
    <row r="20" spans="1:28" s="5" customFormat="1">
      <c r="A20" s="672" t="str">
        <f>'1-συμβολαια'!A20</f>
        <v>9ο</v>
      </c>
      <c r="B20" s="541" t="str">
        <f>'1-συμβολαια'!C20</f>
        <v>γονική</v>
      </c>
      <c r="C20" s="549">
        <f>'1-συμβολαια'!D20</f>
        <v>1400</v>
      </c>
      <c r="D20" s="314"/>
      <c r="E20" s="314"/>
      <c r="F20" s="314"/>
      <c r="G20" s="314"/>
      <c r="H20" s="314"/>
      <c r="I20" s="314"/>
      <c r="J20" s="313">
        <f>'1-συμβολαια'!N20</f>
        <v>91.89</v>
      </c>
      <c r="K20" s="313">
        <f>'2-δικαιώμ'!O20+'5-αντίγρ'!O20</f>
        <v>9.7558000000000007</v>
      </c>
      <c r="L20" s="313">
        <v>6.66</v>
      </c>
      <c r="M20" s="313">
        <f>'1-συμβολαια'!O20</f>
        <v>19.634199999999993</v>
      </c>
      <c r="N20" s="313">
        <f t="shared" si="1"/>
        <v>3.0958000000000006</v>
      </c>
      <c r="O20" s="313">
        <f>'8-κ-15-17'!AG20</f>
        <v>10.850000000000001</v>
      </c>
      <c r="P20" s="313">
        <f>'11-χαρτόσ'!L20+'5-αντίγρ'!AM20+'6-μεταγρ'!N20+'6-μεταγρ'!O20+'7-προςΔΟΥ'!K20+'13-ντιΜιΧο'!CA20</f>
        <v>22.8</v>
      </c>
      <c r="Q20" s="313">
        <f>'13-ντιΜιΧο'!BZ20</f>
        <v>314.13</v>
      </c>
      <c r="R20" s="265"/>
      <c r="S20" s="262"/>
      <c r="T20" s="262"/>
      <c r="U20" s="262"/>
      <c r="V20" s="262"/>
      <c r="W20" s="262"/>
      <c r="X20" s="257"/>
    </row>
    <row r="21" spans="1:28" s="5" customFormat="1" ht="12" thickBot="1">
      <c r="A21" s="467">
        <f>'1-συμβολαια'!A21</f>
        <v>0</v>
      </c>
      <c r="B21" s="543" t="str">
        <f>'1-συμβολαια'!C21</f>
        <v>ΧΡΗΣΙΚΤΗΣΙΑ οικοπέδου ΄΄κάστρο'' 52,50μ2 = 1970 κυδωνηςΙωαννης ΔΩΡΕΑ άτυπη</v>
      </c>
      <c r="C21" s="550">
        <f>'1-συμβολαια'!D21</f>
        <v>111.11</v>
      </c>
      <c r="D21" s="506"/>
      <c r="E21" s="506"/>
      <c r="F21" s="506"/>
      <c r="G21" s="506"/>
      <c r="H21" s="506"/>
      <c r="I21" s="506"/>
      <c r="J21" s="471">
        <f>'1-συμβολαια'!N21</f>
        <v>0</v>
      </c>
      <c r="K21" s="471">
        <f>'2-δικαιώμ'!O21+'5-αντίγρ'!O21</f>
        <v>2.1062980000000002</v>
      </c>
      <c r="L21" s="471"/>
      <c r="M21" s="471">
        <f>'1-συμβολαια'!O21</f>
        <v>45.567022000000001</v>
      </c>
      <c r="N21" s="471">
        <f t="shared" si="1"/>
        <v>2.1062980000000002</v>
      </c>
      <c r="O21" s="471">
        <f>'8-κ-15-17'!AG21</f>
        <v>0.8611025000000001</v>
      </c>
      <c r="P21" s="471">
        <f>'11-χαρτόσ'!L21+'5-αντίγρ'!AM21+'6-μεταγρ'!N21+'6-μεταγρ'!O21+'7-προςΔΟΥ'!K21+'13-ντιΜιΧο'!CA21</f>
        <v>6.9600000000000009</v>
      </c>
      <c r="Q21" s="471">
        <f>'13-ντιΜιΧο'!BZ21</f>
        <v>149.47</v>
      </c>
      <c r="R21" s="551"/>
      <c r="S21" s="525"/>
      <c r="T21" s="525"/>
      <c r="U21" s="525"/>
      <c r="V21" s="525"/>
      <c r="W21" s="525"/>
      <c r="X21" s="387"/>
    </row>
    <row r="22" spans="1:28">
      <c r="A22" s="914" t="s">
        <v>56</v>
      </c>
      <c r="B22" s="914"/>
      <c r="C22" s="914"/>
      <c r="D22" s="397">
        <f t="shared" ref="D22:X22" si="2">SUM(D3:D21)</f>
        <v>0</v>
      </c>
      <c r="E22" s="397">
        <f t="shared" si="2"/>
        <v>0</v>
      </c>
      <c r="F22" s="397">
        <f t="shared" si="2"/>
        <v>0</v>
      </c>
      <c r="G22" s="397">
        <f t="shared" si="2"/>
        <v>0</v>
      </c>
      <c r="H22" s="397">
        <f t="shared" si="2"/>
        <v>0</v>
      </c>
      <c r="I22" s="397">
        <f t="shared" si="2"/>
        <v>0</v>
      </c>
      <c r="J22" s="397">
        <f t="shared" si="2"/>
        <v>764.68999999999994</v>
      </c>
      <c r="K22" s="397">
        <f t="shared" si="2"/>
        <v>169.73588999999998</v>
      </c>
      <c r="L22" s="397">
        <f t="shared" si="2"/>
        <v>100.17</v>
      </c>
      <c r="M22" s="397">
        <f t="shared" si="2"/>
        <v>694.65870999999993</v>
      </c>
      <c r="N22" s="397">
        <f t="shared" si="2"/>
        <v>69.565889999999996</v>
      </c>
      <c r="O22" s="397">
        <f t="shared" si="2"/>
        <v>322.73209000000008</v>
      </c>
      <c r="P22" s="397">
        <f t="shared" si="2"/>
        <v>282.56</v>
      </c>
      <c r="Q22" s="397">
        <f t="shared" si="2"/>
        <v>2756.4399999999996</v>
      </c>
      <c r="R22" s="398">
        <f t="shared" si="2"/>
        <v>0</v>
      </c>
      <c r="S22" s="398">
        <f t="shared" si="2"/>
        <v>0</v>
      </c>
      <c r="T22" s="398">
        <f t="shared" si="2"/>
        <v>0</v>
      </c>
      <c r="U22" s="398">
        <f t="shared" si="2"/>
        <v>0</v>
      </c>
      <c r="V22" s="398">
        <f t="shared" si="2"/>
        <v>0</v>
      </c>
      <c r="W22" s="398">
        <f t="shared" si="2"/>
        <v>0</v>
      </c>
      <c r="X22" s="399">
        <f t="shared" si="2"/>
        <v>0</v>
      </c>
    </row>
    <row r="24" spans="1:28" ht="15.75" customHeight="1">
      <c r="L24" s="62"/>
      <c r="R24" s="2"/>
      <c r="S24" s="2"/>
      <c r="T24" s="2"/>
      <c r="U24" s="2"/>
      <c r="V24" s="2"/>
    </row>
    <row r="25" spans="1:28">
      <c r="S25" s="81"/>
      <c r="T25" s="81"/>
      <c r="U25" s="81"/>
      <c r="V25" s="81"/>
      <c r="W25" s="81"/>
      <c r="X25" s="81"/>
      <c r="Y25" s="81"/>
      <c r="Z25" s="81"/>
      <c r="AA25" s="81"/>
      <c r="AB25" s="81"/>
    </row>
    <row r="26" spans="1:28">
      <c r="S26" s="81"/>
      <c r="T26" s="81"/>
      <c r="U26" s="81"/>
      <c r="V26" s="81"/>
      <c r="W26" s="81"/>
      <c r="X26" s="81"/>
      <c r="Y26" s="81"/>
      <c r="Z26" s="81"/>
      <c r="AA26" s="81"/>
      <c r="AB26" s="81"/>
    </row>
    <row r="27" spans="1:28" s="5" customFormat="1">
      <c r="A27" s="56"/>
      <c r="B27" s="105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</row>
    <row r="28" spans="1:28">
      <c r="K28" s="4"/>
    </row>
  </sheetData>
  <mergeCells count="12">
    <mergeCell ref="D1:E1"/>
    <mergeCell ref="F1:G1"/>
    <mergeCell ref="H1:I1"/>
    <mergeCell ref="A22:C22"/>
    <mergeCell ref="A1:A2"/>
    <mergeCell ref="B1:B2"/>
    <mergeCell ref="C1:C2"/>
    <mergeCell ref="R1:X1"/>
    <mergeCell ref="R2:W2"/>
    <mergeCell ref="M1:Q1"/>
    <mergeCell ref="J1:J2"/>
    <mergeCell ref="K1:L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39"/>
  <sheetViews>
    <sheetView workbookViewId="0">
      <pane ySplit="2" topLeftCell="A3" activePane="bottomLeft" state="frozen"/>
      <selection pane="bottomLeft" activeCell="D32" sqref="D32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922" t="s">
        <v>75</v>
      </c>
      <c r="B1" s="922"/>
      <c r="C1" s="922"/>
      <c r="D1" s="922"/>
      <c r="E1" s="922"/>
      <c r="F1" s="922"/>
      <c r="G1" s="922"/>
      <c r="H1" s="922"/>
      <c r="I1" s="922"/>
      <c r="J1" s="922"/>
      <c r="K1" s="922"/>
      <c r="L1" s="922"/>
      <c r="M1" s="922"/>
      <c r="N1" s="922"/>
      <c r="O1" s="922"/>
      <c r="P1" s="922"/>
      <c r="Q1" s="922"/>
    </row>
    <row r="2" spans="1:17" s="8" customFormat="1" ht="23.25" customHeight="1" thickBot="1">
      <c r="A2" s="233" t="s">
        <v>19</v>
      </c>
      <c r="B2" s="923" t="s">
        <v>29</v>
      </c>
      <c r="C2" s="924"/>
      <c r="D2" s="925"/>
      <c r="E2" s="926" t="s">
        <v>83</v>
      </c>
      <c r="F2" s="927"/>
      <c r="G2" s="927"/>
      <c r="H2" s="928"/>
      <c r="I2" s="929" t="s">
        <v>83</v>
      </c>
      <c r="J2" s="930"/>
      <c r="K2" s="930"/>
      <c r="L2" s="931"/>
      <c r="M2" s="234" t="s">
        <v>38</v>
      </c>
      <c r="N2" s="234" t="s">
        <v>39</v>
      </c>
      <c r="O2" s="234" t="s">
        <v>40</v>
      </c>
      <c r="P2" s="234" t="s">
        <v>41</v>
      </c>
      <c r="Q2" s="234" t="s">
        <v>42</v>
      </c>
    </row>
    <row r="3" spans="1:17" s="16" customFormat="1">
      <c r="A3" s="28" t="str">
        <f>'1-συμβολαια'!A3</f>
        <v>1ο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</row>
    <row r="4" spans="1:17" s="16" customFormat="1">
      <c r="A4" s="28">
        <f>'1-συμβολαια'!A4</f>
        <v>0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</row>
    <row r="5" spans="1:17" s="16" customFormat="1">
      <c r="A5" s="28">
        <f>'1-συμβολαια'!A5</f>
        <v>0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</row>
    <row r="6" spans="1:17" s="16" customFormat="1">
      <c r="A6" s="28">
        <f>'1-συμβολαια'!A6</f>
        <v>0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</row>
    <row r="7" spans="1:17" s="16" customFormat="1">
      <c r="A7" s="28" t="str">
        <f>'1-συμβολαια'!A7</f>
        <v>2ο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</row>
    <row r="8" spans="1:17" s="16" customFormat="1">
      <c r="A8" s="28">
        <f>'1-συμβολαια'!A8</f>
        <v>0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</row>
    <row r="9" spans="1:17" s="16" customFormat="1">
      <c r="A9" s="28">
        <f>'1-συμβολαια'!A9</f>
        <v>0</v>
      </c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</row>
    <row r="10" spans="1:17" s="16" customFormat="1">
      <c r="A10" s="28">
        <f>'1-συμβολαια'!A10</f>
        <v>0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</row>
    <row r="11" spans="1:17" s="16" customFormat="1">
      <c r="A11" s="28" t="str">
        <f>'1-συμβολαια'!A11</f>
        <v>3ο</v>
      </c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</row>
    <row r="12" spans="1:17" s="16" customFormat="1">
      <c r="A12" s="28" t="str">
        <f>'1-συμβολαια'!A12</f>
        <v>4ο</v>
      </c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</row>
    <row r="13" spans="1:17" s="16" customFormat="1">
      <c r="A13" s="28" t="str">
        <f>'1-συμβολαια'!A13</f>
        <v>5ο</v>
      </c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</row>
    <row r="14" spans="1:17" s="16" customFormat="1">
      <c r="A14" s="28" t="str">
        <f>'1-συμβολαια'!A14</f>
        <v>6ο</v>
      </c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</row>
    <row r="15" spans="1:17" s="16" customFormat="1">
      <c r="A15" s="28">
        <f>'1-συμβολαια'!A15</f>
        <v>0</v>
      </c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</row>
    <row r="16" spans="1:17" s="16" customFormat="1">
      <c r="A16" s="28">
        <f>'1-συμβολαια'!A16</f>
        <v>0</v>
      </c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</row>
    <row r="17" spans="1:23" s="16" customFormat="1">
      <c r="A17" s="28">
        <f>'1-συμβολαια'!A17</f>
        <v>0</v>
      </c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</row>
    <row r="18" spans="1:23" s="16" customFormat="1">
      <c r="A18" s="28" t="str">
        <f>'1-συμβολαια'!A18</f>
        <v>7ο</v>
      </c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</row>
    <row r="19" spans="1:23" s="16" customFormat="1">
      <c r="A19" s="28" t="str">
        <f>'1-συμβολαια'!A19</f>
        <v>8ο</v>
      </c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</row>
    <row r="20" spans="1:23" s="16" customFormat="1">
      <c r="A20" s="28" t="str">
        <f>'1-συμβολαια'!A20</f>
        <v>9ο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</row>
    <row r="21" spans="1:23" s="16" customFormat="1">
      <c r="A21" s="28">
        <f>'1-συμβολαια'!A21</f>
        <v>0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</row>
    <row r="22" spans="1:23" s="16" customFormat="1">
      <c r="A22" s="28" t="e">
        <f>'1-συμβολαια'!#REF!</f>
        <v>#REF!</v>
      </c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</row>
    <row r="23" spans="1:23" s="16" customFormat="1">
      <c r="A23" s="28" t="e">
        <f>'1-συμβολαια'!#REF!</f>
        <v>#REF!</v>
      </c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</row>
    <row r="24" spans="1:23" s="16" customFormat="1">
      <c r="A24" s="28" t="e">
        <f>'1-συμβολαια'!#REF!</f>
        <v>#REF!</v>
      </c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</row>
    <row r="26" spans="1:23" ht="15.75" customHeight="1">
      <c r="B26" s="920" t="s">
        <v>103</v>
      </c>
      <c r="C26" s="920"/>
      <c r="D26" s="920"/>
      <c r="E26" s="920"/>
      <c r="F26" s="920"/>
      <c r="G26" s="920"/>
      <c r="H26" s="920"/>
      <c r="I26" s="920"/>
      <c r="J26" s="920"/>
      <c r="K26" s="920"/>
      <c r="L26" s="3"/>
      <c r="M26" s="3"/>
      <c r="N26" s="3"/>
      <c r="O26" s="3"/>
      <c r="P26" s="3"/>
      <c r="Q26" s="3"/>
    </row>
    <row r="27" spans="1:23" ht="15.75" customHeight="1">
      <c r="C27" s="921" t="s">
        <v>104</v>
      </c>
      <c r="D27" s="921"/>
      <c r="E27" s="921"/>
      <c r="F27" s="921"/>
      <c r="G27" s="921"/>
      <c r="H27" s="921"/>
      <c r="I27" s="921"/>
      <c r="J27" s="921"/>
      <c r="K27" s="921"/>
      <c r="L27" s="3"/>
      <c r="M27" s="3"/>
      <c r="N27" s="3"/>
      <c r="O27" s="3"/>
      <c r="P27" s="3"/>
      <c r="Q27" s="3"/>
    </row>
    <row r="28" spans="1:23" ht="15.75" customHeight="1">
      <c r="D28" s="920" t="s">
        <v>286</v>
      </c>
      <c r="E28" s="920"/>
      <c r="F28" s="920"/>
      <c r="G28" s="920"/>
      <c r="H28" s="920"/>
      <c r="I28" s="920"/>
      <c r="J28" s="920"/>
      <c r="K28" s="920"/>
      <c r="L28" s="920"/>
      <c r="M28" s="920"/>
      <c r="N28" s="920"/>
      <c r="O28" s="920"/>
      <c r="P28" s="3"/>
      <c r="Q28" s="3"/>
    </row>
    <row r="29" spans="1:23" s="5" customFormat="1" ht="15.75" customHeight="1">
      <c r="A29" s="56"/>
      <c r="B29" s="231"/>
      <c r="C29" s="231"/>
      <c r="D29" s="232"/>
      <c r="E29" s="921" t="s">
        <v>426</v>
      </c>
      <c r="F29" s="921"/>
      <c r="G29" s="921"/>
      <c r="H29" s="921"/>
      <c r="I29" s="921"/>
      <c r="J29" s="921"/>
      <c r="K29" s="921"/>
      <c r="L29" s="921"/>
      <c r="M29" s="921"/>
      <c r="N29" s="3"/>
      <c r="O29" s="3"/>
      <c r="P29" s="3"/>
      <c r="Q29" s="3"/>
    </row>
    <row r="30" spans="1:23" s="5" customFormat="1" ht="15.75" customHeight="1">
      <c r="A30" s="56"/>
      <c r="B30" s="231"/>
      <c r="C30" s="231"/>
      <c r="D30" s="232"/>
      <c r="E30" s="6"/>
      <c r="F30" s="920" t="s">
        <v>126</v>
      </c>
      <c r="G30" s="920"/>
      <c r="H30" s="920"/>
      <c r="I30" s="920"/>
      <c r="J30" s="920"/>
      <c r="K30" s="920"/>
      <c r="L30" s="920"/>
      <c r="M30" s="920"/>
      <c r="N30" s="920"/>
      <c r="O30" s="920"/>
      <c r="P30" s="920"/>
      <c r="Q30" s="3"/>
    </row>
    <row r="31" spans="1:23" s="5" customFormat="1" ht="15.75" customHeight="1">
      <c r="A31" s="56"/>
      <c r="B31" s="231"/>
      <c r="C31" s="231"/>
      <c r="D31" s="232"/>
      <c r="E31" s="6"/>
      <c r="F31" s="6"/>
      <c r="G31" s="921" t="s">
        <v>427</v>
      </c>
      <c r="H31" s="921"/>
      <c r="I31" s="921"/>
      <c r="J31" s="921"/>
      <c r="K31" s="921"/>
      <c r="L31" s="921"/>
      <c r="M31" s="921"/>
      <c r="N31" s="921"/>
      <c r="O31" s="921"/>
      <c r="P31" s="921"/>
      <c r="Q31" s="921"/>
    </row>
    <row r="32" spans="1:23" s="5" customFormat="1" ht="15.75" customHeight="1">
      <c r="A32" s="56"/>
      <c r="B32" s="231"/>
      <c r="C32" s="231"/>
      <c r="D32" s="232"/>
      <c r="E32" s="6"/>
      <c r="F32" s="6"/>
      <c r="G32" s="226"/>
      <c r="H32" s="920" t="s">
        <v>105</v>
      </c>
      <c r="I32" s="920"/>
      <c r="J32" s="920"/>
      <c r="K32" s="920"/>
      <c r="L32" s="920"/>
      <c r="M32" s="920"/>
      <c r="N32" s="920"/>
      <c r="O32" s="3"/>
      <c r="P32" s="3"/>
      <c r="Q32" s="3"/>
      <c r="R32" s="3"/>
      <c r="S32" s="3"/>
      <c r="T32" s="3"/>
      <c r="U32" s="3"/>
      <c r="V32" s="3"/>
      <c r="W32" s="3"/>
    </row>
    <row r="33" spans="1:23" s="5" customFormat="1" ht="15.75" customHeight="1">
      <c r="A33" s="56"/>
      <c r="B33" s="231"/>
      <c r="C33" s="231"/>
      <c r="D33" s="232"/>
      <c r="E33" s="6"/>
      <c r="F33" s="6"/>
      <c r="G33" s="226"/>
      <c r="H33" s="6"/>
      <c r="I33" s="921" t="s">
        <v>106</v>
      </c>
      <c r="J33" s="921"/>
      <c r="K33" s="921"/>
      <c r="L33" s="921"/>
      <c r="M33" s="921"/>
      <c r="N33" s="921"/>
      <c r="O33" s="921"/>
      <c r="P33" s="921"/>
      <c r="Q33" s="921"/>
      <c r="R33" s="921"/>
      <c r="S33" s="3"/>
      <c r="T33" s="3"/>
      <c r="U33" s="3"/>
      <c r="V33" s="3"/>
      <c r="W33" s="3"/>
    </row>
    <row r="34" spans="1:23" s="5" customFormat="1" ht="15.75" customHeight="1">
      <c r="A34" s="56"/>
      <c r="B34" s="231"/>
      <c r="C34" s="231"/>
      <c r="D34" s="232"/>
      <c r="E34" s="6"/>
      <c r="F34" s="6"/>
      <c r="G34" s="226"/>
      <c r="H34" s="6"/>
      <c r="I34" s="6"/>
      <c r="J34" s="920" t="s">
        <v>107</v>
      </c>
      <c r="K34" s="920"/>
      <c r="L34" s="920"/>
      <c r="M34" s="920"/>
      <c r="N34" s="920"/>
      <c r="O34" s="920"/>
      <c r="P34" s="920"/>
      <c r="Q34" s="920"/>
      <c r="R34" s="3"/>
      <c r="S34" s="3"/>
      <c r="T34" s="3"/>
      <c r="U34" s="3"/>
      <c r="V34" s="3"/>
      <c r="W34" s="3"/>
    </row>
    <row r="35" spans="1:23" s="5" customFormat="1" ht="15.75" customHeight="1">
      <c r="A35" s="56"/>
      <c r="B35" s="231"/>
      <c r="C35" s="231"/>
      <c r="D35" s="232"/>
      <c r="E35" s="6"/>
      <c r="F35" s="6"/>
      <c r="G35" s="226"/>
      <c r="H35" s="6"/>
      <c r="I35" s="6"/>
      <c r="J35" s="6"/>
      <c r="K35" s="932" t="s">
        <v>127</v>
      </c>
      <c r="L35" s="932"/>
      <c r="M35" s="932"/>
      <c r="N35" s="932"/>
      <c r="O35" s="932"/>
      <c r="P35" s="932"/>
      <c r="Q35" s="932"/>
      <c r="R35" s="932"/>
      <c r="S35" s="932"/>
      <c r="T35" s="932"/>
      <c r="U35" s="932"/>
      <c r="V35" s="3"/>
      <c r="W35" s="3"/>
    </row>
    <row r="36" spans="1:23" s="5" customFormat="1" ht="15.75" customHeight="1">
      <c r="A36" s="56"/>
      <c r="B36" s="231"/>
      <c r="C36" s="231"/>
      <c r="D36" s="232"/>
      <c r="E36" s="6"/>
      <c r="F36" s="6"/>
      <c r="G36" s="226"/>
      <c r="H36" s="6"/>
      <c r="I36" s="6"/>
      <c r="J36" s="6"/>
      <c r="K36" s="6"/>
      <c r="L36" s="920" t="s">
        <v>108</v>
      </c>
      <c r="M36" s="920"/>
      <c r="N36" s="920"/>
      <c r="O36" s="920"/>
      <c r="P36" s="920"/>
      <c r="Q36" s="920"/>
      <c r="R36" s="920"/>
      <c r="S36" s="920"/>
      <c r="T36" s="3"/>
      <c r="U36" s="3"/>
      <c r="V36" s="3"/>
      <c r="W36" s="3"/>
    </row>
    <row r="37" spans="1:23" s="5" customFormat="1" ht="15.75" customHeight="1">
      <c r="A37" s="56"/>
      <c r="B37" s="231"/>
      <c r="C37" s="231"/>
      <c r="D37" s="232"/>
      <c r="E37" s="6"/>
      <c r="F37" s="6"/>
      <c r="G37" s="226"/>
      <c r="H37" s="6"/>
      <c r="I37" s="6"/>
      <c r="J37" s="6"/>
      <c r="K37" s="6"/>
      <c r="L37" s="3"/>
      <c r="M37" s="921" t="s">
        <v>109</v>
      </c>
      <c r="N37" s="921"/>
      <c r="O37" s="921"/>
      <c r="P37" s="921"/>
      <c r="Q37" s="921"/>
      <c r="R37" s="921"/>
      <c r="S37" s="921"/>
      <c r="T37" s="921"/>
      <c r="U37" s="3"/>
      <c r="V37" s="3"/>
      <c r="W37" s="3"/>
    </row>
    <row r="38" spans="1:23" s="5" customFormat="1" ht="15.75" customHeight="1">
      <c r="A38" s="56"/>
      <c r="B38" s="231"/>
      <c r="C38" s="231"/>
      <c r="D38" s="232"/>
      <c r="E38" s="6"/>
      <c r="F38" s="6"/>
      <c r="G38" s="226"/>
      <c r="H38" s="6"/>
      <c r="I38" s="6"/>
      <c r="J38" s="6"/>
      <c r="K38" s="6"/>
      <c r="L38" s="3"/>
      <c r="M38" s="3"/>
      <c r="N38" s="920" t="s">
        <v>110</v>
      </c>
      <c r="O38" s="920"/>
      <c r="P38" s="920"/>
      <c r="Q38" s="920"/>
      <c r="R38" s="920"/>
      <c r="S38" s="920"/>
      <c r="T38" s="920"/>
      <c r="U38" s="920"/>
      <c r="V38" s="920"/>
      <c r="W38" s="920"/>
    </row>
    <row r="39" spans="1:23" s="5" customFormat="1" ht="15.75" customHeight="1">
      <c r="A39" s="56"/>
      <c r="B39" s="231"/>
      <c r="C39" s="231"/>
      <c r="D39" s="232"/>
      <c r="E39" s="6"/>
      <c r="F39" s="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</row>
  </sheetData>
  <mergeCells count="17">
    <mergeCell ref="J34:Q34"/>
    <mergeCell ref="K35:U35"/>
    <mergeCell ref="L36:S36"/>
    <mergeCell ref="M37:T37"/>
    <mergeCell ref="N38:W38"/>
    <mergeCell ref="A1:Q1"/>
    <mergeCell ref="B2:D2"/>
    <mergeCell ref="E2:H2"/>
    <mergeCell ref="I2:L2"/>
    <mergeCell ref="B26:K26"/>
    <mergeCell ref="H32:N32"/>
    <mergeCell ref="I33:R33"/>
    <mergeCell ref="C27:K27"/>
    <mergeCell ref="D28:O28"/>
    <mergeCell ref="E29:M29"/>
    <mergeCell ref="F30:P30"/>
    <mergeCell ref="G31:Q3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33"/>
  <sheetViews>
    <sheetView workbookViewId="0">
      <pane ySplit="2" topLeftCell="A3" activePane="bottomLeft" state="frozen"/>
      <selection pane="bottomLeft" activeCell="D37" sqref="D37"/>
    </sheetView>
  </sheetViews>
  <sheetFormatPr defaultRowHeight="11.25"/>
  <cols>
    <col min="1" max="1" width="7.42578125" style="7" bestFit="1" customWidth="1"/>
    <col min="2" max="7" width="5.7109375" style="79" bestFit="1" customWidth="1"/>
    <col min="8" max="8" width="46.140625" style="79" customWidth="1"/>
    <col min="9" max="9" width="6.5703125" style="79" customWidth="1"/>
    <col min="10" max="10" width="52.85546875" style="79" customWidth="1"/>
    <col min="11" max="15" width="5.7109375" style="79" bestFit="1" customWidth="1"/>
    <col min="16" max="20" width="5.28515625" style="79" bestFit="1" customWidth="1"/>
    <col min="21" max="16384" width="9.140625" style="3"/>
  </cols>
  <sheetData>
    <row r="1" spans="1:20" ht="15.75">
      <c r="A1" s="922" t="s">
        <v>75</v>
      </c>
      <c r="B1" s="922"/>
      <c r="C1" s="922"/>
      <c r="D1" s="922"/>
      <c r="E1" s="922"/>
      <c r="F1" s="922"/>
      <c r="G1" s="922"/>
      <c r="H1" s="922"/>
      <c r="I1" s="922"/>
      <c r="J1" s="922"/>
      <c r="K1" s="922"/>
      <c r="L1" s="922"/>
      <c r="M1" s="922"/>
      <c r="N1" s="922"/>
      <c r="O1" s="922"/>
      <c r="P1" s="922"/>
      <c r="Q1" s="922"/>
      <c r="R1" s="922"/>
      <c r="S1" s="922"/>
      <c r="T1" s="922"/>
    </row>
    <row r="2" spans="1:20" s="8" customFormat="1" ht="23.25" customHeight="1" thickBot="1">
      <c r="A2" s="233" t="s">
        <v>19</v>
      </c>
      <c r="B2" s="923" t="s">
        <v>29</v>
      </c>
      <c r="C2" s="924"/>
      <c r="D2" s="925"/>
      <c r="E2" s="926" t="s">
        <v>83</v>
      </c>
      <c r="F2" s="927"/>
      <c r="G2" s="928"/>
      <c r="H2" s="933" t="s">
        <v>83</v>
      </c>
      <c r="I2" s="934"/>
      <c r="J2" s="935"/>
      <c r="K2" s="929" t="s">
        <v>83</v>
      </c>
      <c r="L2" s="930"/>
      <c r="M2" s="931"/>
      <c r="N2" s="234" t="s">
        <v>36</v>
      </c>
      <c r="O2" s="234" t="s">
        <v>37</v>
      </c>
      <c r="P2" s="234" t="s">
        <v>38</v>
      </c>
      <c r="Q2" s="234" t="s">
        <v>39</v>
      </c>
      <c r="R2" s="234" t="s">
        <v>40</v>
      </c>
      <c r="S2" s="234" t="s">
        <v>41</v>
      </c>
      <c r="T2" s="234" t="s">
        <v>42</v>
      </c>
    </row>
    <row r="3" spans="1:20" s="16" customFormat="1">
      <c r="A3" s="28" t="str">
        <f>'1-συμβολαια'!A3</f>
        <v>1ο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</row>
    <row r="4" spans="1:20" s="16" customFormat="1">
      <c r="A4" s="28">
        <f>'1-συμβολαια'!A4</f>
        <v>0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</row>
    <row r="5" spans="1:20" s="16" customFormat="1">
      <c r="A5" s="28">
        <f>'1-συμβολαια'!A5</f>
        <v>0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</row>
    <row r="6" spans="1:20" s="16" customFormat="1">
      <c r="A6" s="28">
        <f>'1-συμβολαια'!A6</f>
        <v>0</v>
      </c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</row>
    <row r="7" spans="1:20" s="16" customFormat="1">
      <c r="A7" s="28" t="str">
        <f>'1-συμβολαια'!A7</f>
        <v>2ο</v>
      </c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</row>
    <row r="8" spans="1:20" s="16" customFormat="1">
      <c r="A8" s="28">
        <f>'1-συμβολαια'!A8</f>
        <v>0</v>
      </c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</row>
    <row r="9" spans="1:20" s="16" customFormat="1">
      <c r="A9" s="28">
        <f>'1-συμβολαια'!A9</f>
        <v>0</v>
      </c>
      <c r="B9" s="78"/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</row>
    <row r="10" spans="1:20" s="16" customFormat="1">
      <c r="A10" s="28">
        <f>'1-συμβολαια'!A10</f>
        <v>0</v>
      </c>
      <c r="B10" s="78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</row>
    <row r="11" spans="1:20" s="16" customFormat="1">
      <c r="A11" s="28" t="str">
        <f>'1-συμβολαια'!A11</f>
        <v>3ο</v>
      </c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</row>
    <row r="12" spans="1:20" s="16" customFormat="1">
      <c r="A12" s="28" t="str">
        <f>'1-συμβολαια'!A12</f>
        <v>4ο</v>
      </c>
      <c r="B12" s="78"/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</row>
    <row r="13" spans="1:20" s="16" customFormat="1">
      <c r="A13" s="28" t="str">
        <f>'1-συμβολαια'!A13</f>
        <v>5ο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</row>
    <row r="14" spans="1:20" s="16" customFormat="1">
      <c r="A14" s="28" t="str">
        <f>'1-συμβολαια'!A14</f>
        <v>6ο</v>
      </c>
      <c r="B14" s="78"/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</row>
    <row r="15" spans="1:20" s="16" customFormat="1">
      <c r="A15" s="28">
        <f>'1-συμβολαια'!A15</f>
        <v>0</v>
      </c>
      <c r="B15" s="78"/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</row>
    <row r="16" spans="1:20" s="16" customFormat="1">
      <c r="A16" s="28">
        <f>'1-συμβολαια'!A16</f>
        <v>0</v>
      </c>
      <c r="B16" s="78"/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</row>
    <row r="17" spans="1:20" s="16" customFormat="1">
      <c r="A17" s="28">
        <f>'1-συμβολαια'!A17</f>
        <v>0</v>
      </c>
      <c r="B17" s="78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</row>
    <row r="18" spans="1:20" s="16" customFormat="1">
      <c r="A18" s="28" t="str">
        <f>'1-συμβολαια'!A18</f>
        <v>7ο</v>
      </c>
      <c r="B18" s="78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</row>
    <row r="19" spans="1:20" s="16" customFormat="1">
      <c r="A19" s="28" t="str">
        <f>'1-συμβολαια'!A19</f>
        <v>8ο</v>
      </c>
      <c r="B19" s="78"/>
      <c r="C19" s="78"/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</row>
    <row r="20" spans="1:20" s="16" customFormat="1">
      <c r="A20" s="28" t="str">
        <f>'1-συμβολαια'!A20</f>
        <v>9ο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</row>
    <row r="21" spans="1:20" s="16" customFormat="1">
      <c r="A21" s="28">
        <f>'1-συμβολαια'!A21</f>
        <v>0</v>
      </c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</row>
    <row r="22" spans="1:20" s="16" customFormat="1">
      <c r="A22" s="28" t="e">
        <f>'1-συμβολαια'!#REF!</f>
        <v>#REF!</v>
      </c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</row>
    <row r="23" spans="1:20" s="16" customFormat="1">
      <c r="A23" s="28" t="e">
        <f>'1-συμβολαια'!#REF!</f>
        <v>#REF!</v>
      </c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</row>
    <row r="24" spans="1:20" s="16" customFormat="1">
      <c r="A24" s="28" t="e">
        <f>'1-συμβολαια'!#REF!</f>
        <v>#REF!</v>
      </c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</row>
    <row r="26" spans="1:20" ht="15.75">
      <c r="B26" s="920" t="s">
        <v>111</v>
      </c>
      <c r="C26" s="920"/>
      <c r="D26" s="920"/>
      <c r="E26" s="920"/>
      <c r="F26" s="920"/>
      <c r="G26" s="920"/>
      <c r="H26" s="920"/>
      <c r="I26" s="112"/>
      <c r="J26" s="6"/>
      <c r="K26" s="6"/>
      <c r="L26" s="3"/>
      <c r="M26" s="3"/>
      <c r="N26" s="3"/>
      <c r="O26" s="3"/>
    </row>
    <row r="27" spans="1:20" ht="15.75">
      <c r="B27" s="6"/>
      <c r="C27" s="921" t="s">
        <v>112</v>
      </c>
      <c r="D27" s="921"/>
      <c r="E27" s="921"/>
      <c r="F27" s="921"/>
      <c r="G27" s="921"/>
      <c r="H27" s="921"/>
      <c r="I27" s="921"/>
      <c r="J27" s="6"/>
      <c r="K27" s="6"/>
      <c r="L27" s="3"/>
      <c r="M27" s="3"/>
      <c r="N27" s="3"/>
      <c r="O27" s="3"/>
    </row>
    <row r="28" spans="1:20" ht="15.75" customHeight="1">
      <c r="B28" s="6"/>
      <c r="C28" s="6"/>
      <c r="D28" s="920" t="s">
        <v>113</v>
      </c>
      <c r="E28" s="920"/>
      <c r="F28" s="920"/>
      <c r="G28" s="920"/>
      <c r="H28" s="920"/>
      <c r="I28" s="920"/>
      <c r="J28" s="920"/>
      <c r="K28" s="920"/>
      <c r="L28" s="3"/>
      <c r="M28" s="3"/>
      <c r="N28" s="3"/>
      <c r="O28" s="3"/>
    </row>
    <row r="29" spans="1:20" ht="15.75" customHeight="1">
      <c r="B29" s="6"/>
      <c r="C29" s="6"/>
      <c r="D29" s="6"/>
      <c r="E29" s="936" t="s">
        <v>118</v>
      </c>
      <c r="F29" s="936"/>
      <c r="G29" s="936"/>
      <c r="H29" s="936"/>
      <c r="I29" s="936"/>
      <c r="J29" s="936"/>
      <c r="K29" s="936"/>
      <c r="L29" s="936"/>
      <c r="M29" s="3"/>
      <c r="N29" s="3"/>
      <c r="O29" s="3"/>
    </row>
    <row r="30" spans="1:20" ht="15.75" customHeight="1">
      <c r="B30" s="6"/>
      <c r="C30" s="6"/>
      <c r="D30" s="6"/>
      <c r="E30" s="6"/>
      <c r="F30" s="920" t="s">
        <v>114</v>
      </c>
      <c r="G30" s="920"/>
      <c r="H30" s="920"/>
      <c r="I30" s="920"/>
      <c r="J30" s="920"/>
      <c r="K30" s="920"/>
      <c r="L30" s="920"/>
      <c r="M30" s="3"/>
      <c r="N30" s="3"/>
      <c r="O30" s="3"/>
    </row>
    <row r="31" spans="1:20" ht="15.75" customHeight="1">
      <c r="B31" s="6"/>
      <c r="C31" s="6"/>
      <c r="D31" s="6"/>
      <c r="E31" s="6"/>
      <c r="F31" s="6"/>
      <c r="G31" s="921" t="s">
        <v>115</v>
      </c>
      <c r="H31" s="921"/>
      <c r="I31" s="921"/>
      <c r="J31" s="921"/>
      <c r="K31" s="921"/>
      <c r="L31" s="921"/>
      <c r="M31" s="921"/>
      <c r="N31" s="3"/>
      <c r="O31" s="3"/>
    </row>
    <row r="32" spans="1:20" ht="15.75">
      <c r="B32" s="6"/>
      <c r="C32" s="6"/>
      <c r="D32" s="6"/>
      <c r="E32" s="6"/>
      <c r="F32" s="6"/>
      <c r="G32" s="6"/>
      <c r="H32" s="920" t="s">
        <v>116</v>
      </c>
      <c r="I32" s="920"/>
      <c r="J32" s="920"/>
      <c r="K32" s="920"/>
      <c r="L32" s="920"/>
      <c r="M32" s="920"/>
      <c r="N32" s="920"/>
      <c r="O32" s="3"/>
    </row>
    <row r="33" spans="2:15" ht="15.75">
      <c r="B33" s="6"/>
      <c r="C33" s="6"/>
      <c r="D33" s="6"/>
      <c r="E33" s="6"/>
      <c r="F33" s="6"/>
      <c r="G33" s="6"/>
      <c r="H33" s="6"/>
      <c r="I33" s="921" t="s">
        <v>117</v>
      </c>
      <c r="J33" s="921"/>
      <c r="K33" s="921"/>
      <c r="L33" s="921"/>
      <c r="M33" s="921"/>
      <c r="N33" s="921"/>
      <c r="O33" s="921"/>
    </row>
  </sheetData>
  <mergeCells count="13">
    <mergeCell ref="G31:M31"/>
    <mergeCell ref="H32:N32"/>
    <mergeCell ref="I33:O33"/>
    <mergeCell ref="B26:H26"/>
    <mergeCell ref="C27:I27"/>
    <mergeCell ref="D28:K28"/>
    <mergeCell ref="E29:L29"/>
    <mergeCell ref="F30:L30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33"/>
  <sheetViews>
    <sheetView zoomScaleNormal="100" workbookViewId="0">
      <pane ySplit="2" topLeftCell="A3" activePane="bottomLeft" state="frozen"/>
      <selection pane="bottomLeft" activeCell="B31" sqref="B31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88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4" customWidth="1"/>
    <col min="23" max="23" width="5.5703125" style="7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29" s="42" customFormat="1" ht="15.75" customHeight="1">
      <c r="A1" s="775" t="s">
        <v>65</v>
      </c>
      <c r="B1" s="775"/>
      <c r="C1" s="940" t="s">
        <v>66</v>
      </c>
      <c r="D1" s="940"/>
      <c r="E1" s="775" t="s">
        <v>0</v>
      </c>
      <c r="F1" s="775"/>
      <c r="G1" s="941" t="s">
        <v>10</v>
      </c>
      <c r="H1" s="941"/>
      <c r="I1" s="941"/>
      <c r="J1" s="775" t="s">
        <v>8</v>
      </c>
      <c r="K1" s="775"/>
      <c r="L1" s="942" t="s">
        <v>428</v>
      </c>
      <c r="M1" s="943"/>
      <c r="N1" s="943"/>
      <c r="O1" s="944"/>
      <c r="P1" s="939" t="s">
        <v>64</v>
      </c>
      <c r="Q1" s="939"/>
      <c r="R1" s="941" t="s">
        <v>55</v>
      </c>
      <c r="S1" s="941"/>
      <c r="T1" s="947" t="s">
        <v>46</v>
      </c>
      <c r="U1" s="945" t="s">
        <v>83</v>
      </c>
      <c r="V1" s="945"/>
      <c r="W1" s="945"/>
      <c r="X1" s="945"/>
      <c r="Y1" s="945"/>
      <c r="Z1" s="945"/>
      <c r="AA1" s="945"/>
      <c r="AB1" s="945"/>
      <c r="AC1" s="945"/>
    </row>
    <row r="2" spans="1:29" s="10" customFormat="1" ht="15.75" customHeight="1" thickBot="1">
      <c r="A2" s="91"/>
      <c r="B2" s="49"/>
      <c r="C2" s="82"/>
      <c r="D2" s="52" t="s">
        <v>67</v>
      </c>
      <c r="E2" s="92"/>
      <c r="F2" s="50" t="s">
        <v>67</v>
      </c>
      <c r="G2" s="46" t="s">
        <v>11</v>
      </c>
      <c r="H2" s="44" t="s">
        <v>12</v>
      </c>
      <c r="I2" s="45" t="s">
        <v>29</v>
      </c>
      <c r="J2" s="70" t="s">
        <v>23</v>
      </c>
      <c r="K2" s="51" t="s">
        <v>67</v>
      </c>
      <c r="L2" s="70" t="s">
        <v>316</v>
      </c>
      <c r="M2" s="70" t="s">
        <v>320</v>
      </c>
      <c r="N2" s="70" t="s">
        <v>321</v>
      </c>
      <c r="O2" s="230" t="s">
        <v>29</v>
      </c>
      <c r="P2" s="58" t="s">
        <v>23</v>
      </c>
      <c r="Q2" s="51" t="s">
        <v>67</v>
      </c>
      <c r="R2" s="70" t="s">
        <v>23</v>
      </c>
      <c r="S2" s="34" t="s">
        <v>67</v>
      </c>
      <c r="T2" s="948"/>
      <c r="U2" s="946"/>
      <c r="V2" s="946"/>
      <c r="W2" s="946"/>
      <c r="X2" s="946"/>
      <c r="Y2" s="946"/>
      <c r="Z2" s="946"/>
      <c r="AA2" s="946"/>
      <c r="AB2" s="946"/>
      <c r="AC2" s="946"/>
    </row>
    <row r="3" spans="1:29" s="16" customFormat="1">
      <c r="A3" s="11" t="str">
        <f>'1-συμβολαια'!A3</f>
        <v>1ο</v>
      </c>
      <c r="B3" s="48"/>
      <c r="C3" s="77">
        <f>'1-συμβολαια'!B3</f>
        <v>37581</v>
      </c>
      <c r="D3" s="17"/>
      <c r="E3" s="87" t="str">
        <f>'1-συμβολαια'!C3</f>
        <v>κληρονομιάς ΑΠΟΔΟΧΗ</v>
      </c>
      <c r="F3" s="12"/>
      <c r="G3" s="13" t="str">
        <f>'4-πολλυπρ'!D3</f>
        <v>παππούς</v>
      </c>
      <c r="H3" s="13">
        <f>'4-πολλυπρ'!I3</f>
        <v>0</v>
      </c>
      <c r="I3" s="18"/>
      <c r="J3" s="18">
        <f>'1-συμβολαια'!D3</f>
        <v>0</v>
      </c>
      <c r="K3" s="18"/>
      <c r="L3" s="25">
        <f>'11-χαρτόσ'!D3</f>
        <v>0</v>
      </c>
      <c r="M3" s="25"/>
      <c r="N3" s="25"/>
      <c r="O3" s="19"/>
      <c r="P3" s="15" t="e">
        <f>#REF!-R3</f>
        <v>#REF!</v>
      </c>
      <c r="Q3" s="14"/>
      <c r="R3" s="20">
        <f>'5-αντίγρ'!Q3</f>
        <v>0</v>
      </c>
      <c r="S3" s="21"/>
      <c r="T3" s="22"/>
      <c r="U3" s="83"/>
      <c r="V3" s="83"/>
      <c r="W3" s="78"/>
      <c r="X3" s="23"/>
      <c r="Y3" s="23"/>
      <c r="Z3" s="23"/>
      <c r="AA3" s="23"/>
      <c r="AB3" s="23"/>
      <c r="AC3" s="23"/>
    </row>
    <row r="4" spans="1:29" s="16" customFormat="1">
      <c r="A4" s="11">
        <f>'1-συμβολαια'!A4</f>
        <v>0</v>
      </c>
      <c r="B4" s="48"/>
      <c r="C4" s="77">
        <f>'1-συμβολαια'!B4</f>
        <v>0</v>
      </c>
      <c r="D4" s="17"/>
      <c r="E4" s="87" t="str">
        <f>'1-συμβολαια'!C4</f>
        <v>χρησικτησία οικοπεδου = 194? γεωργούδηΝικολαο ΑΓΟΡΑΠΩΛΗΣΙΑ (ως αγροτεμάχιο) άτυπος</v>
      </c>
      <c r="F4" s="12"/>
      <c r="G4" s="13" t="str">
        <f>'4-πολλυπρ'!D4</f>
        <v>;;;???</v>
      </c>
      <c r="H4" s="13">
        <f>'4-πολλυπρ'!I4</f>
        <v>0</v>
      </c>
      <c r="I4" s="18"/>
      <c r="J4" s="18">
        <f>'1-συμβολαια'!D4</f>
        <v>1111.1099999999999</v>
      </c>
      <c r="K4" s="18"/>
      <c r="L4" s="25">
        <f>'11-χαρτόσ'!D4</f>
        <v>0</v>
      </c>
      <c r="M4" s="25"/>
      <c r="N4" s="25"/>
      <c r="O4" s="19"/>
      <c r="P4" s="15" t="e">
        <f>#REF!-R4</f>
        <v>#REF!</v>
      </c>
      <c r="Q4" s="14"/>
      <c r="R4" s="20">
        <f>'5-αντίγρ'!Q4</f>
        <v>0</v>
      </c>
      <c r="S4" s="21"/>
      <c r="T4" s="22"/>
      <c r="U4" s="83"/>
      <c r="V4" s="83"/>
      <c r="W4" s="78"/>
      <c r="X4" s="23"/>
      <c r="Y4" s="23"/>
      <c r="Z4" s="23"/>
      <c r="AA4" s="23"/>
      <c r="AB4" s="23"/>
      <c r="AC4" s="23"/>
    </row>
    <row r="5" spans="1:29" s="16" customFormat="1">
      <c r="A5" s="11">
        <f>'1-συμβολαια'!A5</f>
        <v>0</v>
      </c>
      <c r="B5" s="48"/>
      <c r="C5" s="77">
        <f>'1-συμβολαια'!B5</f>
        <v>0</v>
      </c>
      <c r="D5" s="17"/>
      <c r="E5" s="87" t="str">
        <f>'1-συμβολαια'!C5</f>
        <v>χρησικτησία αγροτεμάχιο 193 = 1975 ΑΝΑΔΑΣΜΟΣ εκούσιος</v>
      </c>
      <c r="F5" s="12"/>
      <c r="G5" s="13">
        <f>'4-πολλυπρ'!D5</f>
        <v>0</v>
      </c>
      <c r="H5" s="13">
        <f>'4-πολλυπρ'!I5</f>
        <v>0</v>
      </c>
      <c r="I5" s="18"/>
      <c r="J5" s="18">
        <f>'1-συμβολαια'!D5</f>
        <v>11.11</v>
      </c>
      <c r="K5" s="18"/>
      <c r="L5" s="25">
        <f>'11-χαρτόσ'!D5</f>
        <v>0</v>
      </c>
      <c r="M5" s="25"/>
      <c r="N5" s="25"/>
      <c r="O5" s="19"/>
      <c r="P5" s="15" t="e">
        <f>#REF!-R5</f>
        <v>#REF!</v>
      </c>
      <c r="Q5" s="14"/>
      <c r="R5" s="20">
        <f>'5-αντίγρ'!Q5</f>
        <v>0</v>
      </c>
      <c r="S5" s="21"/>
      <c r="T5" s="22"/>
      <c r="U5" s="83"/>
      <c r="V5" s="83"/>
      <c r="W5" s="78"/>
      <c r="X5" s="23"/>
      <c r="Y5" s="23"/>
      <c r="Z5" s="23"/>
      <c r="AA5" s="23"/>
      <c r="AB5" s="23"/>
      <c r="AC5" s="23"/>
    </row>
    <row r="6" spans="1:29" s="16" customFormat="1">
      <c r="A6" s="11">
        <f>'1-συμβολαια'!A6</f>
        <v>0</v>
      </c>
      <c r="B6" s="48"/>
      <c r="C6" s="77">
        <f>'1-συμβολαια'!B6</f>
        <v>0</v>
      </c>
      <c r="D6" s="17"/>
      <c r="E6" s="87" t="str">
        <f>'1-συμβολαια'!C6</f>
        <v>χρησικτησία αγροτεμάχιο 279 = 1975 ΑΝΑΔΑΣΜΟΣ εκούσιος</v>
      </c>
      <c r="F6" s="12"/>
      <c r="G6" s="13">
        <f>'4-πολλυπρ'!D6</f>
        <v>0</v>
      </c>
      <c r="H6" s="13">
        <f>'4-πολλυπρ'!I6</f>
        <v>0</v>
      </c>
      <c r="I6" s="18"/>
      <c r="J6" s="18">
        <f>'1-συμβολαια'!D6</f>
        <v>222.22</v>
      </c>
      <c r="K6" s="18"/>
      <c r="L6" s="25">
        <f>'11-χαρτόσ'!D6</f>
        <v>0</v>
      </c>
      <c r="M6" s="25"/>
      <c r="N6" s="25"/>
      <c r="O6" s="19"/>
      <c r="P6" s="15" t="e">
        <f>#REF!-R6</f>
        <v>#REF!</v>
      </c>
      <c r="Q6" s="14"/>
      <c r="R6" s="20">
        <f>'5-αντίγρ'!Q6</f>
        <v>0</v>
      </c>
      <c r="S6" s="21"/>
      <c r="T6" s="22"/>
      <c r="U6" s="83"/>
      <c r="V6" s="83"/>
      <c r="W6" s="78"/>
      <c r="X6" s="23"/>
      <c r="Y6" s="23"/>
      <c r="Z6" s="23"/>
      <c r="AA6" s="23"/>
      <c r="AB6" s="23"/>
      <c r="AC6" s="23"/>
    </row>
    <row r="7" spans="1:29" s="16" customFormat="1">
      <c r="A7" s="11" t="str">
        <f>'1-συμβολαια'!A7</f>
        <v>2ο</v>
      </c>
      <c r="B7" s="48"/>
      <c r="C7" s="77">
        <f>'1-συμβολαια'!B7</f>
        <v>37581</v>
      </c>
      <c r="D7" s="17"/>
      <c r="E7" s="87" t="str">
        <f>'1-συμβολαια'!C7</f>
        <v>κληρονομιάς ΑΠΟΔΟΧΗ</v>
      </c>
      <c r="F7" s="12"/>
      <c r="G7" s="13" t="str">
        <f>'4-πολλυπρ'!D7</f>
        <v>θείος</v>
      </c>
      <c r="H7" s="13">
        <f>'4-πολλυπρ'!I7</f>
        <v>0</v>
      </c>
      <c r="I7" s="18"/>
      <c r="J7" s="18">
        <f>'1-συμβολαια'!D7</f>
        <v>0</v>
      </c>
      <c r="K7" s="18"/>
      <c r="L7" s="25">
        <f>'11-χαρτόσ'!D7</f>
        <v>0</v>
      </c>
      <c r="M7" s="25"/>
      <c r="N7" s="25"/>
      <c r="O7" s="19"/>
      <c r="P7" s="15" t="e">
        <f>#REF!-R7</f>
        <v>#REF!</v>
      </c>
      <c r="Q7" s="14"/>
      <c r="R7" s="20">
        <f>'5-αντίγρ'!Q7</f>
        <v>0</v>
      </c>
      <c r="S7" s="21"/>
      <c r="T7" s="22"/>
      <c r="U7" s="83"/>
      <c r="V7" s="83"/>
      <c r="W7" s="78"/>
      <c r="X7" s="23"/>
      <c r="Y7" s="23"/>
      <c r="Z7" s="23"/>
      <c r="AA7" s="23"/>
      <c r="AB7" s="23"/>
      <c r="AC7" s="23"/>
    </row>
    <row r="8" spans="1:29" s="16" customFormat="1">
      <c r="A8" s="11">
        <f>'1-συμβολαια'!A8</f>
        <v>0</v>
      </c>
      <c r="B8" s="48"/>
      <c r="C8" s="77">
        <f>'1-συμβολαια'!B8</f>
        <v>0</v>
      </c>
      <c r="D8" s="17"/>
      <c r="E8" s="87" t="str">
        <f>'1-συμβολαια'!C8</f>
        <v>χρησικτησία οικοπεδου &amp; οικίας &amp; αποθήκης = 27/7/87 πατρός ΚΛΗΡΟΝΟΜΙΑ άτυπος</v>
      </c>
      <c r="F8" s="12"/>
      <c r="G8" s="13" t="str">
        <f>'4-πολλυπρ'!D8</f>
        <v>παππούς</v>
      </c>
      <c r="H8" s="13">
        <f>'4-πολλυπρ'!I8</f>
        <v>0</v>
      </c>
      <c r="I8" s="18"/>
      <c r="J8" s="18">
        <f>'1-συμβολαια'!D8</f>
        <v>11111.11</v>
      </c>
      <c r="K8" s="18"/>
      <c r="L8" s="25">
        <f>'11-χαρτόσ'!D8</f>
        <v>0</v>
      </c>
      <c r="M8" s="25"/>
      <c r="N8" s="25"/>
      <c r="O8" s="19"/>
      <c r="P8" s="15" t="e">
        <f>#REF!-R8</f>
        <v>#REF!</v>
      </c>
      <c r="Q8" s="14"/>
      <c r="R8" s="20">
        <f>'5-αντίγρ'!Q8</f>
        <v>0</v>
      </c>
      <c r="S8" s="21"/>
      <c r="T8" s="22"/>
      <c r="U8" s="83"/>
      <c r="V8" s="83"/>
      <c r="W8" s="78"/>
      <c r="X8" s="23"/>
      <c r="Y8" s="23"/>
      <c r="Z8" s="23"/>
      <c r="AA8" s="23"/>
      <c r="AB8" s="23"/>
      <c r="AC8" s="23"/>
    </row>
    <row r="9" spans="1:29" s="16" customFormat="1">
      <c r="A9" s="11">
        <f>'1-συμβολαια'!A9</f>
        <v>0</v>
      </c>
      <c r="B9" s="48"/>
      <c r="C9" s="77">
        <f>'1-συμβολαια'!B9</f>
        <v>0</v>
      </c>
      <c r="D9" s="17"/>
      <c r="E9" s="87" t="str">
        <f>'1-συμβολαια'!C9</f>
        <v>χρησικτησία αγροτεμάχιο 193 = 27/7/87 πατρός ΚΛΗΡΟΝΟΜΙΑ άτυπος</v>
      </c>
      <c r="F9" s="12"/>
      <c r="G9" s="13" t="str">
        <f>'4-πολλυπρ'!D9</f>
        <v>παππούς</v>
      </c>
      <c r="H9" s="13">
        <f>'4-πολλυπρ'!I9</f>
        <v>0</v>
      </c>
      <c r="I9" s="18"/>
      <c r="J9" s="18">
        <f>'1-συμβολαια'!D9</f>
        <v>11.11</v>
      </c>
      <c r="K9" s="18"/>
      <c r="L9" s="25">
        <f>'11-χαρτόσ'!D9</f>
        <v>0</v>
      </c>
      <c r="M9" s="25"/>
      <c r="N9" s="25"/>
      <c r="O9" s="19"/>
      <c r="P9" s="15" t="e">
        <f>#REF!-R9</f>
        <v>#REF!</v>
      </c>
      <c r="Q9" s="14"/>
      <c r="R9" s="20">
        <f>'5-αντίγρ'!Q9</f>
        <v>0</v>
      </c>
      <c r="S9" s="21"/>
      <c r="T9" s="22"/>
      <c r="U9" s="83"/>
      <c r="V9" s="83"/>
      <c r="W9" s="78"/>
      <c r="X9" s="23"/>
      <c r="Y9" s="23"/>
      <c r="Z9" s="23"/>
      <c r="AA9" s="23"/>
      <c r="AB9" s="23"/>
      <c r="AC9" s="23"/>
    </row>
    <row r="10" spans="1:29" s="16" customFormat="1">
      <c r="A10" s="11">
        <f>'1-συμβολαια'!A10</f>
        <v>0</v>
      </c>
      <c r="B10" s="48"/>
      <c r="C10" s="77">
        <f>'1-συμβολαια'!B10</f>
        <v>0</v>
      </c>
      <c r="D10" s="17"/>
      <c r="E10" s="87" t="str">
        <f>'1-συμβολαια'!C10</f>
        <v>χρησικτησία αγροτεμάχιο 279 = 27/7/87 πατρός ΚΛΗΡΟΝΟΜΙΑ άτυπος</v>
      </c>
      <c r="F10" s="12"/>
      <c r="G10" s="13" t="str">
        <f>'4-πολλυπρ'!D10</f>
        <v>παππούς</v>
      </c>
      <c r="H10" s="13">
        <f>'4-πολλυπρ'!I10</f>
        <v>0</v>
      </c>
      <c r="I10" s="18"/>
      <c r="J10" s="18">
        <f>'1-συμβολαια'!D10</f>
        <v>222.22</v>
      </c>
      <c r="K10" s="18"/>
      <c r="L10" s="25">
        <f>'11-χαρτόσ'!D10</f>
        <v>0</v>
      </c>
      <c r="M10" s="25"/>
      <c r="N10" s="25"/>
      <c r="O10" s="19"/>
      <c r="P10" s="15" t="e">
        <f>#REF!-R10</f>
        <v>#REF!</v>
      </c>
      <c r="Q10" s="14"/>
      <c r="R10" s="20">
        <f>'5-αντίγρ'!Q10</f>
        <v>0</v>
      </c>
      <c r="S10" s="21"/>
      <c r="T10" s="22"/>
      <c r="U10" s="83"/>
      <c r="V10" s="83"/>
      <c r="W10" s="78"/>
      <c r="X10" s="23"/>
      <c r="Y10" s="23"/>
      <c r="Z10" s="23"/>
      <c r="AA10" s="23"/>
      <c r="AB10" s="23"/>
      <c r="AC10" s="23"/>
    </row>
    <row r="11" spans="1:29" s="16" customFormat="1">
      <c r="A11" s="11" t="str">
        <f>'1-συμβολαια'!A11</f>
        <v>3ο</v>
      </c>
      <c r="B11" s="48"/>
      <c r="C11" s="77">
        <f>'1-συμβολαια'!B11</f>
        <v>37581</v>
      </c>
      <c r="D11" s="17"/>
      <c r="E11" s="87" t="str">
        <f>'1-συμβολαια'!C11</f>
        <v>κάθετος ΣΥΣΤΑΣΗ</v>
      </c>
      <c r="F11" s="12"/>
      <c r="G11" s="13" t="str">
        <f>'4-πολλυπρ'!D11</f>
        <v>πατήρ</v>
      </c>
      <c r="H11" s="13">
        <f>'4-πολλυπρ'!I11</f>
        <v>0</v>
      </c>
      <c r="I11" s="18"/>
      <c r="J11" s="18">
        <f>'1-συμβολαια'!D11</f>
        <v>0</v>
      </c>
      <c r="K11" s="18"/>
      <c r="L11" s="25">
        <f>'11-χαρτόσ'!D11</f>
        <v>0</v>
      </c>
      <c r="M11" s="25"/>
      <c r="N11" s="25"/>
      <c r="O11" s="19"/>
      <c r="P11" s="15" t="e">
        <f>#REF!-R11</f>
        <v>#REF!</v>
      </c>
      <c r="Q11" s="14"/>
      <c r="R11" s="20">
        <f>'5-αντίγρ'!Q11</f>
        <v>0</v>
      </c>
      <c r="S11" s="21"/>
      <c r="T11" s="22"/>
      <c r="U11" s="83"/>
      <c r="V11" s="83"/>
      <c r="W11" s="78"/>
      <c r="X11" s="23"/>
      <c r="Y11" s="23"/>
      <c r="Z11" s="23"/>
      <c r="AA11" s="23"/>
      <c r="AB11" s="23"/>
      <c r="AC11" s="23"/>
    </row>
    <row r="12" spans="1:29" s="16" customFormat="1">
      <c r="A12" s="11" t="str">
        <f>'1-συμβολαια'!A12</f>
        <v>4ο</v>
      </c>
      <c r="B12" s="48"/>
      <c r="C12" s="77">
        <f>'1-συμβολαια'!B12</f>
        <v>37581</v>
      </c>
      <c r="D12" s="17"/>
      <c r="E12" s="87" t="str">
        <f>'1-συμβολαια'!C12</f>
        <v>γονική ΨΙΛΗΣ ΚΥΡΙΟΤΗΤΑΣ</v>
      </c>
      <c r="F12" s="12"/>
      <c r="G12" s="13" t="str">
        <f>'4-πολλυπρ'!D12</f>
        <v>πατήρ</v>
      </c>
      <c r="H12" s="13">
        <f>'4-πολλυπρ'!I12</f>
        <v>0</v>
      </c>
      <c r="I12" s="18"/>
      <c r="J12" s="18">
        <f>'1-συμβολαια'!D12</f>
        <v>19272.79</v>
      </c>
      <c r="K12" s="18"/>
      <c r="L12" s="25">
        <f>'11-χαρτόσ'!D12</f>
        <v>0</v>
      </c>
      <c r="M12" s="25"/>
      <c r="N12" s="25"/>
      <c r="O12" s="19"/>
      <c r="P12" s="15" t="e">
        <f>#REF!-R12</f>
        <v>#REF!</v>
      </c>
      <c r="Q12" s="14"/>
      <c r="R12" s="20">
        <f>'5-αντίγρ'!Q12</f>
        <v>0</v>
      </c>
      <c r="S12" s="21"/>
      <c r="T12" s="22"/>
      <c r="U12" s="83"/>
      <c r="V12" s="83"/>
      <c r="W12" s="78"/>
      <c r="X12" s="23"/>
      <c r="Y12" s="23"/>
      <c r="Z12" s="23"/>
      <c r="AA12" s="23"/>
      <c r="AB12" s="23"/>
      <c r="AC12" s="23"/>
    </row>
    <row r="13" spans="1:29" s="16" customFormat="1">
      <c r="A13" s="11" t="str">
        <f>'1-συμβολαια'!A13</f>
        <v>5ο</v>
      </c>
      <c r="B13" s="48"/>
      <c r="C13" s="77">
        <f>'1-συμβολαια'!B13</f>
        <v>37895</v>
      </c>
      <c r="D13" s="17"/>
      <c r="E13" s="87" t="str">
        <f>'1-συμβολαια'!C13</f>
        <v>πληρεξούσιο</v>
      </c>
      <c r="F13" s="12"/>
      <c r="G13" s="13" t="str">
        <f>'4-πολλυπρ'!D13</f>
        <v>πατήρ</v>
      </c>
      <c r="H13" s="13">
        <f>'4-πολλυπρ'!I13</f>
        <v>0</v>
      </c>
      <c r="I13" s="18"/>
      <c r="J13" s="18">
        <f>'1-συμβολαια'!D13</f>
        <v>0</v>
      </c>
      <c r="K13" s="18"/>
      <c r="L13" s="25">
        <f>'11-χαρτόσ'!D13</f>
        <v>0</v>
      </c>
      <c r="M13" s="25"/>
      <c r="N13" s="25"/>
      <c r="O13" s="19"/>
      <c r="P13" s="15" t="e">
        <f>#REF!-R13</f>
        <v>#REF!</v>
      </c>
      <c r="Q13" s="14"/>
      <c r="R13" s="20">
        <f>'5-αντίγρ'!Q13</f>
        <v>0</v>
      </c>
      <c r="S13" s="21"/>
      <c r="T13" s="22"/>
      <c r="U13" s="83"/>
      <c r="V13" s="83"/>
      <c r="W13" s="78"/>
      <c r="X13" s="23"/>
      <c r="Y13" s="23"/>
      <c r="Z13" s="23"/>
      <c r="AA13" s="23"/>
      <c r="AB13" s="23"/>
      <c r="AC13" s="23"/>
    </row>
    <row r="14" spans="1:29" s="16" customFormat="1">
      <c r="A14" s="11" t="str">
        <f>'1-συμβολαια'!A14</f>
        <v>6ο</v>
      </c>
      <c r="B14" s="48"/>
      <c r="C14" s="77">
        <f>'1-συμβολαια'!B14</f>
        <v>38005</v>
      </c>
      <c r="D14" s="17"/>
      <c r="E14" s="87" t="str">
        <f>'1-συμβολαια'!C14</f>
        <v>μίσθωση αγροτεμαχίων 15 έτη { έως 19/1/2019 }</v>
      </c>
      <c r="F14" s="12"/>
      <c r="G14" s="13" t="str">
        <f>'4-πολλυπρ'!D14</f>
        <v>πατήρ</v>
      </c>
      <c r="H14" s="13">
        <f>'4-πολλυπρ'!I14</f>
        <v>1</v>
      </c>
      <c r="I14" s="18"/>
      <c r="J14" s="18">
        <f>'1-συμβολαια'!D14</f>
        <v>8109</v>
      </c>
      <c r="K14" s="18"/>
      <c r="L14" s="25">
        <f>'11-χαρτόσ'!D14</f>
        <v>0</v>
      </c>
      <c r="M14" s="25"/>
      <c r="N14" s="25"/>
      <c r="O14" s="19"/>
      <c r="P14" s="15" t="e">
        <f>#REF!-R14</f>
        <v>#REF!</v>
      </c>
      <c r="Q14" s="14"/>
      <c r="R14" s="20">
        <f>'5-αντίγρ'!Q14</f>
        <v>0</v>
      </c>
      <c r="S14" s="21"/>
      <c r="T14" s="22"/>
      <c r="U14" s="83"/>
      <c r="V14" s="83"/>
      <c r="W14" s="78"/>
      <c r="X14" s="23"/>
      <c r="Y14" s="23"/>
      <c r="Z14" s="23"/>
      <c r="AA14" s="23"/>
      <c r="AB14" s="23"/>
      <c r="AC14" s="23"/>
    </row>
    <row r="15" spans="1:29" s="16" customFormat="1">
      <c r="A15" s="11">
        <f>'1-συμβολαια'!A15</f>
        <v>0</v>
      </c>
      <c r="B15" s="48"/>
      <c r="C15" s="77">
        <f>'1-συμβολαια'!B15</f>
        <v>0</v>
      </c>
      <c r="D15" s="17"/>
      <c r="E15" s="87" t="str">
        <f>'1-συμβολαια'!C15</f>
        <v>ΧΡΗΣΙΚΤΗΣΙΑ αγροτεμαχίων 2'-3' = 19?? ΑΝΑΔΑΣΜΟΣ</v>
      </c>
      <c r="F15" s="12"/>
      <c r="G15" s="13">
        <f>'4-πολλυπρ'!D15</f>
        <v>0</v>
      </c>
      <c r="H15" s="13">
        <f>'4-πολλυπρ'!I15</f>
        <v>0</v>
      </c>
      <c r="I15" s="18"/>
      <c r="J15" s="18">
        <f>'1-συμβολαια'!D15</f>
        <v>444.44</v>
      </c>
      <c r="K15" s="18"/>
      <c r="L15" s="25">
        <f>'11-χαρτόσ'!D15</f>
        <v>0</v>
      </c>
      <c r="M15" s="25"/>
      <c r="N15" s="25"/>
      <c r="O15" s="19"/>
      <c r="P15" s="15" t="e">
        <f>#REF!-R15</f>
        <v>#REF!</v>
      </c>
      <c r="Q15" s="14"/>
      <c r="R15" s="20">
        <f>'5-αντίγρ'!Q15</f>
        <v>0</v>
      </c>
      <c r="S15" s="21"/>
      <c r="T15" s="22"/>
      <c r="U15" s="83"/>
      <c r="V15" s="83"/>
      <c r="W15" s="78"/>
      <c r="X15" s="23"/>
      <c r="Y15" s="23"/>
      <c r="Z15" s="23"/>
      <c r="AA15" s="23"/>
      <c r="AB15" s="23"/>
      <c r="AC15" s="23"/>
    </row>
    <row r="16" spans="1:29" s="16" customFormat="1">
      <c r="A16" s="11">
        <f>'1-συμβολαια'!A16</f>
        <v>0</v>
      </c>
      <c r="B16" s="48"/>
      <c r="C16" s="77">
        <f>'1-συμβολαια'!B16</f>
        <v>0</v>
      </c>
      <c r="D16" s="17"/>
      <c r="E16" s="87" t="str">
        <f>'1-συμβολαια'!C16</f>
        <v>ΧΡΗΣΙΚΤΗΣΙΑ αγροτεμαχίων υπόλοιπων 12 = πατρός 19?? ΔΩΡΕΕΣ &amp; ΚΛΗΡΟΝΟΜΙΕΣ άτυπες</v>
      </c>
      <c r="F16" s="12"/>
      <c r="G16" s="13">
        <f>'4-πολλυπρ'!D16</f>
        <v>0</v>
      </c>
      <c r="H16" s="13">
        <f>'4-πολλυπρ'!I16</f>
        <v>0</v>
      </c>
      <c r="I16" s="18"/>
      <c r="J16" s="18">
        <f>'1-συμβολαια'!D16</f>
        <v>2222.2199999999998</v>
      </c>
      <c r="K16" s="18"/>
      <c r="L16" s="25">
        <f>'11-χαρτόσ'!D16</f>
        <v>0</v>
      </c>
      <c r="M16" s="25"/>
      <c r="N16" s="25"/>
      <c r="O16" s="19"/>
      <c r="P16" s="15" t="e">
        <f>#REF!-R16</f>
        <v>#REF!</v>
      </c>
      <c r="Q16" s="14"/>
      <c r="R16" s="20">
        <f>'5-αντίγρ'!Q16</f>
        <v>0</v>
      </c>
      <c r="S16" s="21"/>
      <c r="T16" s="22"/>
      <c r="U16" s="83"/>
      <c r="V16" s="83"/>
      <c r="W16" s="78"/>
      <c r="X16" s="23"/>
      <c r="Y16" s="23"/>
      <c r="Z16" s="23"/>
      <c r="AA16" s="23"/>
      <c r="AB16" s="23"/>
      <c r="AC16" s="23"/>
    </row>
    <row r="17" spans="1:35" s="16" customFormat="1">
      <c r="A17" s="11">
        <f>'1-συμβολαια'!A17</f>
        <v>0</v>
      </c>
      <c r="B17" s="48"/>
      <c r="C17" s="77">
        <f>'1-συμβολαια'!B17</f>
        <v>0</v>
      </c>
      <c r="D17" s="17"/>
      <c r="E17" s="87" t="str">
        <f>'1-συμβολαια'!C17</f>
        <v>μίσθωση = ΠΑΓΙΑ ως νέος αγρότης</v>
      </c>
      <c r="F17" s="12"/>
      <c r="G17" s="13">
        <f>'4-πολλυπρ'!D17</f>
        <v>0</v>
      </c>
      <c r="H17" s="13">
        <f>'4-πολλυπρ'!I17</f>
        <v>0</v>
      </c>
      <c r="I17" s="18"/>
      <c r="J17" s="18">
        <f>'1-συμβολαια'!D17</f>
        <v>11111.11</v>
      </c>
      <c r="K17" s="18"/>
      <c r="L17" s="25">
        <f>'11-χαρτόσ'!D17</f>
        <v>0</v>
      </c>
      <c r="M17" s="25"/>
      <c r="N17" s="25"/>
      <c r="O17" s="19"/>
      <c r="P17" s="15" t="e">
        <f>#REF!-R17</f>
        <v>#REF!</v>
      </c>
      <c r="Q17" s="14"/>
      <c r="R17" s="20">
        <f>'5-αντίγρ'!Q17</f>
        <v>0</v>
      </c>
      <c r="S17" s="21"/>
      <c r="T17" s="22"/>
      <c r="U17" s="83"/>
      <c r="V17" s="83"/>
      <c r="W17" s="78"/>
      <c r="X17" s="23"/>
      <c r="Y17" s="23"/>
      <c r="Z17" s="23"/>
      <c r="AA17" s="23"/>
      <c r="AB17" s="23"/>
      <c r="AC17" s="23"/>
    </row>
    <row r="18" spans="1:35" s="16" customFormat="1">
      <c r="A18" s="11" t="str">
        <f>'1-συμβολαια'!A18</f>
        <v>7ο</v>
      </c>
      <c r="B18" s="48"/>
      <c r="C18" s="77">
        <f>'1-συμβολαια'!B18</f>
        <v>38437</v>
      </c>
      <c r="D18" s="17"/>
      <c r="E18" s="87" t="str">
        <f>'1-συμβολαια'!C18</f>
        <v>*καθετου συστάσεως 2.539 ΔΙΟΡΘΩΣΗ</v>
      </c>
      <c r="F18" s="12"/>
      <c r="G18" s="13" t="str">
        <f>'4-πολλυπρ'!D18</f>
        <v>πατήρ</v>
      </c>
      <c r="H18" s="13">
        <f>'4-πολλυπρ'!I18</f>
        <v>0</v>
      </c>
      <c r="I18" s="18"/>
      <c r="J18" s="18">
        <f>'1-συμβολαια'!D18</f>
        <v>0</v>
      </c>
      <c r="K18" s="18"/>
      <c r="L18" s="25">
        <f>'11-χαρτόσ'!D18</f>
        <v>0</v>
      </c>
      <c r="M18" s="25"/>
      <c r="N18" s="25"/>
      <c r="O18" s="19"/>
      <c r="P18" s="15" t="e">
        <f>#REF!-R18</f>
        <v>#REF!</v>
      </c>
      <c r="Q18" s="14"/>
      <c r="R18" s="20">
        <f>'5-αντίγρ'!Q18</f>
        <v>0</v>
      </c>
      <c r="S18" s="21"/>
      <c r="T18" s="22"/>
      <c r="U18" s="83"/>
      <c r="V18" s="83"/>
      <c r="W18" s="78"/>
      <c r="X18" s="23"/>
      <c r="Y18" s="23"/>
      <c r="Z18" s="23"/>
      <c r="AA18" s="23"/>
      <c r="AB18" s="23"/>
      <c r="AC18" s="23"/>
    </row>
    <row r="19" spans="1:35" s="16" customFormat="1">
      <c r="A19" s="11" t="str">
        <f>'1-συμβολαια'!A19</f>
        <v>8ο</v>
      </c>
      <c r="B19" s="48"/>
      <c r="C19" s="77">
        <f>'1-συμβολαια'!B19</f>
        <v>38437</v>
      </c>
      <c r="D19" s="17"/>
      <c r="E19" s="87" t="str">
        <f>'1-συμβολαια'!C19</f>
        <v>*γονικής 2.540 ΔΙΟΡΘΩΣΗ</v>
      </c>
      <c r="F19" s="12"/>
      <c r="G19" s="13" t="str">
        <f>'4-πολλυπρ'!D19</f>
        <v>πατήρ</v>
      </c>
      <c r="H19" s="13">
        <f>'4-πολλυπρ'!I19</f>
        <v>0</v>
      </c>
      <c r="I19" s="18"/>
      <c r="J19" s="18">
        <f>'1-συμβολαια'!D19</f>
        <v>0</v>
      </c>
      <c r="K19" s="18"/>
      <c r="L19" s="25">
        <f>'11-χαρτόσ'!D19</f>
        <v>0</v>
      </c>
      <c r="M19" s="25"/>
      <c r="N19" s="25"/>
      <c r="O19" s="19"/>
      <c r="P19" s="15" t="e">
        <f>#REF!-R19</f>
        <v>#REF!</v>
      </c>
      <c r="Q19" s="14"/>
      <c r="R19" s="20">
        <f>'5-αντίγρ'!Q19</f>
        <v>0</v>
      </c>
      <c r="S19" s="21"/>
      <c r="T19" s="22"/>
      <c r="U19" s="83"/>
      <c r="V19" s="83"/>
      <c r="W19" s="78"/>
      <c r="X19" s="23"/>
      <c r="Y19" s="23"/>
      <c r="Z19" s="23"/>
      <c r="AA19" s="23"/>
      <c r="AB19" s="23"/>
      <c r="AC19" s="23"/>
    </row>
    <row r="20" spans="1:35" s="16" customFormat="1">
      <c r="A20" s="11" t="str">
        <f>'1-συμβολαια'!A20</f>
        <v>9ο</v>
      </c>
      <c r="B20" s="48"/>
      <c r="C20" s="77">
        <f>'1-συμβολαια'!B20</f>
        <v>38437</v>
      </c>
      <c r="D20" s="17"/>
      <c r="E20" s="87" t="str">
        <f>'1-συμβολαια'!C20</f>
        <v>γονική</v>
      </c>
      <c r="F20" s="12"/>
      <c r="G20" s="13" t="str">
        <f>'4-πολλυπρ'!D20</f>
        <v>πατήρ</v>
      </c>
      <c r="H20" s="13">
        <f>'4-πολλυπρ'!I20</f>
        <v>2</v>
      </c>
      <c r="I20" s="18"/>
      <c r="J20" s="18">
        <f>'1-συμβολαια'!D20</f>
        <v>1400</v>
      </c>
      <c r="K20" s="18"/>
      <c r="L20" s="25">
        <f>'11-χαρτόσ'!D20</f>
        <v>0</v>
      </c>
      <c r="M20" s="25"/>
      <c r="N20" s="25"/>
      <c r="O20" s="19"/>
      <c r="P20" s="15" t="e">
        <f>#REF!-R20</f>
        <v>#REF!</v>
      </c>
      <c r="Q20" s="14"/>
      <c r="R20" s="20">
        <f>'5-αντίγρ'!Q20</f>
        <v>0</v>
      </c>
      <c r="S20" s="21"/>
      <c r="T20" s="22"/>
      <c r="U20" s="83"/>
      <c r="V20" s="83"/>
      <c r="W20" s="78"/>
      <c r="X20" s="23"/>
      <c r="Y20" s="23"/>
      <c r="Z20" s="23"/>
      <c r="AA20" s="23"/>
      <c r="AB20" s="23"/>
      <c r="AC20" s="23"/>
    </row>
    <row r="21" spans="1:35" s="16" customFormat="1">
      <c r="A21" s="11">
        <f>'1-συμβολαια'!A21</f>
        <v>0</v>
      </c>
      <c r="B21" s="48"/>
      <c r="C21" s="77">
        <f>'1-συμβολαια'!B21</f>
        <v>0</v>
      </c>
      <c r="D21" s="17"/>
      <c r="E21" s="87" t="str">
        <f>'1-συμβολαια'!C21</f>
        <v>ΧΡΗΣΙΚΤΗΣΙΑ οικοπέδου ΄΄κάστρο'' 52,50μ2 = 1970 κυδωνηςΙωαννης ΔΩΡΕΑ άτυπη</v>
      </c>
      <c r="F21" s="12"/>
      <c r="G21" s="13" t="str">
        <f>'4-πολλυπρ'!D21</f>
        <v>παππούς</v>
      </c>
      <c r="H21" s="13">
        <f>'4-πολλυπρ'!I21</f>
        <v>0</v>
      </c>
      <c r="I21" s="18"/>
      <c r="J21" s="18">
        <f>'1-συμβολαια'!D21</f>
        <v>111.11</v>
      </c>
      <c r="K21" s="18"/>
      <c r="L21" s="25">
        <f>'11-χαρτόσ'!D21</f>
        <v>0</v>
      </c>
      <c r="M21" s="25"/>
      <c r="N21" s="25"/>
      <c r="O21" s="19"/>
      <c r="P21" s="15" t="e">
        <f>#REF!-R21</f>
        <v>#REF!</v>
      </c>
      <c r="Q21" s="14"/>
      <c r="R21" s="20">
        <f>'5-αντίγρ'!Q21</f>
        <v>0</v>
      </c>
      <c r="S21" s="21"/>
      <c r="T21" s="22"/>
      <c r="U21" s="83"/>
      <c r="V21" s="83"/>
      <c r="W21" s="78"/>
      <c r="X21" s="23"/>
      <c r="Y21" s="23"/>
      <c r="Z21" s="23"/>
      <c r="AA21" s="23"/>
      <c r="AB21" s="23"/>
      <c r="AC21" s="23"/>
    </row>
    <row r="22" spans="1:35" s="16" customFormat="1">
      <c r="A22" s="11" t="e">
        <f>'1-συμβολαια'!#REF!</f>
        <v>#REF!</v>
      </c>
      <c r="B22" s="48"/>
      <c r="C22" s="77" t="e">
        <f>'1-συμβολαια'!#REF!</f>
        <v>#REF!</v>
      </c>
      <c r="D22" s="17"/>
      <c r="E22" s="87" t="e">
        <f>'1-συμβολαια'!#REF!</f>
        <v>#REF!</v>
      </c>
      <c r="F22" s="12"/>
      <c r="G22" s="13" t="e">
        <f>'4-πολλυπρ'!#REF!</f>
        <v>#REF!</v>
      </c>
      <c r="H22" s="13" t="e">
        <f>'4-πολλυπρ'!#REF!</f>
        <v>#REF!</v>
      </c>
      <c r="I22" s="18"/>
      <c r="J22" s="18" t="e">
        <f>'1-συμβολαια'!#REF!</f>
        <v>#REF!</v>
      </c>
      <c r="K22" s="18"/>
      <c r="L22" s="25" t="e">
        <f>'11-χαρτόσ'!#REF!</f>
        <v>#REF!</v>
      </c>
      <c r="M22" s="25"/>
      <c r="N22" s="25"/>
      <c r="O22" s="19"/>
      <c r="P22" s="15" t="e">
        <f>#REF!-R22</f>
        <v>#REF!</v>
      </c>
      <c r="Q22" s="14"/>
      <c r="R22" s="20" t="e">
        <f>'5-αντίγρ'!#REF!</f>
        <v>#REF!</v>
      </c>
      <c r="S22" s="21"/>
      <c r="T22" s="22"/>
      <c r="U22" s="83"/>
      <c r="V22" s="83"/>
      <c r="W22" s="78"/>
      <c r="X22" s="23"/>
      <c r="Y22" s="23"/>
      <c r="Z22" s="23"/>
      <c r="AA22" s="23"/>
      <c r="AB22" s="23"/>
      <c r="AC22" s="23"/>
    </row>
    <row r="23" spans="1:35" s="16" customFormat="1">
      <c r="A23" s="11" t="e">
        <f>'1-συμβολαια'!#REF!</f>
        <v>#REF!</v>
      </c>
      <c r="B23" s="48"/>
      <c r="C23" s="77" t="e">
        <f>'1-συμβολαια'!#REF!</f>
        <v>#REF!</v>
      </c>
      <c r="D23" s="17"/>
      <c r="E23" s="87" t="e">
        <f>'1-συμβολαια'!#REF!</f>
        <v>#REF!</v>
      </c>
      <c r="F23" s="12"/>
      <c r="G23" s="13" t="e">
        <f>'4-πολλυπρ'!#REF!</f>
        <v>#REF!</v>
      </c>
      <c r="H23" s="13" t="e">
        <f>'4-πολλυπρ'!#REF!</f>
        <v>#REF!</v>
      </c>
      <c r="I23" s="18"/>
      <c r="J23" s="18" t="e">
        <f>'1-συμβολαια'!#REF!</f>
        <v>#REF!</v>
      </c>
      <c r="K23" s="18"/>
      <c r="L23" s="25" t="e">
        <f>'11-χαρτόσ'!#REF!</f>
        <v>#REF!</v>
      </c>
      <c r="M23" s="25"/>
      <c r="N23" s="25"/>
      <c r="O23" s="19"/>
      <c r="P23" s="15" t="e">
        <f>#REF!-R23</f>
        <v>#REF!</v>
      </c>
      <c r="Q23" s="14"/>
      <c r="R23" s="20" t="e">
        <f>'5-αντίγρ'!#REF!</f>
        <v>#REF!</v>
      </c>
      <c r="S23" s="21"/>
      <c r="T23" s="22"/>
      <c r="U23" s="83"/>
      <c r="V23" s="83"/>
      <c r="W23" s="78"/>
      <c r="X23" s="23"/>
      <c r="Y23" s="23"/>
      <c r="Z23" s="23"/>
      <c r="AA23" s="23"/>
      <c r="AB23" s="23"/>
      <c r="AC23" s="23"/>
    </row>
    <row r="24" spans="1:35" s="16" customFormat="1">
      <c r="A24" s="11" t="e">
        <f>'1-συμβολαια'!#REF!</f>
        <v>#REF!</v>
      </c>
      <c r="B24" s="48"/>
      <c r="C24" s="77" t="e">
        <f>'1-συμβολαια'!#REF!</f>
        <v>#REF!</v>
      </c>
      <c r="D24" s="17"/>
      <c r="E24" s="87" t="e">
        <f>'1-συμβολαια'!#REF!</f>
        <v>#REF!</v>
      </c>
      <c r="F24" s="12"/>
      <c r="G24" s="13" t="e">
        <f>'4-πολλυπρ'!#REF!</f>
        <v>#REF!</v>
      </c>
      <c r="H24" s="13" t="e">
        <f>'4-πολλυπρ'!#REF!</f>
        <v>#REF!</v>
      </c>
      <c r="I24" s="18"/>
      <c r="J24" s="18" t="e">
        <f>'1-συμβολαια'!#REF!</f>
        <v>#REF!</v>
      </c>
      <c r="K24" s="18"/>
      <c r="L24" s="25" t="e">
        <f>'11-χαρτόσ'!#REF!</f>
        <v>#REF!</v>
      </c>
      <c r="M24" s="25"/>
      <c r="N24" s="25"/>
      <c r="O24" s="19"/>
      <c r="P24" s="15" t="e">
        <f>#REF!-R24</f>
        <v>#REF!</v>
      </c>
      <c r="Q24" s="14"/>
      <c r="R24" s="20" t="e">
        <f>'5-αντίγρ'!#REF!</f>
        <v>#REF!</v>
      </c>
      <c r="S24" s="21"/>
      <c r="T24" s="22"/>
      <c r="U24" s="83"/>
      <c r="V24" s="83"/>
      <c r="W24" s="78"/>
      <c r="X24" s="23"/>
      <c r="Y24" s="23"/>
      <c r="Z24" s="23"/>
      <c r="AA24" s="23"/>
      <c r="AB24" s="23"/>
      <c r="AC24" s="23"/>
    </row>
    <row r="25" spans="1:35">
      <c r="A25" s="937" t="s">
        <v>56</v>
      </c>
      <c r="B25" s="938"/>
      <c r="C25" s="938"/>
      <c r="D25" s="938"/>
      <c r="E25" s="938"/>
      <c r="F25" s="938"/>
      <c r="G25" s="938"/>
      <c r="H25" s="938"/>
      <c r="I25" s="938"/>
      <c r="J25" s="938"/>
      <c r="K25" s="43"/>
      <c r="L25" s="1" t="e">
        <f>SUM(L3:L24)</f>
        <v>#REF!</v>
      </c>
      <c r="M25" s="1"/>
      <c r="N25" s="1"/>
      <c r="O25" s="1">
        <f>SUM(O3:O24)</f>
        <v>0</v>
      </c>
      <c r="P25" s="37" t="e">
        <f>SUM(P3:P24)</f>
        <v>#REF!</v>
      </c>
      <c r="Q25" s="1">
        <f>SUM(Q3:Q24)</f>
        <v>0</v>
      </c>
      <c r="R25" s="1" t="e">
        <f>SUM(R3:R24)</f>
        <v>#REF!</v>
      </c>
      <c r="S25" s="1">
        <f>SUM(S3:S24)</f>
        <v>0</v>
      </c>
      <c r="T25" s="3"/>
      <c r="U25" s="79"/>
      <c r="V25" s="79"/>
    </row>
    <row r="26" spans="1:35">
      <c r="T26" s="114"/>
    </row>
    <row r="27" spans="1:35" ht="15.75" customHeight="1">
      <c r="T27" s="114"/>
      <c r="U27" s="920" t="s">
        <v>119</v>
      </c>
      <c r="V27" s="920"/>
      <c r="W27" s="920"/>
      <c r="X27" s="920"/>
      <c r="Y27" s="920"/>
      <c r="Z27" s="920"/>
      <c r="AA27" s="920"/>
      <c r="AB27" s="920"/>
      <c r="AC27" s="920"/>
      <c r="AD27" s="112"/>
      <c r="AE27" s="112"/>
      <c r="AF27" s="112"/>
      <c r="AG27" s="112"/>
      <c r="AH27" s="107"/>
      <c r="AI27" s="107"/>
    </row>
    <row r="28" spans="1:35" ht="15.75" customHeight="1">
      <c r="T28" s="114"/>
      <c r="U28" s="113"/>
      <c r="V28" s="921" t="s">
        <v>120</v>
      </c>
      <c r="W28" s="921"/>
      <c r="X28" s="921"/>
      <c r="Y28" s="921"/>
      <c r="Z28" s="921"/>
      <c r="AA28" s="921"/>
      <c r="AB28" s="921"/>
      <c r="AC28" s="921"/>
      <c r="AD28" s="921"/>
      <c r="AE28" s="107"/>
      <c r="AF28" s="107"/>
      <c r="AG28" s="107"/>
      <c r="AH28" s="107"/>
      <c r="AI28" s="107"/>
    </row>
    <row r="29" spans="1:35" ht="15.75" customHeight="1">
      <c r="T29" s="114"/>
      <c r="U29" s="113"/>
      <c r="V29" s="113"/>
      <c r="W29" s="920" t="s">
        <v>121</v>
      </c>
      <c r="X29" s="920"/>
      <c r="Y29" s="920"/>
      <c r="Z29" s="920"/>
      <c r="AA29" s="920"/>
      <c r="AB29" s="920"/>
      <c r="AC29" s="920"/>
      <c r="AD29" s="920"/>
      <c r="AE29" s="920"/>
      <c r="AF29" s="107"/>
      <c r="AG29" s="107"/>
      <c r="AH29" s="107"/>
      <c r="AI29" s="107"/>
    </row>
    <row r="30" spans="1:35" ht="15.75">
      <c r="U30" s="113"/>
      <c r="V30" s="113"/>
      <c r="W30" s="113"/>
      <c r="X30" s="921" t="s">
        <v>122</v>
      </c>
      <c r="Y30" s="921"/>
      <c r="Z30" s="921"/>
      <c r="AA30" s="921"/>
      <c r="AB30" s="921"/>
      <c r="AC30" s="921"/>
      <c r="AD30" s="921"/>
      <c r="AE30" s="921"/>
      <c r="AF30" s="921"/>
      <c r="AG30" s="107"/>
      <c r="AH30" s="107"/>
      <c r="AI30" s="107"/>
    </row>
    <row r="31" spans="1:35" ht="15.75">
      <c r="U31" s="113"/>
      <c r="V31" s="113"/>
      <c r="W31" s="113"/>
      <c r="X31" s="113"/>
      <c r="Y31" s="920" t="s">
        <v>123</v>
      </c>
      <c r="Z31" s="920"/>
      <c r="AA31" s="920"/>
      <c r="AB31" s="920"/>
      <c r="AC31" s="920"/>
      <c r="AD31" s="920"/>
      <c r="AE31" s="920"/>
      <c r="AF31" s="920"/>
      <c r="AG31" s="920"/>
      <c r="AH31" s="107"/>
      <c r="AI31" s="107"/>
    </row>
    <row r="32" spans="1:35" ht="15.75">
      <c r="U32" s="113"/>
      <c r="V32" s="113"/>
      <c r="W32" s="113"/>
      <c r="X32" s="113"/>
      <c r="Y32" s="113"/>
      <c r="Z32" s="921" t="s">
        <v>124</v>
      </c>
      <c r="AA32" s="921"/>
      <c r="AB32" s="921"/>
      <c r="AC32" s="921"/>
      <c r="AD32" s="921"/>
      <c r="AE32" s="921"/>
      <c r="AF32" s="921"/>
      <c r="AG32" s="921"/>
      <c r="AH32" s="921"/>
      <c r="AI32" s="107"/>
    </row>
    <row r="33" spans="21:35" ht="15.75">
      <c r="U33" s="113"/>
      <c r="V33" s="113"/>
      <c r="W33" s="113"/>
      <c r="X33" s="113"/>
      <c r="Y33" s="113"/>
      <c r="Z33" s="113"/>
      <c r="AA33" s="920" t="s">
        <v>125</v>
      </c>
      <c r="AB33" s="920"/>
      <c r="AC33" s="920"/>
      <c r="AD33" s="920"/>
      <c r="AE33" s="920"/>
      <c r="AF33" s="920"/>
      <c r="AG33" s="920"/>
      <c r="AH33" s="920"/>
      <c r="AI33" s="920"/>
    </row>
  </sheetData>
  <mergeCells count="18">
    <mergeCell ref="W29:AE29"/>
    <mergeCell ref="X30:AF30"/>
    <mergeCell ref="Y31:AG31"/>
    <mergeCell ref="Z32:AH32"/>
    <mergeCell ref="AA33:AI33"/>
    <mergeCell ref="U27:AC27"/>
    <mergeCell ref="V28:AD28"/>
    <mergeCell ref="U1:AC2"/>
    <mergeCell ref="T1:T2"/>
    <mergeCell ref="R1:S1"/>
    <mergeCell ref="A25:J25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27"/>
  <sheetViews>
    <sheetView workbookViewId="0">
      <pane ySplit="2" topLeftCell="A3" activePane="bottomLeft" state="frozen"/>
      <selection pane="bottomLeft" activeCell="B34" sqref="B34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0" customFormat="1" ht="32.25" customHeight="1">
      <c r="A1" s="953" t="s">
        <v>31</v>
      </c>
      <c r="B1" s="954"/>
      <c r="C1" s="954"/>
      <c r="D1" s="954"/>
      <c r="E1" s="955"/>
      <c r="F1" s="956" t="s">
        <v>289</v>
      </c>
      <c r="G1" s="957"/>
      <c r="H1" s="957"/>
      <c r="I1" s="958"/>
      <c r="J1" s="949" t="s">
        <v>290</v>
      </c>
      <c r="K1" s="950"/>
      <c r="L1" s="950"/>
      <c r="M1" s="950"/>
      <c r="N1" s="950"/>
      <c r="O1" s="950"/>
      <c r="P1" s="950"/>
      <c r="Q1" s="950"/>
      <c r="R1" s="950"/>
      <c r="S1" s="950"/>
      <c r="T1" s="950"/>
      <c r="U1" s="950"/>
      <c r="V1" s="950"/>
      <c r="W1" s="950"/>
      <c r="X1" s="950"/>
      <c r="Y1" s="951"/>
      <c r="Z1" s="959" t="s">
        <v>291</v>
      </c>
      <c r="AA1" s="960"/>
      <c r="AB1" s="960"/>
      <c r="AC1" s="961"/>
      <c r="AD1" s="949" t="s">
        <v>292</v>
      </c>
      <c r="AE1" s="950"/>
      <c r="AF1" s="950"/>
      <c r="AG1" s="950"/>
      <c r="AH1" s="950"/>
      <c r="AI1" s="950"/>
      <c r="AJ1" s="950"/>
      <c r="AK1" s="950"/>
      <c r="AL1" s="950"/>
      <c r="AM1" s="950"/>
      <c r="AN1" s="950"/>
      <c r="AO1" s="950"/>
      <c r="AP1" s="950"/>
      <c r="AQ1" s="950"/>
      <c r="AR1" s="950"/>
      <c r="AS1" s="951"/>
      <c r="AT1" s="956" t="s">
        <v>293</v>
      </c>
      <c r="AU1" s="957"/>
      <c r="AV1" s="957"/>
      <c r="AW1" s="958"/>
      <c r="AX1" s="949" t="s">
        <v>294</v>
      </c>
      <c r="AY1" s="950"/>
      <c r="AZ1" s="950"/>
      <c r="BA1" s="950"/>
      <c r="BB1" s="950"/>
      <c r="BC1" s="950"/>
      <c r="BD1" s="950"/>
      <c r="BE1" s="950"/>
      <c r="BF1" s="950"/>
      <c r="BG1" s="950"/>
      <c r="BH1" s="950"/>
      <c r="BI1" s="950"/>
      <c r="BJ1" s="950"/>
      <c r="BK1" s="950"/>
      <c r="BL1" s="950"/>
      <c r="BM1" s="951"/>
    </row>
    <row r="2" spans="1:65" s="4" customFormat="1" ht="23.25" customHeight="1">
      <c r="A2" s="172" t="s">
        <v>19</v>
      </c>
      <c r="B2" s="172" t="s">
        <v>295</v>
      </c>
      <c r="C2" s="173" t="s">
        <v>296</v>
      </c>
      <c r="D2" s="711" t="s">
        <v>29</v>
      </c>
      <c r="E2" s="909"/>
      <c r="F2" s="174" t="s">
        <v>297</v>
      </c>
      <c r="G2" s="172" t="s">
        <v>18</v>
      </c>
      <c r="H2" s="174" t="s">
        <v>23</v>
      </c>
      <c r="I2" s="175" t="s">
        <v>83</v>
      </c>
      <c r="J2" s="176" t="s">
        <v>298</v>
      </c>
      <c r="K2" s="176" t="s">
        <v>299</v>
      </c>
      <c r="L2" s="174" t="s">
        <v>300</v>
      </c>
      <c r="M2" s="174" t="s">
        <v>301</v>
      </c>
      <c r="N2" s="174" t="s">
        <v>302</v>
      </c>
      <c r="O2" s="174" t="s">
        <v>303</v>
      </c>
      <c r="P2" s="174" t="s">
        <v>304</v>
      </c>
      <c r="Q2" s="174" t="s">
        <v>305</v>
      </c>
      <c r="R2" s="174" t="s">
        <v>306</v>
      </c>
      <c r="S2" s="174" t="s">
        <v>307</v>
      </c>
      <c r="T2" s="174" t="s">
        <v>308</v>
      </c>
      <c r="U2" s="174" t="s">
        <v>23</v>
      </c>
      <c r="V2" s="174" t="s">
        <v>309</v>
      </c>
      <c r="W2" s="174" t="s">
        <v>310</v>
      </c>
      <c r="X2" s="174" t="s">
        <v>311</v>
      </c>
      <c r="Y2" s="177" t="s">
        <v>312</v>
      </c>
      <c r="Z2" s="174" t="s">
        <v>297</v>
      </c>
      <c r="AA2" s="172" t="s">
        <v>18</v>
      </c>
      <c r="AB2" s="174" t="s">
        <v>23</v>
      </c>
      <c r="AC2" s="178" t="s">
        <v>83</v>
      </c>
      <c r="AD2" s="176" t="s">
        <v>298</v>
      </c>
      <c r="AE2" s="176" t="s">
        <v>299</v>
      </c>
      <c r="AF2" s="174" t="s">
        <v>300</v>
      </c>
      <c r="AG2" s="174" t="s">
        <v>301</v>
      </c>
      <c r="AH2" s="174" t="s">
        <v>302</v>
      </c>
      <c r="AI2" s="174" t="s">
        <v>303</v>
      </c>
      <c r="AJ2" s="174" t="s">
        <v>304</v>
      </c>
      <c r="AK2" s="174" t="s">
        <v>305</v>
      </c>
      <c r="AL2" s="174" t="s">
        <v>306</v>
      </c>
      <c r="AM2" s="174" t="s">
        <v>307</v>
      </c>
      <c r="AN2" s="174" t="s">
        <v>308</v>
      </c>
      <c r="AO2" s="174" t="s">
        <v>23</v>
      </c>
      <c r="AP2" s="174" t="s">
        <v>309</v>
      </c>
      <c r="AQ2" s="174" t="s">
        <v>310</v>
      </c>
      <c r="AR2" s="174" t="s">
        <v>311</v>
      </c>
      <c r="AS2" s="177" t="s">
        <v>312</v>
      </c>
      <c r="AT2" s="174" t="s">
        <v>297</v>
      </c>
      <c r="AU2" s="172" t="s">
        <v>18</v>
      </c>
      <c r="AV2" s="174" t="s">
        <v>23</v>
      </c>
      <c r="AW2" s="175" t="s">
        <v>83</v>
      </c>
      <c r="AX2" s="176" t="s">
        <v>298</v>
      </c>
      <c r="AY2" s="176" t="s">
        <v>299</v>
      </c>
      <c r="AZ2" s="174" t="s">
        <v>300</v>
      </c>
      <c r="BA2" s="174" t="s">
        <v>301</v>
      </c>
      <c r="BB2" s="174" t="s">
        <v>302</v>
      </c>
      <c r="BC2" s="174" t="s">
        <v>303</v>
      </c>
      <c r="BD2" s="174" t="s">
        <v>304</v>
      </c>
      <c r="BE2" s="174" t="s">
        <v>305</v>
      </c>
      <c r="BF2" s="174" t="s">
        <v>306</v>
      </c>
      <c r="BG2" s="174" t="s">
        <v>307</v>
      </c>
      <c r="BH2" s="174" t="s">
        <v>308</v>
      </c>
      <c r="BI2" s="174" t="s">
        <v>23</v>
      </c>
      <c r="BJ2" s="174" t="s">
        <v>309</v>
      </c>
      <c r="BK2" s="174" t="s">
        <v>310</v>
      </c>
      <c r="BL2" s="174" t="s">
        <v>313</v>
      </c>
      <c r="BM2" s="177" t="s">
        <v>312</v>
      </c>
    </row>
    <row r="3" spans="1:65" s="32" customFormat="1">
      <c r="A3" s="28" t="str">
        <f>'1-συμβολαια'!A3</f>
        <v>1ο</v>
      </c>
      <c r="B3" s="13" t="str">
        <f>'4-πολλυπρ'!D3</f>
        <v>παππούς</v>
      </c>
      <c r="C3" s="13">
        <f>'4-πολλυπρ'!I3</f>
        <v>0</v>
      </c>
      <c r="D3" s="30"/>
      <c r="E3" s="28"/>
      <c r="F3" s="28"/>
      <c r="G3" s="29"/>
      <c r="H3" s="28"/>
      <c r="I3" s="28"/>
      <c r="J3" s="28"/>
      <c r="K3" s="128" t="s">
        <v>314</v>
      </c>
      <c r="L3" s="31"/>
      <c r="M3" s="31"/>
      <c r="N3" s="31"/>
      <c r="O3" s="31"/>
      <c r="P3" s="31"/>
      <c r="Q3" s="31"/>
      <c r="R3" s="31"/>
      <c r="S3" s="31"/>
      <c r="T3" s="31"/>
      <c r="U3" s="28"/>
      <c r="V3" s="29"/>
      <c r="W3" s="29"/>
      <c r="X3" s="31"/>
      <c r="Y3" s="31"/>
      <c r="Z3" s="28"/>
      <c r="AA3" s="31"/>
      <c r="AB3" s="28"/>
      <c r="AC3" s="31"/>
      <c r="AD3" s="28"/>
      <c r="AE3" s="179" t="s">
        <v>314</v>
      </c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28"/>
      <c r="AU3" s="31"/>
      <c r="AV3" s="28"/>
      <c r="AW3" s="31"/>
      <c r="AX3" s="28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28"/>
      <c r="BJ3" s="31"/>
      <c r="BK3" s="31"/>
      <c r="BL3" s="31"/>
      <c r="BM3" s="31"/>
    </row>
    <row r="4" spans="1:65" s="32" customFormat="1">
      <c r="A4" s="28">
        <f>'1-συμβολαια'!A4</f>
        <v>0</v>
      </c>
      <c r="B4" s="13" t="str">
        <f>'4-πολλυπρ'!D4</f>
        <v>;;;???</v>
      </c>
      <c r="C4" s="13">
        <f>'4-πολλυπρ'!I4</f>
        <v>0</v>
      </c>
      <c r="D4" s="30"/>
      <c r="E4" s="28"/>
      <c r="F4" s="28"/>
      <c r="G4" s="29"/>
      <c r="H4" s="28"/>
      <c r="I4" s="28"/>
      <c r="J4" s="28"/>
      <c r="K4" s="128" t="s">
        <v>314</v>
      </c>
      <c r="L4" s="31"/>
      <c r="M4" s="31"/>
      <c r="N4" s="31"/>
      <c r="O4" s="31"/>
      <c r="P4" s="31"/>
      <c r="Q4" s="31"/>
      <c r="R4" s="31"/>
      <c r="S4" s="31"/>
      <c r="T4" s="31"/>
      <c r="U4" s="28"/>
      <c r="V4" s="29"/>
      <c r="W4" s="29"/>
      <c r="X4" s="31"/>
      <c r="Y4" s="31"/>
      <c r="Z4" s="28"/>
      <c r="AA4" s="31"/>
      <c r="AB4" s="28"/>
      <c r="AC4" s="31"/>
      <c r="AD4" s="28"/>
      <c r="AE4" s="179" t="s">
        <v>314</v>
      </c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28"/>
      <c r="AU4" s="31"/>
      <c r="AV4" s="28"/>
      <c r="AW4" s="31"/>
      <c r="AX4" s="28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28"/>
      <c r="BJ4" s="31"/>
      <c r="BK4" s="31"/>
      <c r="BL4" s="31"/>
      <c r="BM4" s="31"/>
    </row>
    <row r="5" spans="1:65" s="32" customFormat="1">
      <c r="A5" s="28">
        <f>'1-συμβολαια'!A5</f>
        <v>0</v>
      </c>
      <c r="B5" s="13">
        <f>'4-πολλυπρ'!D5</f>
        <v>0</v>
      </c>
      <c r="C5" s="13">
        <f>'4-πολλυπρ'!I5</f>
        <v>0</v>
      </c>
      <c r="D5" s="30"/>
      <c r="E5" s="28"/>
      <c r="F5" s="28"/>
      <c r="G5" s="29"/>
      <c r="H5" s="28"/>
      <c r="I5" s="28"/>
      <c r="J5" s="28"/>
      <c r="K5" s="128" t="s">
        <v>314</v>
      </c>
      <c r="L5" s="31"/>
      <c r="M5" s="31"/>
      <c r="N5" s="31"/>
      <c r="O5" s="31"/>
      <c r="P5" s="31"/>
      <c r="Q5" s="31"/>
      <c r="R5" s="31"/>
      <c r="S5" s="31"/>
      <c r="T5" s="31"/>
      <c r="U5" s="28"/>
      <c r="V5" s="29"/>
      <c r="W5" s="29"/>
      <c r="X5" s="31"/>
      <c r="Y5" s="31"/>
      <c r="Z5" s="28"/>
      <c r="AA5" s="31"/>
      <c r="AB5" s="28"/>
      <c r="AC5" s="31"/>
      <c r="AD5" s="28"/>
      <c r="AE5" s="179" t="s">
        <v>314</v>
      </c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28"/>
      <c r="AU5" s="31"/>
      <c r="AV5" s="28"/>
      <c r="AW5" s="31"/>
      <c r="AX5" s="28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28"/>
      <c r="BJ5" s="31"/>
      <c r="BK5" s="31"/>
      <c r="BL5" s="31"/>
      <c r="BM5" s="31"/>
    </row>
    <row r="6" spans="1:65" s="32" customFormat="1">
      <c r="A6" s="28">
        <f>'1-συμβολαια'!A6</f>
        <v>0</v>
      </c>
      <c r="B6" s="13">
        <f>'4-πολλυπρ'!D6</f>
        <v>0</v>
      </c>
      <c r="C6" s="13">
        <f>'4-πολλυπρ'!I6</f>
        <v>0</v>
      </c>
      <c r="D6" s="30"/>
      <c r="E6" s="28"/>
      <c r="F6" s="28"/>
      <c r="G6" s="29"/>
      <c r="H6" s="28"/>
      <c r="I6" s="28"/>
      <c r="J6" s="28"/>
      <c r="K6" s="128" t="s">
        <v>314</v>
      </c>
      <c r="L6" s="31"/>
      <c r="M6" s="31"/>
      <c r="N6" s="31"/>
      <c r="O6" s="31"/>
      <c r="P6" s="31"/>
      <c r="Q6" s="31"/>
      <c r="R6" s="31"/>
      <c r="S6" s="31"/>
      <c r="T6" s="31"/>
      <c r="U6" s="28"/>
      <c r="V6" s="29"/>
      <c r="W6" s="29"/>
      <c r="X6" s="31"/>
      <c r="Y6" s="31"/>
      <c r="Z6" s="28"/>
      <c r="AA6" s="31"/>
      <c r="AB6" s="28"/>
      <c r="AC6" s="31"/>
      <c r="AD6" s="28"/>
      <c r="AE6" s="179" t="s">
        <v>314</v>
      </c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28"/>
      <c r="AU6" s="31"/>
      <c r="AV6" s="28"/>
      <c r="AW6" s="31"/>
      <c r="AX6" s="28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28"/>
      <c r="BJ6" s="31"/>
      <c r="BK6" s="31"/>
      <c r="BL6" s="31"/>
      <c r="BM6" s="31"/>
    </row>
    <row r="7" spans="1:65" s="32" customFormat="1">
      <c r="A7" s="28" t="str">
        <f>'1-συμβολαια'!A7</f>
        <v>2ο</v>
      </c>
      <c r="B7" s="13" t="str">
        <f>'4-πολλυπρ'!D7</f>
        <v>θείος</v>
      </c>
      <c r="C7" s="13">
        <f>'4-πολλυπρ'!I7</f>
        <v>0</v>
      </c>
      <c r="D7" s="30"/>
      <c r="E7" s="28"/>
      <c r="F7" s="28"/>
      <c r="G7" s="29"/>
      <c r="H7" s="28"/>
      <c r="I7" s="28"/>
      <c r="J7" s="28"/>
      <c r="K7" s="128" t="s">
        <v>314</v>
      </c>
      <c r="L7" s="31"/>
      <c r="M7" s="31"/>
      <c r="N7" s="31"/>
      <c r="O7" s="31"/>
      <c r="P7" s="31"/>
      <c r="Q7" s="31"/>
      <c r="R7" s="31"/>
      <c r="S7" s="31"/>
      <c r="T7" s="31"/>
      <c r="U7" s="28"/>
      <c r="V7" s="29"/>
      <c r="W7" s="29"/>
      <c r="X7" s="31"/>
      <c r="Y7" s="31"/>
      <c r="Z7" s="28"/>
      <c r="AA7" s="31"/>
      <c r="AB7" s="28"/>
      <c r="AC7" s="31"/>
      <c r="AD7" s="28"/>
      <c r="AE7" s="179" t="s">
        <v>314</v>
      </c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28"/>
      <c r="AU7" s="31"/>
      <c r="AV7" s="28"/>
      <c r="AW7" s="31"/>
      <c r="AX7" s="28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28"/>
      <c r="BJ7" s="31"/>
      <c r="BK7" s="31"/>
      <c r="BL7" s="31"/>
      <c r="BM7" s="31"/>
    </row>
    <row r="8" spans="1:65" s="32" customFormat="1">
      <c r="A8" s="28">
        <f>'1-συμβολαια'!A8</f>
        <v>0</v>
      </c>
      <c r="B8" s="13" t="str">
        <f>'4-πολλυπρ'!D8</f>
        <v>παππούς</v>
      </c>
      <c r="C8" s="13">
        <f>'4-πολλυπρ'!I8</f>
        <v>0</v>
      </c>
      <c r="D8" s="30"/>
      <c r="E8" s="28"/>
      <c r="F8" s="28"/>
      <c r="G8" s="29"/>
      <c r="H8" s="28"/>
      <c r="I8" s="28"/>
      <c r="J8" s="28"/>
      <c r="K8" s="128" t="s">
        <v>314</v>
      </c>
      <c r="L8" s="31"/>
      <c r="M8" s="31"/>
      <c r="N8" s="31"/>
      <c r="O8" s="31"/>
      <c r="P8" s="31"/>
      <c r="Q8" s="31"/>
      <c r="R8" s="31"/>
      <c r="S8" s="31"/>
      <c r="T8" s="31"/>
      <c r="U8" s="28"/>
      <c r="V8" s="29"/>
      <c r="W8" s="29"/>
      <c r="X8" s="31"/>
      <c r="Y8" s="31"/>
      <c r="Z8" s="28"/>
      <c r="AA8" s="31"/>
      <c r="AB8" s="28"/>
      <c r="AC8" s="31"/>
      <c r="AD8" s="28"/>
      <c r="AE8" s="179" t="s">
        <v>314</v>
      </c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28"/>
      <c r="AU8" s="31"/>
      <c r="AV8" s="28"/>
      <c r="AW8" s="31"/>
      <c r="AX8" s="28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28"/>
      <c r="BJ8" s="31"/>
      <c r="BK8" s="31"/>
      <c r="BL8" s="31"/>
      <c r="BM8" s="31"/>
    </row>
    <row r="9" spans="1:65" s="32" customFormat="1">
      <c r="A9" s="28">
        <f>'1-συμβολαια'!A9</f>
        <v>0</v>
      </c>
      <c r="B9" s="13" t="str">
        <f>'4-πολλυπρ'!D9</f>
        <v>παππούς</v>
      </c>
      <c r="C9" s="13">
        <f>'4-πολλυπρ'!I9</f>
        <v>0</v>
      </c>
      <c r="D9" s="30"/>
      <c r="E9" s="28"/>
      <c r="F9" s="28"/>
      <c r="G9" s="29"/>
      <c r="H9" s="28"/>
      <c r="I9" s="28"/>
      <c r="J9" s="28"/>
      <c r="K9" s="128" t="s">
        <v>314</v>
      </c>
      <c r="L9" s="31"/>
      <c r="M9" s="31"/>
      <c r="N9" s="31"/>
      <c r="O9" s="31"/>
      <c r="P9" s="31"/>
      <c r="Q9" s="31"/>
      <c r="R9" s="31"/>
      <c r="S9" s="31"/>
      <c r="T9" s="31"/>
      <c r="U9" s="28"/>
      <c r="V9" s="29"/>
      <c r="W9" s="29"/>
      <c r="X9" s="31"/>
      <c r="Y9" s="31"/>
      <c r="Z9" s="28"/>
      <c r="AA9" s="31"/>
      <c r="AB9" s="28"/>
      <c r="AC9" s="31"/>
      <c r="AD9" s="28"/>
      <c r="AE9" s="179" t="s">
        <v>314</v>
      </c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28"/>
      <c r="AU9" s="31"/>
      <c r="AV9" s="28"/>
      <c r="AW9" s="31"/>
      <c r="AX9" s="28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28"/>
      <c r="BJ9" s="31"/>
      <c r="BK9" s="31"/>
      <c r="BL9" s="31"/>
      <c r="BM9" s="31"/>
    </row>
    <row r="10" spans="1:65" s="32" customFormat="1">
      <c r="A10" s="28">
        <f>'1-συμβολαια'!A10</f>
        <v>0</v>
      </c>
      <c r="B10" s="13" t="str">
        <f>'4-πολλυπρ'!D10</f>
        <v>παππούς</v>
      </c>
      <c r="C10" s="13">
        <f>'4-πολλυπρ'!I10</f>
        <v>0</v>
      </c>
      <c r="D10" s="30"/>
      <c r="E10" s="28"/>
      <c r="F10" s="28"/>
      <c r="G10" s="29"/>
      <c r="H10" s="28"/>
      <c r="I10" s="28"/>
      <c r="J10" s="28"/>
      <c r="K10" s="128" t="s">
        <v>314</v>
      </c>
      <c r="L10" s="31"/>
      <c r="M10" s="31"/>
      <c r="N10" s="31"/>
      <c r="O10" s="31"/>
      <c r="P10" s="31"/>
      <c r="Q10" s="31"/>
      <c r="R10" s="31"/>
      <c r="S10" s="31"/>
      <c r="T10" s="31"/>
      <c r="U10" s="28"/>
      <c r="V10" s="29"/>
      <c r="W10" s="29"/>
      <c r="X10" s="31"/>
      <c r="Y10" s="31"/>
      <c r="Z10" s="28"/>
      <c r="AA10" s="31"/>
      <c r="AB10" s="28"/>
      <c r="AC10" s="31"/>
      <c r="AD10" s="28"/>
      <c r="AE10" s="179" t="s">
        <v>314</v>
      </c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28"/>
      <c r="AU10" s="31"/>
      <c r="AV10" s="28"/>
      <c r="AW10" s="31"/>
      <c r="AX10" s="28"/>
      <c r="AY10" s="31"/>
      <c r="AZ10" s="31"/>
      <c r="BA10" s="31"/>
      <c r="BB10" s="31"/>
      <c r="BC10" s="31"/>
      <c r="BD10" s="31"/>
      <c r="BE10" s="31"/>
      <c r="BF10" s="31"/>
      <c r="BG10" s="31"/>
      <c r="BH10" s="31"/>
      <c r="BI10" s="28"/>
      <c r="BJ10" s="31"/>
      <c r="BK10" s="31"/>
      <c r="BL10" s="31"/>
      <c r="BM10" s="31"/>
    </row>
    <row r="11" spans="1:65" s="32" customFormat="1">
      <c r="A11" s="28" t="str">
        <f>'1-συμβολαια'!A11</f>
        <v>3ο</v>
      </c>
      <c r="B11" s="13" t="str">
        <f>'4-πολλυπρ'!D11</f>
        <v>πατήρ</v>
      </c>
      <c r="C11" s="13">
        <f>'4-πολλυπρ'!I11</f>
        <v>0</v>
      </c>
      <c r="D11" s="30"/>
      <c r="E11" s="28"/>
      <c r="F11" s="28"/>
      <c r="G11" s="29"/>
      <c r="H11" s="28"/>
      <c r="I11" s="28"/>
      <c r="J11" s="28"/>
      <c r="K11" s="128" t="s">
        <v>314</v>
      </c>
      <c r="L11" s="31"/>
      <c r="M11" s="31"/>
      <c r="N11" s="31"/>
      <c r="O11" s="31"/>
      <c r="P11" s="31"/>
      <c r="Q11" s="31"/>
      <c r="R11" s="31"/>
      <c r="S11" s="31"/>
      <c r="T11" s="31"/>
      <c r="U11" s="28"/>
      <c r="V11" s="29"/>
      <c r="W11" s="29"/>
      <c r="X11" s="31"/>
      <c r="Y11" s="31"/>
      <c r="Z11" s="28"/>
      <c r="AA11" s="31"/>
      <c r="AB11" s="28"/>
      <c r="AC11" s="31"/>
      <c r="AD11" s="28"/>
      <c r="AE11" s="179" t="s">
        <v>314</v>
      </c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28"/>
      <c r="AU11" s="31"/>
      <c r="AV11" s="28"/>
      <c r="AW11" s="31"/>
      <c r="AX11" s="28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28"/>
      <c r="BJ11" s="31"/>
      <c r="BK11" s="31"/>
      <c r="BL11" s="31"/>
      <c r="BM11" s="31"/>
    </row>
    <row r="12" spans="1:65" s="32" customFormat="1">
      <c r="A12" s="28" t="str">
        <f>'1-συμβολαια'!A12</f>
        <v>4ο</v>
      </c>
      <c r="B12" s="13" t="str">
        <f>'4-πολλυπρ'!D12</f>
        <v>πατήρ</v>
      </c>
      <c r="C12" s="13">
        <f>'4-πολλυπρ'!I12</f>
        <v>0</v>
      </c>
      <c r="D12" s="30"/>
      <c r="E12" s="28"/>
      <c r="F12" s="28"/>
      <c r="G12" s="29"/>
      <c r="H12" s="28"/>
      <c r="I12" s="28"/>
      <c r="J12" s="28"/>
      <c r="K12" s="128" t="s">
        <v>314</v>
      </c>
      <c r="L12" s="31"/>
      <c r="M12" s="31"/>
      <c r="N12" s="31"/>
      <c r="O12" s="31"/>
      <c r="P12" s="31"/>
      <c r="Q12" s="31"/>
      <c r="R12" s="31"/>
      <c r="S12" s="31"/>
      <c r="T12" s="31"/>
      <c r="U12" s="28"/>
      <c r="V12" s="29"/>
      <c r="W12" s="29"/>
      <c r="X12" s="31"/>
      <c r="Y12" s="31"/>
      <c r="Z12" s="28"/>
      <c r="AA12" s="31"/>
      <c r="AB12" s="28"/>
      <c r="AC12" s="31"/>
      <c r="AD12" s="28"/>
      <c r="AE12" s="179" t="s">
        <v>314</v>
      </c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28"/>
      <c r="AU12" s="31"/>
      <c r="AV12" s="28"/>
      <c r="AW12" s="31"/>
      <c r="AX12" s="28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28"/>
      <c r="BJ12" s="31"/>
      <c r="BK12" s="31"/>
      <c r="BL12" s="31"/>
      <c r="BM12" s="31"/>
    </row>
    <row r="13" spans="1:65" s="32" customFormat="1">
      <c r="A13" s="28" t="str">
        <f>'1-συμβολαια'!A13</f>
        <v>5ο</v>
      </c>
      <c r="B13" s="13" t="str">
        <f>'4-πολλυπρ'!D13</f>
        <v>πατήρ</v>
      </c>
      <c r="C13" s="13">
        <f>'4-πολλυπρ'!I13</f>
        <v>0</v>
      </c>
      <c r="D13" s="30"/>
      <c r="E13" s="28"/>
      <c r="F13" s="28"/>
      <c r="G13" s="29"/>
      <c r="H13" s="28"/>
      <c r="I13" s="28"/>
      <c r="J13" s="28"/>
      <c r="K13" s="128" t="s">
        <v>314</v>
      </c>
      <c r="L13" s="31"/>
      <c r="M13" s="31"/>
      <c r="N13" s="31"/>
      <c r="O13" s="31"/>
      <c r="P13" s="31"/>
      <c r="Q13" s="31"/>
      <c r="R13" s="31"/>
      <c r="S13" s="31"/>
      <c r="T13" s="31"/>
      <c r="U13" s="28"/>
      <c r="V13" s="29"/>
      <c r="W13" s="29"/>
      <c r="X13" s="31"/>
      <c r="Y13" s="31"/>
      <c r="Z13" s="28"/>
      <c r="AA13" s="31"/>
      <c r="AB13" s="28"/>
      <c r="AC13" s="31"/>
      <c r="AD13" s="28"/>
      <c r="AE13" s="179" t="s">
        <v>314</v>
      </c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28"/>
      <c r="AU13" s="31"/>
      <c r="AV13" s="28"/>
      <c r="AW13" s="31"/>
      <c r="AX13" s="28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28"/>
      <c r="BJ13" s="31"/>
      <c r="BK13" s="31"/>
      <c r="BL13" s="31"/>
      <c r="BM13" s="31"/>
    </row>
    <row r="14" spans="1:65" s="32" customFormat="1">
      <c r="A14" s="28" t="str">
        <f>'1-συμβολαια'!A14</f>
        <v>6ο</v>
      </c>
      <c r="B14" s="13" t="str">
        <f>'4-πολλυπρ'!D14</f>
        <v>πατήρ</v>
      </c>
      <c r="C14" s="13">
        <f>'4-πολλυπρ'!I14</f>
        <v>1</v>
      </c>
      <c r="D14" s="30"/>
      <c r="E14" s="28"/>
      <c r="F14" s="28"/>
      <c r="G14" s="29"/>
      <c r="H14" s="28"/>
      <c r="I14" s="28"/>
      <c r="J14" s="28"/>
      <c r="K14" s="128" t="s">
        <v>314</v>
      </c>
      <c r="L14" s="31"/>
      <c r="M14" s="31"/>
      <c r="N14" s="31"/>
      <c r="O14" s="31"/>
      <c r="P14" s="31"/>
      <c r="Q14" s="31"/>
      <c r="R14" s="31"/>
      <c r="S14" s="31"/>
      <c r="T14" s="31"/>
      <c r="U14" s="28"/>
      <c r="V14" s="29"/>
      <c r="W14" s="29"/>
      <c r="X14" s="31"/>
      <c r="Y14" s="31"/>
      <c r="Z14" s="28"/>
      <c r="AA14" s="31"/>
      <c r="AB14" s="28"/>
      <c r="AC14" s="31"/>
      <c r="AD14" s="28"/>
      <c r="AE14" s="179" t="s">
        <v>314</v>
      </c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28"/>
      <c r="AU14" s="31"/>
      <c r="AV14" s="28"/>
      <c r="AW14" s="31"/>
      <c r="AX14" s="28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28"/>
      <c r="BJ14" s="31"/>
      <c r="BK14" s="31"/>
      <c r="BL14" s="31"/>
      <c r="BM14" s="31"/>
    </row>
    <row r="15" spans="1:65" s="32" customFormat="1">
      <c r="A15" s="28">
        <f>'1-συμβολαια'!A15</f>
        <v>0</v>
      </c>
      <c r="B15" s="13">
        <f>'4-πολλυπρ'!D15</f>
        <v>0</v>
      </c>
      <c r="C15" s="13">
        <f>'4-πολλυπρ'!I15</f>
        <v>0</v>
      </c>
      <c r="D15" s="30"/>
      <c r="E15" s="28"/>
      <c r="F15" s="28"/>
      <c r="G15" s="29"/>
      <c r="H15" s="28"/>
      <c r="I15" s="28"/>
      <c r="J15" s="28"/>
      <c r="K15" s="128" t="s">
        <v>314</v>
      </c>
      <c r="L15" s="31"/>
      <c r="M15" s="31"/>
      <c r="N15" s="31"/>
      <c r="O15" s="31"/>
      <c r="P15" s="31"/>
      <c r="Q15" s="31"/>
      <c r="R15" s="31"/>
      <c r="S15" s="31"/>
      <c r="T15" s="31"/>
      <c r="U15" s="28"/>
      <c r="V15" s="29"/>
      <c r="W15" s="29"/>
      <c r="X15" s="31"/>
      <c r="Y15" s="31"/>
      <c r="Z15" s="28"/>
      <c r="AA15" s="31"/>
      <c r="AB15" s="28"/>
      <c r="AC15" s="31"/>
      <c r="AD15" s="28"/>
      <c r="AE15" s="179" t="s">
        <v>314</v>
      </c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28"/>
      <c r="AU15" s="31"/>
      <c r="AV15" s="28"/>
      <c r="AW15" s="31"/>
      <c r="AX15" s="28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28"/>
      <c r="BJ15" s="31"/>
      <c r="BK15" s="31"/>
      <c r="BL15" s="31"/>
      <c r="BM15" s="31"/>
    </row>
    <row r="16" spans="1:65" s="32" customFormat="1">
      <c r="A16" s="28">
        <f>'1-συμβολαια'!A16</f>
        <v>0</v>
      </c>
      <c r="B16" s="13">
        <f>'4-πολλυπρ'!D16</f>
        <v>0</v>
      </c>
      <c r="C16" s="13">
        <f>'4-πολλυπρ'!I16</f>
        <v>0</v>
      </c>
      <c r="D16" s="30"/>
      <c r="E16" s="28"/>
      <c r="F16" s="28"/>
      <c r="G16" s="29"/>
      <c r="H16" s="28"/>
      <c r="I16" s="28"/>
      <c r="J16" s="28"/>
      <c r="K16" s="128" t="s">
        <v>314</v>
      </c>
      <c r="L16" s="31"/>
      <c r="M16" s="31"/>
      <c r="N16" s="31"/>
      <c r="O16" s="31"/>
      <c r="P16" s="31"/>
      <c r="Q16" s="31"/>
      <c r="R16" s="31"/>
      <c r="S16" s="31"/>
      <c r="T16" s="31"/>
      <c r="U16" s="28"/>
      <c r="V16" s="29"/>
      <c r="W16" s="29"/>
      <c r="X16" s="31"/>
      <c r="Y16" s="31"/>
      <c r="Z16" s="28"/>
      <c r="AA16" s="31"/>
      <c r="AB16" s="28"/>
      <c r="AC16" s="31"/>
      <c r="AD16" s="28"/>
      <c r="AE16" s="179" t="s">
        <v>314</v>
      </c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28"/>
      <c r="AU16" s="31"/>
      <c r="AV16" s="28"/>
      <c r="AW16" s="31"/>
      <c r="AX16" s="28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28"/>
      <c r="BJ16" s="31"/>
      <c r="BK16" s="31"/>
      <c r="BL16" s="31"/>
      <c r="BM16" s="31"/>
    </row>
    <row r="17" spans="1:65" s="32" customFormat="1">
      <c r="A17" s="28">
        <f>'1-συμβολαια'!A17</f>
        <v>0</v>
      </c>
      <c r="B17" s="13">
        <f>'4-πολλυπρ'!D17</f>
        <v>0</v>
      </c>
      <c r="C17" s="13">
        <f>'4-πολλυπρ'!I17</f>
        <v>0</v>
      </c>
      <c r="D17" s="30"/>
      <c r="E17" s="28"/>
      <c r="F17" s="28"/>
      <c r="G17" s="29"/>
      <c r="H17" s="28"/>
      <c r="I17" s="28"/>
      <c r="J17" s="28"/>
      <c r="K17" s="128" t="s">
        <v>314</v>
      </c>
      <c r="L17" s="31"/>
      <c r="M17" s="31"/>
      <c r="N17" s="31"/>
      <c r="O17" s="31"/>
      <c r="P17" s="31"/>
      <c r="Q17" s="31"/>
      <c r="R17" s="31"/>
      <c r="S17" s="31"/>
      <c r="T17" s="31"/>
      <c r="U17" s="28"/>
      <c r="V17" s="29"/>
      <c r="W17" s="29"/>
      <c r="X17" s="31"/>
      <c r="Y17" s="31"/>
      <c r="Z17" s="28"/>
      <c r="AA17" s="31"/>
      <c r="AB17" s="28"/>
      <c r="AC17" s="31"/>
      <c r="AD17" s="28"/>
      <c r="AE17" s="179" t="s">
        <v>314</v>
      </c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28"/>
      <c r="AU17" s="31"/>
      <c r="AV17" s="28"/>
      <c r="AW17" s="31"/>
      <c r="AX17" s="28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28"/>
      <c r="BJ17" s="31"/>
      <c r="BK17" s="31"/>
      <c r="BL17" s="31"/>
      <c r="BM17" s="31"/>
    </row>
    <row r="18" spans="1:65" s="32" customFormat="1">
      <c r="A18" s="28" t="str">
        <f>'1-συμβολαια'!A18</f>
        <v>7ο</v>
      </c>
      <c r="B18" s="13" t="str">
        <f>'4-πολλυπρ'!D18</f>
        <v>πατήρ</v>
      </c>
      <c r="C18" s="13">
        <f>'4-πολλυπρ'!I18</f>
        <v>0</v>
      </c>
      <c r="D18" s="30"/>
      <c r="E18" s="28"/>
      <c r="F18" s="28"/>
      <c r="G18" s="29"/>
      <c r="H18" s="28"/>
      <c r="I18" s="28"/>
      <c r="J18" s="28"/>
      <c r="K18" s="128" t="s">
        <v>314</v>
      </c>
      <c r="L18" s="31"/>
      <c r="M18" s="31"/>
      <c r="N18" s="31"/>
      <c r="O18" s="31"/>
      <c r="P18" s="31"/>
      <c r="Q18" s="31"/>
      <c r="R18" s="31"/>
      <c r="S18" s="31"/>
      <c r="T18" s="31"/>
      <c r="U18" s="28"/>
      <c r="V18" s="29"/>
      <c r="W18" s="29"/>
      <c r="X18" s="31"/>
      <c r="Y18" s="31"/>
      <c r="Z18" s="28"/>
      <c r="AA18" s="31"/>
      <c r="AB18" s="28"/>
      <c r="AC18" s="31"/>
      <c r="AD18" s="28"/>
      <c r="AE18" s="179" t="s">
        <v>314</v>
      </c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28"/>
      <c r="AU18" s="31"/>
      <c r="AV18" s="28"/>
      <c r="AW18" s="31"/>
      <c r="AX18" s="28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28"/>
      <c r="BJ18" s="31"/>
      <c r="BK18" s="31"/>
      <c r="BL18" s="31"/>
      <c r="BM18" s="31"/>
    </row>
    <row r="19" spans="1:65" s="32" customFormat="1">
      <c r="A19" s="28" t="str">
        <f>'1-συμβολαια'!A19</f>
        <v>8ο</v>
      </c>
      <c r="B19" s="13" t="str">
        <f>'4-πολλυπρ'!D19</f>
        <v>πατήρ</v>
      </c>
      <c r="C19" s="13">
        <f>'4-πολλυπρ'!I19</f>
        <v>0</v>
      </c>
      <c r="D19" s="30"/>
      <c r="E19" s="28"/>
      <c r="F19" s="28"/>
      <c r="G19" s="29"/>
      <c r="H19" s="28"/>
      <c r="I19" s="28"/>
      <c r="J19" s="28"/>
      <c r="K19" s="128" t="s">
        <v>314</v>
      </c>
      <c r="L19" s="31"/>
      <c r="M19" s="31"/>
      <c r="N19" s="31"/>
      <c r="O19" s="31"/>
      <c r="P19" s="31"/>
      <c r="Q19" s="31"/>
      <c r="R19" s="31"/>
      <c r="S19" s="31"/>
      <c r="T19" s="31"/>
      <c r="U19" s="28"/>
      <c r="V19" s="29"/>
      <c r="W19" s="29"/>
      <c r="X19" s="31"/>
      <c r="Y19" s="31"/>
      <c r="Z19" s="28"/>
      <c r="AA19" s="31"/>
      <c r="AB19" s="28"/>
      <c r="AC19" s="31"/>
      <c r="AD19" s="28"/>
      <c r="AE19" s="179" t="s">
        <v>314</v>
      </c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28"/>
      <c r="AU19" s="31"/>
      <c r="AV19" s="28"/>
      <c r="AW19" s="31"/>
      <c r="AX19" s="28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28"/>
      <c r="BJ19" s="31"/>
      <c r="BK19" s="31"/>
      <c r="BL19" s="31"/>
      <c r="BM19" s="31"/>
    </row>
    <row r="20" spans="1:65" s="32" customFormat="1">
      <c r="A20" s="28" t="str">
        <f>'1-συμβολαια'!A20</f>
        <v>9ο</v>
      </c>
      <c r="B20" s="13" t="str">
        <f>'4-πολλυπρ'!D20</f>
        <v>πατήρ</v>
      </c>
      <c r="C20" s="13">
        <f>'4-πολλυπρ'!I20</f>
        <v>2</v>
      </c>
      <c r="D20" s="30"/>
      <c r="E20" s="28"/>
      <c r="F20" s="28"/>
      <c r="G20" s="29"/>
      <c r="H20" s="28"/>
      <c r="I20" s="28"/>
      <c r="J20" s="28"/>
      <c r="K20" s="128" t="s">
        <v>314</v>
      </c>
      <c r="L20" s="31"/>
      <c r="M20" s="31"/>
      <c r="N20" s="31"/>
      <c r="O20" s="31"/>
      <c r="P20" s="31"/>
      <c r="Q20" s="31"/>
      <c r="R20" s="31"/>
      <c r="S20" s="31"/>
      <c r="T20" s="31"/>
      <c r="U20" s="28"/>
      <c r="V20" s="29"/>
      <c r="W20" s="29"/>
      <c r="X20" s="31"/>
      <c r="Y20" s="31"/>
      <c r="Z20" s="28"/>
      <c r="AA20" s="31"/>
      <c r="AB20" s="28"/>
      <c r="AC20" s="31"/>
      <c r="AD20" s="28"/>
      <c r="AE20" s="179" t="s">
        <v>314</v>
      </c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28"/>
      <c r="AU20" s="31"/>
      <c r="AV20" s="28"/>
      <c r="AW20" s="31"/>
      <c r="AX20" s="28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28"/>
      <c r="BJ20" s="31"/>
      <c r="BK20" s="31"/>
      <c r="BL20" s="31"/>
      <c r="BM20" s="31"/>
    </row>
    <row r="21" spans="1:65" s="32" customFormat="1">
      <c r="A21" s="28">
        <f>'1-συμβολαια'!A21</f>
        <v>0</v>
      </c>
      <c r="B21" s="13" t="str">
        <f>'4-πολλυπρ'!D21</f>
        <v>παππούς</v>
      </c>
      <c r="C21" s="13">
        <f>'4-πολλυπρ'!I21</f>
        <v>0</v>
      </c>
      <c r="D21" s="30"/>
      <c r="E21" s="28"/>
      <c r="F21" s="28"/>
      <c r="G21" s="29"/>
      <c r="H21" s="28"/>
      <c r="I21" s="28"/>
      <c r="J21" s="28"/>
      <c r="K21" s="128" t="s">
        <v>314</v>
      </c>
      <c r="L21" s="31"/>
      <c r="M21" s="31"/>
      <c r="N21" s="31"/>
      <c r="O21" s="31"/>
      <c r="P21" s="31"/>
      <c r="Q21" s="31"/>
      <c r="R21" s="31"/>
      <c r="S21" s="31"/>
      <c r="T21" s="31"/>
      <c r="U21" s="28"/>
      <c r="V21" s="29"/>
      <c r="W21" s="29"/>
      <c r="X21" s="31"/>
      <c r="Y21" s="31"/>
      <c r="Z21" s="28"/>
      <c r="AA21" s="31"/>
      <c r="AB21" s="28"/>
      <c r="AC21" s="31"/>
      <c r="AD21" s="28"/>
      <c r="AE21" s="179" t="s">
        <v>314</v>
      </c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28"/>
      <c r="AU21" s="31"/>
      <c r="AV21" s="28"/>
      <c r="AW21" s="31"/>
      <c r="AX21" s="28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28"/>
      <c r="BJ21" s="31"/>
      <c r="BK21" s="31"/>
      <c r="BL21" s="31"/>
      <c r="BM21" s="31"/>
    </row>
    <row r="22" spans="1:65" s="32" customFormat="1">
      <c r="A22" s="28" t="e">
        <f>'1-συμβολαια'!#REF!</f>
        <v>#REF!</v>
      </c>
      <c r="B22" s="13" t="e">
        <f>'4-πολλυπρ'!#REF!</f>
        <v>#REF!</v>
      </c>
      <c r="C22" s="13" t="e">
        <f>'4-πολλυπρ'!#REF!</f>
        <v>#REF!</v>
      </c>
      <c r="D22" s="30"/>
      <c r="E22" s="28"/>
      <c r="F22" s="28"/>
      <c r="G22" s="29"/>
      <c r="H22" s="28"/>
      <c r="I22" s="28"/>
      <c r="J22" s="28"/>
      <c r="K22" s="128" t="s">
        <v>314</v>
      </c>
      <c r="L22" s="31"/>
      <c r="M22" s="31"/>
      <c r="N22" s="31"/>
      <c r="O22" s="31"/>
      <c r="P22" s="31"/>
      <c r="Q22" s="31"/>
      <c r="R22" s="31"/>
      <c r="S22" s="31"/>
      <c r="T22" s="31"/>
      <c r="U22" s="28"/>
      <c r="V22" s="29"/>
      <c r="W22" s="29"/>
      <c r="X22" s="31"/>
      <c r="Y22" s="31"/>
      <c r="Z22" s="28"/>
      <c r="AA22" s="31"/>
      <c r="AB22" s="28"/>
      <c r="AC22" s="31"/>
      <c r="AD22" s="28"/>
      <c r="AE22" s="179" t="s">
        <v>314</v>
      </c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28"/>
      <c r="AU22" s="31"/>
      <c r="AV22" s="28"/>
      <c r="AW22" s="31"/>
      <c r="AX22" s="28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28"/>
      <c r="BJ22" s="31"/>
      <c r="BK22" s="31"/>
      <c r="BL22" s="31"/>
      <c r="BM22" s="31"/>
    </row>
    <row r="23" spans="1:65" s="32" customFormat="1">
      <c r="A23" s="28" t="e">
        <f>'1-συμβολαια'!#REF!</f>
        <v>#REF!</v>
      </c>
      <c r="B23" s="13" t="e">
        <f>'4-πολλυπρ'!#REF!</f>
        <v>#REF!</v>
      </c>
      <c r="C23" s="13" t="e">
        <f>'4-πολλυπρ'!#REF!</f>
        <v>#REF!</v>
      </c>
      <c r="D23" s="30"/>
      <c r="E23" s="28"/>
      <c r="F23" s="28"/>
      <c r="G23" s="29"/>
      <c r="H23" s="28"/>
      <c r="I23" s="28"/>
      <c r="J23" s="28"/>
      <c r="K23" s="128" t="s">
        <v>314</v>
      </c>
      <c r="L23" s="31"/>
      <c r="M23" s="31"/>
      <c r="N23" s="31"/>
      <c r="O23" s="31"/>
      <c r="P23" s="31"/>
      <c r="Q23" s="31"/>
      <c r="R23" s="31"/>
      <c r="S23" s="31"/>
      <c r="T23" s="31"/>
      <c r="U23" s="28"/>
      <c r="V23" s="29"/>
      <c r="W23" s="29"/>
      <c r="X23" s="31"/>
      <c r="Y23" s="31"/>
      <c r="Z23" s="28"/>
      <c r="AA23" s="31"/>
      <c r="AB23" s="28"/>
      <c r="AC23" s="31"/>
      <c r="AD23" s="28"/>
      <c r="AE23" s="179" t="s">
        <v>314</v>
      </c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28"/>
      <c r="AU23" s="31"/>
      <c r="AV23" s="28"/>
      <c r="AW23" s="31"/>
      <c r="AX23" s="28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28"/>
      <c r="BJ23" s="31"/>
      <c r="BK23" s="31"/>
      <c r="BL23" s="31"/>
      <c r="BM23" s="31"/>
    </row>
    <row r="24" spans="1:65" s="32" customFormat="1">
      <c r="A24" s="28" t="e">
        <f>'1-συμβολαια'!#REF!</f>
        <v>#REF!</v>
      </c>
      <c r="B24" s="13" t="e">
        <f>'4-πολλυπρ'!#REF!</f>
        <v>#REF!</v>
      </c>
      <c r="C24" s="13" t="e">
        <f>'4-πολλυπρ'!#REF!</f>
        <v>#REF!</v>
      </c>
      <c r="D24" s="30"/>
      <c r="E24" s="28"/>
      <c r="F24" s="28"/>
      <c r="G24" s="29"/>
      <c r="H24" s="28"/>
      <c r="I24" s="28"/>
      <c r="J24" s="28"/>
      <c r="K24" s="128" t="s">
        <v>314</v>
      </c>
      <c r="L24" s="31"/>
      <c r="M24" s="31"/>
      <c r="N24" s="31"/>
      <c r="O24" s="31"/>
      <c r="P24" s="31"/>
      <c r="Q24" s="31"/>
      <c r="R24" s="31"/>
      <c r="S24" s="31"/>
      <c r="T24" s="31"/>
      <c r="U24" s="28"/>
      <c r="V24" s="29"/>
      <c r="W24" s="29"/>
      <c r="X24" s="31"/>
      <c r="Y24" s="31"/>
      <c r="Z24" s="28"/>
      <c r="AA24" s="31"/>
      <c r="AB24" s="28"/>
      <c r="AC24" s="31"/>
      <c r="AD24" s="28"/>
      <c r="AE24" s="179" t="s">
        <v>314</v>
      </c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28"/>
      <c r="AU24" s="31"/>
      <c r="AV24" s="28"/>
      <c r="AW24" s="31"/>
      <c r="AX24" s="28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28"/>
      <c r="BJ24" s="31"/>
      <c r="BK24" s="31"/>
      <c r="BL24" s="31"/>
      <c r="BM24" s="31"/>
    </row>
    <row r="26" spans="1:65">
      <c r="F26" s="952" t="s">
        <v>315</v>
      </c>
      <c r="G26" s="952"/>
      <c r="H26" s="952"/>
      <c r="I26" s="952"/>
    </row>
    <row r="27" spans="1:65">
      <c r="F27" s="952"/>
      <c r="G27" s="952"/>
      <c r="H27" s="952"/>
      <c r="I27" s="952"/>
    </row>
  </sheetData>
  <mergeCells count="9">
    <mergeCell ref="AX1:BM1"/>
    <mergeCell ref="D2:E2"/>
    <mergeCell ref="F26:I2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L66"/>
  <sheetViews>
    <sheetView workbookViewId="0">
      <pane ySplit="2" topLeftCell="A3" activePane="bottomLeft" state="frozen"/>
      <selection pane="bottomLeft" activeCell="A35" sqref="A35"/>
    </sheetView>
  </sheetViews>
  <sheetFormatPr defaultRowHeight="11.25"/>
  <cols>
    <col min="1" max="1" width="7.28515625" style="7" bestFit="1" customWidth="1"/>
    <col min="2" max="2" width="8.7109375" style="349" bestFit="1" customWidth="1"/>
    <col min="3" max="3" width="51.85546875" style="88" customWidth="1"/>
    <col min="4" max="4" width="6.7109375" style="3" customWidth="1"/>
    <col min="5" max="5" width="7.28515625" style="3" customWidth="1"/>
    <col min="6" max="6" width="9.5703125" style="3" customWidth="1"/>
    <col min="7" max="8" width="8.140625" style="2" bestFit="1" customWidth="1"/>
    <col min="9" max="9" width="11" style="2" customWidth="1"/>
    <col min="10" max="10" width="8.140625" style="2" customWidth="1"/>
    <col min="11" max="11" width="9.42578125" style="2" customWidth="1"/>
    <col min="12" max="13" width="10.5703125" style="2" customWidth="1"/>
    <col min="14" max="15" width="8.140625" style="2" bestFit="1" customWidth="1"/>
    <col min="16" max="16" width="10.5703125" style="2" customWidth="1"/>
    <col min="17" max="17" width="10" style="2" bestFit="1" customWidth="1"/>
    <col min="18" max="18" width="13.140625" style="2" customWidth="1"/>
    <col min="19" max="19" width="9.42578125" style="2" customWidth="1"/>
    <col min="20" max="20" width="8.85546875" style="2" customWidth="1"/>
    <col min="21" max="21" width="13.42578125" style="73" customWidth="1"/>
    <col min="22" max="22" width="9.140625" style="73" customWidth="1"/>
    <col min="23" max="23" width="11.28515625" style="2" customWidth="1"/>
    <col min="24" max="24" width="9.42578125" style="2" bestFit="1" customWidth="1"/>
    <col min="25" max="25" width="9.28515625" style="2" customWidth="1"/>
    <col min="26" max="26" width="8.140625" style="2" bestFit="1" customWidth="1"/>
    <col min="27" max="27" width="8.28515625" style="2" bestFit="1" customWidth="1"/>
    <col min="28" max="28" width="10.28515625" style="2" bestFit="1" customWidth="1"/>
    <col min="29" max="30" width="9.42578125" style="2" bestFit="1" customWidth="1"/>
    <col min="31" max="31" width="8.7109375" style="27" bestFit="1" customWidth="1"/>
    <col min="32" max="32" width="10.28515625" style="7" bestFit="1" customWidth="1"/>
    <col min="33" max="33" width="21.42578125" style="75" customWidth="1"/>
    <col min="34" max="34" width="7.5703125" style="3" customWidth="1"/>
    <col min="35" max="35" width="9.5703125" style="3" customWidth="1"/>
    <col min="36" max="38" width="6.42578125" style="3" customWidth="1"/>
    <col min="39" max="54" width="7" style="3" customWidth="1"/>
    <col min="55" max="55" width="29.28515625" style="3" bestFit="1" customWidth="1"/>
    <col min="56" max="16384" width="9.140625" style="3"/>
  </cols>
  <sheetData>
    <row r="1" spans="1:38" ht="29.25" customHeight="1">
      <c r="A1" s="988" t="s">
        <v>1</v>
      </c>
      <c r="B1" s="990" t="s">
        <v>2</v>
      </c>
      <c r="C1" s="987" t="s">
        <v>0</v>
      </c>
      <c r="D1" s="992" t="s">
        <v>11</v>
      </c>
      <c r="E1" s="985" t="s">
        <v>12</v>
      </c>
      <c r="F1" s="994" t="s">
        <v>504</v>
      </c>
      <c r="G1" s="995"/>
      <c r="H1" s="995"/>
      <c r="I1" s="996" t="s">
        <v>515</v>
      </c>
      <c r="J1" s="1001" t="s">
        <v>657</v>
      </c>
      <c r="K1" s="1002"/>
      <c r="L1" s="1002"/>
      <c r="M1" s="1002"/>
      <c r="N1" s="1002"/>
      <c r="O1" s="1002"/>
      <c r="P1" s="1003"/>
      <c r="Q1" s="997" t="s">
        <v>505</v>
      </c>
      <c r="R1" s="999" t="s">
        <v>506</v>
      </c>
      <c r="S1" s="965" t="s">
        <v>138</v>
      </c>
      <c r="T1" s="969" t="s">
        <v>507</v>
      </c>
      <c r="U1" s="970"/>
      <c r="V1" s="970"/>
      <c r="W1" s="970"/>
      <c r="X1" s="973" t="s">
        <v>43</v>
      </c>
      <c r="Y1" s="974"/>
      <c r="Z1" s="975" t="s">
        <v>58</v>
      </c>
      <c r="AA1" s="976"/>
      <c r="AB1" s="971" t="s">
        <v>76</v>
      </c>
      <c r="AC1" s="972"/>
      <c r="AD1" s="972"/>
      <c r="AE1" s="977" t="s">
        <v>54</v>
      </c>
      <c r="AF1" s="979" t="s">
        <v>44</v>
      </c>
      <c r="AG1" s="967" t="s">
        <v>79</v>
      </c>
      <c r="AH1" s="962" t="s">
        <v>29</v>
      </c>
      <c r="AI1" s="963"/>
      <c r="AJ1" s="963"/>
      <c r="AK1" s="963"/>
      <c r="AL1" s="964"/>
    </row>
    <row r="2" spans="1:38" ht="26.25" thickBot="1">
      <c r="A2" s="989"/>
      <c r="B2" s="991"/>
      <c r="C2" s="744"/>
      <c r="D2" s="993"/>
      <c r="E2" s="986"/>
      <c r="F2" s="240" t="s">
        <v>251</v>
      </c>
      <c r="G2" s="239" t="s">
        <v>90</v>
      </c>
      <c r="H2" s="307" t="s">
        <v>47</v>
      </c>
      <c r="I2" s="808"/>
      <c r="J2" s="1004" t="s">
        <v>364</v>
      </c>
      <c r="K2" s="1004" t="s">
        <v>525</v>
      </c>
      <c r="L2" s="1005" t="s">
        <v>658</v>
      </c>
      <c r="M2" s="1004" t="s">
        <v>93</v>
      </c>
      <c r="N2" s="1004" t="s">
        <v>23</v>
      </c>
      <c r="O2" s="1004" t="s">
        <v>525</v>
      </c>
      <c r="P2" s="1005" t="s">
        <v>658</v>
      </c>
      <c r="Q2" s="998"/>
      <c r="R2" s="1000"/>
      <c r="S2" s="966"/>
      <c r="T2" s="67" t="s">
        <v>23</v>
      </c>
      <c r="U2" s="72" t="s">
        <v>80</v>
      </c>
      <c r="V2" s="391" t="s">
        <v>525</v>
      </c>
      <c r="W2" s="392" t="s">
        <v>526</v>
      </c>
      <c r="X2" s="39" t="s">
        <v>23</v>
      </c>
      <c r="Y2" s="36" t="s">
        <v>34</v>
      </c>
      <c r="Z2" s="39" t="s">
        <v>23</v>
      </c>
      <c r="AA2" s="40" t="s">
        <v>34</v>
      </c>
      <c r="AB2" s="39" t="s">
        <v>508</v>
      </c>
      <c r="AC2" s="9" t="s">
        <v>509</v>
      </c>
      <c r="AD2" s="38" t="s">
        <v>33</v>
      </c>
      <c r="AE2" s="978"/>
      <c r="AF2" s="980"/>
      <c r="AG2" s="968"/>
      <c r="AH2" s="962"/>
      <c r="AI2" s="963"/>
      <c r="AJ2" s="963"/>
      <c r="AK2" s="963"/>
      <c r="AL2" s="964"/>
    </row>
    <row r="3" spans="1:38" s="5" customFormat="1">
      <c r="A3" s="367" t="str">
        <f>'1-συμβολαια'!A3</f>
        <v>1ο</v>
      </c>
      <c r="B3" s="348">
        <f>'1-συμβολαια'!B3</f>
        <v>37581</v>
      </c>
      <c r="C3" s="346" t="str">
        <f>'1-συμβολαια'!C3</f>
        <v>κληρονομιάς ΑΠΟΔΟΧΗ</v>
      </c>
      <c r="D3" s="320" t="str">
        <f>'4-πολλυπρ'!D3</f>
        <v>παππούς</v>
      </c>
      <c r="E3" s="320" t="str">
        <f>'4-πολλυπρ'!J3</f>
        <v>πατήρ</v>
      </c>
      <c r="F3" s="319">
        <f>'14-βιβλΕσ'!N3</f>
        <v>3.00000000000189E-4</v>
      </c>
      <c r="G3" s="314">
        <f>'14-βιβλΕσ'!P3</f>
        <v>20.3</v>
      </c>
      <c r="H3" s="314">
        <f t="shared" ref="H3" si="0">F3+G3</f>
        <v>20.3003</v>
      </c>
      <c r="I3" s="323">
        <f>'8-κ-15-17'!AG3</f>
        <v>0</v>
      </c>
      <c r="J3" s="314"/>
      <c r="K3" s="314"/>
      <c r="L3" s="257"/>
      <c r="M3" s="314"/>
      <c r="N3" s="314"/>
      <c r="O3" s="314"/>
      <c r="P3" s="257"/>
      <c r="Q3" s="366"/>
      <c r="R3" s="314">
        <f>('14-βιβλΕσ'!M3+'14-βιβλΕσ'!N3+'14-βιβλΕσ'!Q3)*40%</f>
        <v>156.24800000000002</v>
      </c>
      <c r="S3" s="314">
        <f>'14-βιβλΕσ'!Q3</f>
        <v>380.63</v>
      </c>
      <c r="T3" s="323"/>
      <c r="U3" s="320"/>
      <c r="V3" s="314"/>
      <c r="W3" s="314">
        <f>AD3</f>
        <v>410.91999999999996</v>
      </c>
      <c r="X3" s="314">
        <f>AD3</f>
        <v>410.91999999999996</v>
      </c>
      <c r="Y3" s="261">
        <v>10160.332343399987</v>
      </c>
      <c r="Z3" s="238"/>
      <c r="AA3" s="238"/>
      <c r="AB3" s="314">
        <f>'1-συμβολαια'!L3+'1-συμβολαια'!P3+'8-κ-15-17'!AE3+'14-βιβλΕσ'!K3+'14-βιβλΕσ'!P3+'14-βιβλΕσ'!Q3</f>
        <v>467.28</v>
      </c>
      <c r="AC3" s="314">
        <f>'1-συμβολαια'!M3</f>
        <v>56.36</v>
      </c>
      <c r="AD3" s="314">
        <f t="shared" ref="AD3" si="1">AB3-AC3</f>
        <v>410.91999999999996</v>
      </c>
      <c r="AE3" s="321">
        <v>46010</v>
      </c>
      <c r="AF3" s="257">
        <f t="shared" ref="AF3" si="2">Y3+AA3</f>
        <v>10160.332343399987</v>
      </c>
      <c r="AG3" s="347"/>
      <c r="AH3" s="71"/>
      <c r="AI3" s="71"/>
      <c r="AJ3" s="71"/>
      <c r="AK3" s="71"/>
      <c r="AL3" s="71"/>
    </row>
    <row r="4" spans="1:38" s="5" customFormat="1">
      <c r="A4" s="465">
        <f>'1-συμβολαια'!A4</f>
        <v>0</v>
      </c>
      <c r="B4" s="348"/>
      <c r="C4" s="324" t="str">
        <f>'1-συμβολαια'!C4</f>
        <v>χρησικτησία οικοπεδου = 194? γεωργούδηΝικολαο ΑΓΟΡΑΠΩΛΗΣΙΑ (ως αγροτεμάχιο) άτυπος</v>
      </c>
      <c r="D4" s="256" t="str">
        <f>'4-πολλυπρ'!D4</f>
        <v>;;;???</v>
      </c>
      <c r="E4" s="256" t="str">
        <f>'4-πολλυπρ'!J4</f>
        <v>παππούς</v>
      </c>
      <c r="F4" s="319">
        <f>'14-βιβλΕσ'!N4</f>
        <v>3.9062980000000005</v>
      </c>
      <c r="G4" s="314">
        <f>'14-βιβλΕσ'!P4</f>
        <v>14.879999999999999</v>
      </c>
      <c r="H4" s="323">
        <f t="shared" ref="H4:H14" si="3">F4+G4</f>
        <v>18.786297999999999</v>
      </c>
      <c r="I4" s="323">
        <f>'8-κ-15-17'!AG4</f>
        <v>8.6111024999999994</v>
      </c>
      <c r="J4" s="323"/>
      <c r="K4" s="323"/>
      <c r="L4" s="261"/>
      <c r="M4" s="323"/>
      <c r="N4" s="323"/>
      <c r="O4" s="323"/>
      <c r="P4" s="261"/>
      <c r="Q4" s="431"/>
      <c r="R4" s="314">
        <f>('14-βιβλΕσ'!M4+'14-βιβλΕσ'!N4+'14-βιβλΕσ'!Q4)*40%</f>
        <v>92.945328000000003</v>
      </c>
      <c r="S4" s="314">
        <f>'14-βιβλΕσ'!Q4</f>
        <v>186.76</v>
      </c>
      <c r="T4" s="323"/>
      <c r="U4" s="433"/>
      <c r="V4" s="323"/>
      <c r="W4" s="314">
        <f t="shared" ref="W4:W10" si="4">AD4</f>
        <v>255.8544225</v>
      </c>
      <c r="X4" s="314">
        <f t="shared" ref="X4:X21" si="5">AD4</f>
        <v>255.8544225</v>
      </c>
      <c r="Y4" s="261">
        <v>5748.1503544854513</v>
      </c>
      <c r="Z4" s="432"/>
      <c r="AA4" s="432"/>
      <c r="AB4" s="314">
        <f>'1-συμβολαια'!L4+'1-συμβολαια'!P4+'8-κ-15-17'!AE4+'14-βιβλΕσ'!K4+'14-βιβλΕσ'!P4+'14-βιβλΕσ'!Q4</f>
        <v>255.8544225</v>
      </c>
      <c r="AC4" s="323">
        <f>'1-συμβολαια'!M4</f>
        <v>0</v>
      </c>
      <c r="AD4" s="323">
        <f t="shared" ref="AD4:AD14" si="6">AB4-AC4</f>
        <v>255.8544225</v>
      </c>
      <c r="AE4" s="321"/>
      <c r="AF4" s="261">
        <f t="shared" ref="AF4:AF14" si="7">Y4+AA4</f>
        <v>5748.1503544854513</v>
      </c>
      <c r="AG4" s="347"/>
      <c r="AH4" s="71"/>
      <c r="AI4" s="71"/>
      <c r="AJ4" s="71"/>
      <c r="AK4" s="71"/>
      <c r="AL4" s="71"/>
    </row>
    <row r="5" spans="1:38" s="5" customFormat="1">
      <c r="A5" s="465">
        <f>'1-συμβολαια'!A5</f>
        <v>0</v>
      </c>
      <c r="B5" s="348"/>
      <c r="C5" s="324" t="str">
        <f>'1-συμβολαια'!C5</f>
        <v>χρησικτησία αγροτεμάχιο 193 = 1975 ΑΝΑΔΑΣΜΟΣ εκούσιος</v>
      </c>
      <c r="D5" s="256">
        <f>'4-πολλυπρ'!D5</f>
        <v>0</v>
      </c>
      <c r="E5" s="256" t="str">
        <f>'4-πολλυπρ'!J5</f>
        <v>παππούς</v>
      </c>
      <c r="F5" s="319">
        <f>'14-βιβλΕσ'!N5</f>
        <v>1.9262980000000001</v>
      </c>
      <c r="G5" s="314">
        <f>'14-βιβλΕσ'!P5</f>
        <v>14.879999999999999</v>
      </c>
      <c r="H5" s="323">
        <f t="shared" si="3"/>
        <v>16.806297999999998</v>
      </c>
      <c r="I5" s="323">
        <f>'8-κ-15-17'!AG5</f>
        <v>8.6102499999999998E-2</v>
      </c>
      <c r="J5" s="323"/>
      <c r="K5" s="323"/>
      <c r="L5" s="261"/>
      <c r="M5" s="323"/>
      <c r="N5" s="323"/>
      <c r="O5" s="323"/>
      <c r="P5" s="261"/>
      <c r="Q5" s="431"/>
      <c r="R5" s="314">
        <f>('14-βιβλΕσ'!M5+'14-βιβλΕσ'!N5+'14-βιβλΕσ'!Q5)*40%</f>
        <v>42.561327999999996</v>
      </c>
      <c r="S5" s="314">
        <f>'14-βιβλΕσ'!Q5</f>
        <v>73.999999999999986</v>
      </c>
      <c r="T5" s="323"/>
      <c r="U5" s="433"/>
      <c r="V5" s="323"/>
      <c r="W5" s="314">
        <f t="shared" si="4"/>
        <v>121.36942249999998</v>
      </c>
      <c r="X5" s="314">
        <f t="shared" si="5"/>
        <v>121.36942249999998</v>
      </c>
      <c r="Y5" s="261">
        <v>3762.3969538710185</v>
      </c>
      <c r="Z5" s="432"/>
      <c r="AA5" s="432"/>
      <c r="AB5" s="314">
        <f>'1-συμβολαια'!L5+'1-συμβολαια'!P5+'8-κ-15-17'!AE5+'14-βιβλΕσ'!K5+'14-βιβλΕσ'!P5+'14-βιβλΕσ'!Q5</f>
        <v>121.36942249999998</v>
      </c>
      <c r="AC5" s="323">
        <f>'1-συμβολαια'!M5</f>
        <v>0</v>
      </c>
      <c r="AD5" s="323">
        <f t="shared" si="6"/>
        <v>121.36942249999998</v>
      </c>
      <c r="AE5" s="321"/>
      <c r="AF5" s="261">
        <f t="shared" si="7"/>
        <v>3762.3969538710185</v>
      </c>
      <c r="AG5" s="347"/>
      <c r="AH5" s="71"/>
      <c r="AI5" s="71"/>
      <c r="AJ5" s="71"/>
      <c r="AK5" s="71"/>
      <c r="AL5" s="71"/>
    </row>
    <row r="6" spans="1:38" s="5" customFormat="1" ht="12" thickBot="1">
      <c r="A6" s="467">
        <f>'1-συμβολαια'!A6</f>
        <v>0</v>
      </c>
      <c r="B6" s="438"/>
      <c r="C6" s="468" t="str">
        <f>'1-συμβολαια'!C6</f>
        <v>χρησικτησία αγροτεμάχιο 279 = 1975 ΑΝΑΔΑΣΜΟΣ εκούσιος</v>
      </c>
      <c r="D6" s="524">
        <f>'4-πολλυπρ'!D6</f>
        <v>0</v>
      </c>
      <c r="E6" s="524" t="str">
        <f>'4-πολλυπρ'!J6</f>
        <v>παππούς</v>
      </c>
      <c r="F6" s="469">
        <f>'14-βιβλΕσ'!N6</f>
        <v>2.3062959999999997</v>
      </c>
      <c r="G6" s="506">
        <f>'14-βιβλΕσ'!P6</f>
        <v>14.879999999999999</v>
      </c>
      <c r="H6" s="506">
        <f t="shared" si="3"/>
        <v>17.186295999999999</v>
      </c>
      <c r="I6" s="506">
        <f>'8-κ-15-17'!AG6</f>
        <v>1.7222050000000002</v>
      </c>
      <c r="J6" s="506"/>
      <c r="K6" s="506"/>
      <c r="L6" s="387"/>
      <c r="M6" s="506"/>
      <c r="N6" s="506"/>
      <c r="O6" s="506"/>
      <c r="P6" s="387"/>
      <c r="Q6" s="552"/>
      <c r="R6" s="506">
        <f>('14-βιβλΕσ'!M6+'14-βιβλΕσ'!N6+'14-βιβλΕσ'!Q6)*40%</f>
        <v>43.574655999999997</v>
      </c>
      <c r="S6" s="506">
        <f>'14-βιβλΕσ'!Q6</f>
        <v>73.999999999999986</v>
      </c>
      <c r="T6" s="506"/>
      <c r="U6" s="524"/>
      <c r="V6" s="506"/>
      <c r="W6" s="506">
        <f t="shared" si="4"/>
        <v>125.53884499999998</v>
      </c>
      <c r="X6" s="506">
        <f t="shared" si="5"/>
        <v>125.53884499999998</v>
      </c>
      <c r="Y6" s="387">
        <v>7548.448062682246</v>
      </c>
      <c r="Z6" s="553"/>
      <c r="AA6" s="553"/>
      <c r="AB6" s="506">
        <f>'1-συμβολαια'!L6+'1-συμβολαια'!P6+'8-κ-15-17'!AE6+'14-βιβλΕσ'!K6+'14-βιβλΕσ'!P6+'14-βιβλΕσ'!Q6</f>
        <v>125.53884499999998</v>
      </c>
      <c r="AC6" s="506">
        <f>'1-συμβολαια'!M6</f>
        <v>0</v>
      </c>
      <c r="AD6" s="506">
        <f t="shared" si="6"/>
        <v>125.53884499999998</v>
      </c>
      <c r="AE6" s="526"/>
      <c r="AF6" s="387">
        <f t="shared" si="7"/>
        <v>7548.448062682246</v>
      </c>
      <c r="AG6" s="648"/>
      <c r="AH6" s="509"/>
      <c r="AI6" s="509"/>
      <c r="AJ6" s="509"/>
      <c r="AK6" s="509"/>
      <c r="AL6" s="509"/>
    </row>
    <row r="7" spans="1:38" s="5" customFormat="1">
      <c r="A7" s="476" t="str">
        <f>'1-συμβολαια'!A7</f>
        <v>2ο</v>
      </c>
      <c r="B7" s="348">
        <f>'1-συμβολαια'!B7</f>
        <v>37581</v>
      </c>
      <c r="C7" s="346" t="str">
        <f>'1-συμβολαια'!C7</f>
        <v>κληρονομιάς ΑΠΟΔΟΧΗ</v>
      </c>
      <c r="D7" s="320" t="str">
        <f>'4-πολλυπρ'!D7</f>
        <v>θείος</v>
      </c>
      <c r="E7" s="320" t="str">
        <f>'4-πολλυπρ'!J7</f>
        <v>πατήρ</v>
      </c>
      <c r="F7" s="319">
        <f>'14-βιβλΕσ'!N7</f>
        <v>3.00000000000189E-4</v>
      </c>
      <c r="G7" s="314">
        <f>'14-βιβλΕσ'!P7</f>
        <v>20.3</v>
      </c>
      <c r="H7" s="314">
        <f t="shared" si="3"/>
        <v>20.3003</v>
      </c>
      <c r="I7" s="314">
        <f>'8-κ-15-17'!AG7</f>
        <v>0</v>
      </c>
      <c r="J7" s="314"/>
      <c r="K7" s="314"/>
      <c r="L7" s="257"/>
      <c r="M7" s="1006">
        <v>37746</v>
      </c>
      <c r="N7" s="314">
        <v>87.7</v>
      </c>
      <c r="O7" s="314">
        <v>227.61</v>
      </c>
      <c r="P7" s="257">
        <v>972</v>
      </c>
      <c r="Q7" s="366"/>
      <c r="R7" s="314">
        <f>('14-βιβλΕσ'!M7+'14-βιβλΕσ'!N7+'14-βιβλΕσ'!Q7)*40%</f>
        <v>151.55199999999999</v>
      </c>
      <c r="S7" s="314">
        <f>'14-βιβλΕσ'!Q7</f>
        <v>368.88999999999993</v>
      </c>
      <c r="T7" s="314"/>
      <c r="U7" s="320"/>
      <c r="V7" s="314"/>
      <c r="W7" s="314">
        <f t="shared" si="4"/>
        <v>369.82999999999993</v>
      </c>
      <c r="X7" s="314">
        <f t="shared" si="5"/>
        <v>369.82999999999993</v>
      </c>
      <c r="Y7" s="257">
        <f>12544+P7</f>
        <v>13516</v>
      </c>
      <c r="Z7" s="238"/>
      <c r="AA7" s="238"/>
      <c r="AB7" s="314">
        <f>'1-συμβολαια'!L7+'1-συμβολαια'!P7+'8-κ-15-17'!AE7+'14-βιβλΕσ'!K7+'14-βιβλΕσ'!P7+'14-βιβλΕσ'!Q7</f>
        <v>455.53999999999991</v>
      </c>
      <c r="AC7" s="314">
        <f>'1-συμβολαια'!M7</f>
        <v>85.71</v>
      </c>
      <c r="AD7" s="314">
        <f t="shared" si="6"/>
        <v>369.82999999999993</v>
      </c>
      <c r="AE7" s="521">
        <v>46010</v>
      </c>
      <c r="AF7" s="257">
        <f t="shared" si="7"/>
        <v>13516</v>
      </c>
      <c r="AG7" s="647"/>
      <c r="AH7" s="503"/>
      <c r="AI7" s="503"/>
      <c r="AJ7" s="503"/>
      <c r="AK7" s="503"/>
      <c r="AL7" s="503"/>
    </row>
    <row r="8" spans="1:38" s="5" customFormat="1">
      <c r="A8" s="477">
        <f>'1-συμβολαια'!A8</f>
        <v>0</v>
      </c>
      <c r="B8" s="348"/>
      <c r="C8" s="324" t="str">
        <f>'1-συμβολαια'!C8</f>
        <v>χρησικτησία οικοπεδου &amp; οικίας &amp; αποθήκης = 27/7/87 πατρός ΚΛΗΡΟΝΟΜΙΑ άτυπος</v>
      </c>
      <c r="D8" s="256" t="str">
        <f>'4-πολλυπρ'!D8</f>
        <v>παππούς</v>
      </c>
      <c r="E8" s="256" t="str">
        <f>'4-πολλυπρ'!J8</f>
        <v>θείος</v>
      </c>
      <c r="F8" s="319">
        <f>'14-βιβλΕσ'!N8</f>
        <v>21.906298</v>
      </c>
      <c r="G8" s="314">
        <f>'14-βιβλΕσ'!P8</f>
        <v>14.879999999999999</v>
      </c>
      <c r="H8" s="323">
        <f t="shared" si="3"/>
        <v>36.786298000000002</v>
      </c>
      <c r="I8" s="323">
        <f>'8-κ-15-17'!AG8</f>
        <v>86.111102500000001</v>
      </c>
      <c r="J8" s="323"/>
      <c r="K8" s="323"/>
      <c r="L8" s="261"/>
      <c r="M8" s="323"/>
      <c r="N8" s="323"/>
      <c r="O8" s="323"/>
      <c r="P8" s="261"/>
      <c r="Q8" s="431"/>
      <c r="R8" s="314">
        <f>('14-βιβλΕσ'!M8+'14-βιβλΕσ'!N8+'14-βιβλΕσ'!Q8)*40%</f>
        <v>140.94532800000002</v>
      </c>
      <c r="S8" s="314">
        <f>'14-βιβλΕσ'!Q8</f>
        <v>186.76</v>
      </c>
      <c r="T8" s="323"/>
      <c r="U8" s="256"/>
      <c r="V8" s="323"/>
      <c r="W8" s="314">
        <f t="shared" si="4"/>
        <v>453.35442250000006</v>
      </c>
      <c r="X8" s="314">
        <f t="shared" si="5"/>
        <v>453.35442250000006</v>
      </c>
      <c r="Y8" s="261">
        <v>8757.6623725045647</v>
      </c>
      <c r="Z8" s="432"/>
      <c r="AA8" s="432"/>
      <c r="AB8" s="314">
        <f>'1-συμβολαια'!L8+'1-συμβολαια'!P8+'8-κ-15-17'!AE8+'14-βιβλΕσ'!K8+'14-βιβλΕσ'!P8+'14-βιβλΕσ'!Q8</f>
        <v>453.35442250000006</v>
      </c>
      <c r="AC8" s="323">
        <f>'1-συμβολαια'!M8</f>
        <v>0</v>
      </c>
      <c r="AD8" s="323">
        <f t="shared" si="6"/>
        <v>453.35442250000006</v>
      </c>
      <c r="AE8" s="321"/>
      <c r="AF8" s="261">
        <f t="shared" si="7"/>
        <v>8757.6623725045647</v>
      </c>
      <c r="AG8" s="347"/>
      <c r="AH8" s="71"/>
      <c r="AI8" s="71"/>
      <c r="AJ8" s="71"/>
      <c r="AK8" s="71"/>
      <c r="AL8" s="71"/>
    </row>
    <row r="9" spans="1:38" s="5" customFormat="1">
      <c r="A9" s="477">
        <f>'1-συμβολαια'!A9</f>
        <v>0</v>
      </c>
      <c r="B9" s="348"/>
      <c r="C9" s="324" t="str">
        <f>'1-συμβολαια'!C9</f>
        <v>χρησικτησία αγροτεμάχιο 193 = 27/7/87 πατρός ΚΛΗΡΟΝΟΜΙΑ άτυπος</v>
      </c>
      <c r="D9" s="256" t="str">
        <f>'4-πολλυπρ'!D9</f>
        <v>παππούς</v>
      </c>
      <c r="E9" s="256" t="str">
        <f>'4-πολλυπρ'!J9</f>
        <v>θείος</v>
      </c>
      <c r="F9" s="319">
        <f>'14-βιβλΕσ'!N9</f>
        <v>1.9262980000000001</v>
      </c>
      <c r="G9" s="314">
        <f>'14-βιβλΕσ'!P9</f>
        <v>14.879999999999999</v>
      </c>
      <c r="H9" s="323">
        <f t="shared" si="3"/>
        <v>16.806297999999998</v>
      </c>
      <c r="I9" s="323">
        <f>'8-κ-15-17'!AG9</f>
        <v>8.6102499999999998E-2</v>
      </c>
      <c r="J9" s="323"/>
      <c r="K9" s="323"/>
      <c r="L9" s="261"/>
      <c r="M9" s="323"/>
      <c r="N9" s="323"/>
      <c r="O9" s="323"/>
      <c r="P9" s="261"/>
      <c r="Q9" s="431"/>
      <c r="R9" s="314">
        <f>('14-βιβλΕσ'!M9+'14-βιβλΕσ'!N9+'14-βιβλΕσ'!Q9)*40%</f>
        <v>42.561327999999996</v>
      </c>
      <c r="S9" s="314">
        <f>'14-βιβλΕσ'!Q9</f>
        <v>73.999999999999986</v>
      </c>
      <c r="T9" s="323"/>
      <c r="U9" s="256"/>
      <c r="V9" s="323"/>
      <c r="W9" s="314">
        <f t="shared" si="4"/>
        <v>121.36942249999998</v>
      </c>
      <c r="X9" s="314">
        <f t="shared" si="5"/>
        <v>121.36942249999998</v>
      </c>
      <c r="Y9" s="261">
        <v>3762.3969538710185</v>
      </c>
      <c r="Z9" s="432"/>
      <c r="AA9" s="432"/>
      <c r="AB9" s="314">
        <f>'1-συμβολαια'!L9+'1-συμβολαια'!P9+'8-κ-15-17'!AE9+'14-βιβλΕσ'!K9+'14-βιβλΕσ'!P9+'14-βιβλΕσ'!Q9</f>
        <v>121.36942249999998</v>
      </c>
      <c r="AC9" s="323">
        <f>'1-συμβολαια'!M9</f>
        <v>0</v>
      </c>
      <c r="AD9" s="323">
        <f t="shared" si="6"/>
        <v>121.36942249999998</v>
      </c>
      <c r="AE9" s="321"/>
      <c r="AF9" s="261">
        <f t="shared" si="7"/>
        <v>3762.3969538710185</v>
      </c>
      <c r="AG9" s="347"/>
      <c r="AH9" s="71"/>
      <c r="AI9" s="71"/>
      <c r="AJ9" s="71"/>
      <c r="AK9" s="71"/>
      <c r="AL9" s="71"/>
    </row>
    <row r="10" spans="1:38" s="5" customFormat="1" ht="12" thickBot="1">
      <c r="A10" s="478">
        <f>'1-συμβολαια'!A10</f>
        <v>0</v>
      </c>
      <c r="B10" s="438"/>
      <c r="C10" s="468" t="str">
        <f>'1-συμβολαια'!C10</f>
        <v>χρησικτησία αγροτεμάχιο 279 = 27/7/87 πατρός ΚΛΗΡΟΝΟΜΙΑ άτυπος</v>
      </c>
      <c r="D10" s="524" t="str">
        <f>'4-πολλυπρ'!D10</f>
        <v>παππούς</v>
      </c>
      <c r="E10" s="524" t="str">
        <f>'4-πολλυπρ'!J10</f>
        <v>θείος</v>
      </c>
      <c r="F10" s="469">
        <f>'14-βιβλΕσ'!N10</f>
        <v>2.3062959999999997</v>
      </c>
      <c r="G10" s="506">
        <f>'14-βιβλΕσ'!P10</f>
        <v>14.879999999999999</v>
      </c>
      <c r="H10" s="506">
        <f t="shared" si="3"/>
        <v>17.186295999999999</v>
      </c>
      <c r="I10" s="506">
        <f>'8-κ-15-17'!AG10</f>
        <v>1.7222050000000002</v>
      </c>
      <c r="J10" s="506"/>
      <c r="K10" s="506"/>
      <c r="L10" s="387"/>
      <c r="M10" s="506"/>
      <c r="N10" s="506"/>
      <c r="O10" s="506"/>
      <c r="P10" s="387"/>
      <c r="Q10" s="552"/>
      <c r="R10" s="506">
        <f>('14-βιβλΕσ'!M10+'14-βιβλΕσ'!N10+'14-βιβλΕσ'!Q10)*40%</f>
        <v>43.574655999999997</v>
      </c>
      <c r="S10" s="506">
        <f>'14-βιβλΕσ'!Q10</f>
        <v>73.999999999999986</v>
      </c>
      <c r="T10" s="506"/>
      <c r="U10" s="524"/>
      <c r="V10" s="506"/>
      <c r="W10" s="506">
        <f t="shared" si="4"/>
        <v>125.53884499999998</v>
      </c>
      <c r="X10" s="506">
        <f t="shared" si="5"/>
        <v>125.53884499999998</v>
      </c>
      <c r="Y10" s="387">
        <v>1912.9653810417099</v>
      </c>
      <c r="Z10" s="553"/>
      <c r="AA10" s="553"/>
      <c r="AB10" s="506">
        <f>'1-συμβολαια'!L10+'1-συμβολαια'!P10+'8-κ-15-17'!AE10+'14-βιβλΕσ'!K10+'14-βιβλΕσ'!P10+'14-βιβλΕσ'!Q10</f>
        <v>125.53884499999998</v>
      </c>
      <c r="AC10" s="506">
        <f>'1-συμβολαια'!M10</f>
        <v>0</v>
      </c>
      <c r="AD10" s="506">
        <f t="shared" si="6"/>
        <v>125.53884499999998</v>
      </c>
      <c r="AE10" s="526"/>
      <c r="AF10" s="387">
        <f t="shared" si="7"/>
        <v>1912.9653810417099</v>
      </c>
      <c r="AG10" s="648"/>
      <c r="AH10" s="509"/>
      <c r="AI10" s="509"/>
      <c r="AJ10" s="509"/>
      <c r="AK10" s="509"/>
      <c r="AL10" s="509"/>
    </row>
    <row r="11" spans="1:38" s="5" customFormat="1" ht="12" thickBot="1">
      <c r="A11" s="480" t="str">
        <f>'1-συμβολαια'!A11</f>
        <v>3ο</v>
      </c>
      <c r="B11" s="481">
        <f>'1-συμβολαια'!B11</f>
        <v>37581</v>
      </c>
      <c r="C11" s="497" t="str">
        <f>'1-συμβολαια'!C11</f>
        <v>κάθετος ΣΥΣΤΑΣΗ</v>
      </c>
      <c r="D11" s="602" t="str">
        <f>'4-πολλυπρ'!D11</f>
        <v>πατήρ</v>
      </c>
      <c r="E11" s="602">
        <f>'4-πολλυπρ'!J11</f>
        <v>0</v>
      </c>
      <c r="F11" s="529">
        <f>'14-βιβλΕσ'!N11</f>
        <v>-5.0000000000061107E-4</v>
      </c>
      <c r="G11" s="505">
        <f>'14-βιβλΕσ'!P11</f>
        <v>36.14</v>
      </c>
      <c r="H11" s="505">
        <f t="shared" si="3"/>
        <v>36.139499999999998</v>
      </c>
      <c r="I11" s="505">
        <f>'8-κ-15-17'!AG11</f>
        <v>0</v>
      </c>
      <c r="J11" s="505"/>
      <c r="K11" s="505"/>
      <c r="L11" s="569"/>
      <c r="M11" s="505"/>
      <c r="N11" s="505"/>
      <c r="O11" s="505"/>
      <c r="P11" s="569"/>
      <c r="Q11" s="644"/>
      <c r="R11" s="505">
        <f>('14-βιβλΕσ'!M11+'14-βιβλΕσ'!N11+'14-βιβλΕσ'!Q11)*40%</f>
        <v>147.63999999999996</v>
      </c>
      <c r="S11" s="505">
        <f>'14-βιβλΕσ'!Q11</f>
        <v>329.56999999999988</v>
      </c>
      <c r="T11" s="568">
        <f>AC11</f>
        <v>107.43</v>
      </c>
      <c r="U11" s="602" t="s">
        <v>588</v>
      </c>
      <c r="V11" s="568">
        <v>278.82</v>
      </c>
      <c r="W11" s="568">
        <v>1750.67</v>
      </c>
      <c r="X11" s="505">
        <f t="shared" si="5"/>
        <v>405.23999999999984</v>
      </c>
      <c r="Y11" s="569">
        <v>10460.033730764097</v>
      </c>
      <c r="Z11" s="646"/>
      <c r="AA11" s="646"/>
      <c r="AB11" s="505">
        <f>'1-συμβολαια'!L11+'1-συμβολαια'!P11+'8-κ-15-17'!AE11+'14-βιβλΕσ'!K11+'14-βιβλΕσ'!P11+'14-βιβλΕσ'!Q11</f>
        <v>512.66999999999985</v>
      </c>
      <c r="AC11" s="505">
        <f>'1-συμβολαια'!M11</f>
        <v>107.43</v>
      </c>
      <c r="AD11" s="505">
        <f t="shared" si="6"/>
        <v>405.23999999999984</v>
      </c>
      <c r="AE11" s="651">
        <v>46010</v>
      </c>
      <c r="AF11" s="569">
        <f t="shared" si="7"/>
        <v>10460.033730764097</v>
      </c>
      <c r="AG11" s="652"/>
      <c r="AH11" s="570"/>
      <c r="AI11" s="570"/>
      <c r="AJ11" s="570"/>
      <c r="AK11" s="570"/>
      <c r="AL11" s="570"/>
    </row>
    <row r="12" spans="1:38" s="5" customFormat="1" ht="12" thickBot="1">
      <c r="A12" s="562" t="str">
        <f>'1-συμβολαια'!A12</f>
        <v>4ο</v>
      </c>
      <c r="B12" s="481">
        <f>'1-συμβολαια'!B12</f>
        <v>37581</v>
      </c>
      <c r="C12" s="563" t="str">
        <f>'1-συμβολαια'!C12</f>
        <v>γονική ΨΙΛΗΣ ΚΥΡΙΟΤΗΤΑΣ</v>
      </c>
      <c r="D12" s="598" t="str">
        <f>'4-πολλυπρ'!D12</f>
        <v>πατήρ</v>
      </c>
      <c r="E12" s="598" t="str">
        <f>'4-πολλυπρ'!J12</f>
        <v xml:space="preserve">219-104 </v>
      </c>
      <c r="F12" s="529">
        <f>'14-βιβλΕσ'!N12</f>
        <v>3.9722000000004698E-2</v>
      </c>
      <c r="G12" s="505">
        <f>'14-βιβλΕσ'!P12</f>
        <v>22.8</v>
      </c>
      <c r="H12" s="505">
        <f t="shared" si="3"/>
        <v>22.839722000000005</v>
      </c>
      <c r="I12" s="505">
        <f>'8-κ-15-17'!AG12</f>
        <v>4.1225000000224554E-3</v>
      </c>
      <c r="J12" s="505">
        <v>149.36000000000001</v>
      </c>
      <c r="K12" s="505">
        <v>387.65</v>
      </c>
      <c r="L12" s="569">
        <v>1655</v>
      </c>
      <c r="M12" s="1007">
        <v>39643</v>
      </c>
      <c r="N12" s="505"/>
      <c r="O12" s="505"/>
      <c r="P12" s="569"/>
      <c r="Q12" s="644"/>
      <c r="R12" s="505">
        <f>('14-βιβλΕσ'!M12+'14-βιβλΕσ'!N12+'14-βιβλΕσ'!Q12)*40%</f>
        <v>112.493392</v>
      </c>
      <c r="S12" s="505">
        <f>'14-βιβλΕσ'!Q12</f>
        <v>255.29</v>
      </c>
      <c r="T12" s="645">
        <f>237.06+AD12</f>
        <v>538.09760249999999</v>
      </c>
      <c r="U12" s="598" t="s">
        <v>588</v>
      </c>
      <c r="V12" s="568">
        <v>1396.57</v>
      </c>
      <c r="W12" s="568">
        <v>2489.96</v>
      </c>
      <c r="X12" s="505">
        <f t="shared" si="5"/>
        <v>301.03760250000005</v>
      </c>
      <c r="Y12" s="569">
        <f>12761+L12</f>
        <v>14416</v>
      </c>
      <c r="Z12" s="646"/>
      <c r="AA12" s="646"/>
      <c r="AB12" s="505">
        <f>'1-συμβολαια'!L12+'1-συμβολαια'!P12+'8-κ-15-17'!AE12+'14-βιβλΕσ'!K12+'14-βιβλΕσ'!P12+'14-βιβλΕσ'!Q12</f>
        <v>725.30760250000003</v>
      </c>
      <c r="AC12" s="505">
        <f>'1-συμβολαια'!M12</f>
        <v>424.27</v>
      </c>
      <c r="AD12" s="505">
        <f t="shared" si="6"/>
        <v>301.03760250000005</v>
      </c>
      <c r="AE12" s="649">
        <v>46010</v>
      </c>
      <c r="AF12" s="492">
        <f t="shared" si="7"/>
        <v>14416</v>
      </c>
      <c r="AG12" s="650"/>
      <c r="AH12" s="624"/>
      <c r="AI12" s="624"/>
      <c r="AJ12" s="624"/>
      <c r="AK12" s="624"/>
      <c r="AL12" s="624"/>
    </row>
    <row r="13" spans="1:38" s="5" customFormat="1" ht="12" thickBot="1">
      <c r="A13" s="480" t="str">
        <f>'1-συμβολαια'!A13</f>
        <v>5ο</v>
      </c>
      <c r="B13" s="481">
        <f>'1-συμβολαια'!B13</f>
        <v>37895</v>
      </c>
      <c r="C13" s="497" t="str">
        <f>'1-συμβολαια'!C13</f>
        <v>πληρεξούσιο</v>
      </c>
      <c r="D13" s="602" t="str">
        <f>'4-πολλυπρ'!D13</f>
        <v>πατήρ</v>
      </c>
      <c r="E13" s="602" t="str">
        <f>'4-πολλυπρ'!J13</f>
        <v>μήτηρ</v>
      </c>
      <c r="F13" s="483">
        <f>'14-βιβλΕσ'!N13</f>
        <v>3.9000000000002366E-3</v>
      </c>
      <c r="G13" s="568">
        <f>'14-βιβλΕσ'!P13</f>
        <v>0</v>
      </c>
      <c r="H13" s="568">
        <f t="shared" si="3"/>
        <v>3.9000000000002366E-3</v>
      </c>
      <c r="I13" s="568">
        <f>'8-κ-15-17'!AG13</f>
        <v>0</v>
      </c>
      <c r="J13" s="568"/>
      <c r="K13" s="568"/>
      <c r="L13" s="492"/>
      <c r="M13" s="568"/>
      <c r="N13" s="568"/>
      <c r="O13" s="568"/>
      <c r="P13" s="492"/>
      <c r="Q13" s="669"/>
      <c r="R13" s="568">
        <f>('14-βιβλΕσ'!M13+'14-βιβλΕσ'!N13+'14-βιβλΕσ'!Q13)*40%</f>
        <v>-1.3960000000000008</v>
      </c>
      <c r="S13" s="568">
        <f>'14-βιβλΕσ'!Q13</f>
        <v>0.6</v>
      </c>
      <c r="T13" s="568"/>
      <c r="U13" s="602"/>
      <c r="V13" s="568"/>
      <c r="W13" s="568"/>
      <c r="X13" s="574">
        <f t="shared" si="5"/>
        <v>-3.490000000000002</v>
      </c>
      <c r="Y13" s="603">
        <v>-22</v>
      </c>
      <c r="Z13" s="670"/>
      <c r="AA13" s="670"/>
      <c r="AB13" s="568">
        <f>'1-συμβολαια'!L13+'1-συμβολαια'!P13+'8-κ-15-17'!AE13+'14-βιβλΕσ'!K13+'14-βιβλΕσ'!P13+'14-βιβλΕσ'!Q13</f>
        <v>23.79</v>
      </c>
      <c r="AC13" s="568">
        <f>'1-συμβολαια'!M13</f>
        <v>27.28</v>
      </c>
      <c r="AD13" s="568">
        <f t="shared" si="6"/>
        <v>-3.490000000000002</v>
      </c>
      <c r="AE13" s="649">
        <v>46010</v>
      </c>
      <c r="AF13" s="492">
        <f t="shared" si="7"/>
        <v>-22</v>
      </c>
      <c r="AG13" s="650"/>
      <c r="AH13" s="624"/>
      <c r="AI13" s="624"/>
      <c r="AJ13" s="624"/>
      <c r="AK13" s="624"/>
      <c r="AL13" s="624"/>
    </row>
    <row r="14" spans="1:38" s="5" customFormat="1">
      <c r="A14" s="672" t="str">
        <f>'1-συμβολαια'!A14</f>
        <v>6ο</v>
      </c>
      <c r="B14" s="348">
        <f>'1-συμβολαια'!B14</f>
        <v>38005</v>
      </c>
      <c r="C14" s="346" t="str">
        <f>'1-συμβολαια'!C14</f>
        <v>μίσθωση αγροτεμαχίων 15 έτη { έως 19/1/2019 }</v>
      </c>
      <c r="D14" s="320" t="str">
        <f>'4-πολλυπρ'!D14</f>
        <v>πατήρ</v>
      </c>
      <c r="E14" s="320" t="str">
        <f>'4-πολλυπρ'!J14</f>
        <v xml:space="preserve">219-104 </v>
      </c>
      <c r="F14" s="319">
        <f>'14-βιβλΕσ'!N14</f>
        <v>5.2161000000000008</v>
      </c>
      <c r="G14" s="314">
        <f>'14-βιβλΕσ'!P14</f>
        <v>23.299999999999997</v>
      </c>
      <c r="H14" s="314">
        <f t="shared" si="3"/>
        <v>28.516099999999998</v>
      </c>
      <c r="I14" s="314">
        <f>'8-κ-15-17'!AG14</f>
        <v>47.567000000000014</v>
      </c>
      <c r="J14" s="314"/>
      <c r="K14" s="314"/>
      <c r="L14" s="257"/>
      <c r="M14" s="314"/>
      <c r="N14" s="314"/>
      <c r="O14" s="314"/>
      <c r="P14" s="257"/>
      <c r="Q14" s="689" t="s">
        <v>512</v>
      </c>
      <c r="R14" s="314">
        <f>('14-βιβλΕσ'!M14+'14-βιβλΕσ'!N14+'14-βιβλΕσ'!Q14)*40%</f>
        <v>106.37520000000001</v>
      </c>
      <c r="S14" s="314">
        <f>'14-βιβλΕσ'!Q14</f>
        <v>188.78999999999996</v>
      </c>
      <c r="T14" s="314"/>
      <c r="U14" s="320"/>
      <c r="V14" s="314"/>
      <c r="W14" s="314">
        <f t="shared" ref="W14:W21" si="8">AD14</f>
        <v>336.80499999999995</v>
      </c>
      <c r="X14" s="314">
        <f t="shared" si="5"/>
        <v>336.80499999999995</v>
      </c>
      <c r="Y14" s="257">
        <v>9223.0077659605322</v>
      </c>
      <c r="Z14" s="238"/>
      <c r="AA14" s="238"/>
      <c r="AB14" s="314">
        <f>'1-συμβολαια'!L14+0.5+'1-συμβολαια'!P14+'8-κ-15-17'!AE14+'14-βιβλΕσ'!K14+'14-βιβλΕσ'!P14+'14-βιβλΕσ'!Q14</f>
        <v>489.77499999999998</v>
      </c>
      <c r="AC14" s="314">
        <f>'1-συμβολαια'!M14</f>
        <v>152.97</v>
      </c>
      <c r="AD14" s="314">
        <f t="shared" si="6"/>
        <v>336.80499999999995</v>
      </c>
      <c r="AE14" s="521">
        <v>46011</v>
      </c>
      <c r="AF14" s="257">
        <f t="shared" si="7"/>
        <v>9223.0077659605322</v>
      </c>
      <c r="AG14" s="647"/>
      <c r="AH14" s="503"/>
      <c r="AI14" s="503"/>
      <c r="AJ14" s="503"/>
      <c r="AK14" s="503"/>
      <c r="AL14" s="503"/>
    </row>
    <row r="15" spans="1:38" s="5" customFormat="1">
      <c r="A15" s="465">
        <f>'1-συμβολαια'!A15</f>
        <v>0</v>
      </c>
      <c r="B15" s="348"/>
      <c r="C15" s="324" t="str">
        <f>'1-συμβολαια'!C15</f>
        <v>ΧΡΗΣΙΚΤΗΣΙΑ αγροτεμαχίων 2'-3' = 19?? ΑΝΑΔΑΣΜΟΣ</v>
      </c>
      <c r="D15" s="256">
        <f>'4-πολλυπρ'!D15</f>
        <v>0</v>
      </c>
      <c r="E15" s="256" t="str">
        <f>'4-πολλυπρ'!J15</f>
        <v>πατήρ</v>
      </c>
      <c r="F15" s="319">
        <f>'14-βιβλΕσ'!N15</f>
        <v>2.7062920000000004</v>
      </c>
      <c r="G15" s="314">
        <f>'14-βιβλΕσ'!P15</f>
        <v>3</v>
      </c>
      <c r="H15" s="323">
        <f t="shared" ref="H15" si="9">F15+G15</f>
        <v>5.7062920000000004</v>
      </c>
      <c r="I15" s="323">
        <f>'8-κ-15-17'!AG15</f>
        <v>3.4444100000000004</v>
      </c>
      <c r="J15" s="314"/>
      <c r="K15" s="314"/>
      <c r="L15" s="257"/>
      <c r="M15" s="314"/>
      <c r="N15" s="314"/>
      <c r="O15" s="314"/>
      <c r="P15" s="257"/>
      <c r="Q15" s="689" t="s">
        <v>512</v>
      </c>
      <c r="R15" s="314">
        <f>('14-βιβλΕσ'!M15+'14-βιβλΕσ'!N15+'14-βιβλΕσ'!Q15)*40%</f>
        <v>11.045312000000001</v>
      </c>
      <c r="S15" s="314">
        <f>'14-βιβλΕσ'!Q15</f>
        <v>0</v>
      </c>
      <c r="T15" s="323"/>
      <c r="U15" s="433"/>
      <c r="V15" s="323"/>
      <c r="W15" s="314">
        <f t="shared" si="8"/>
        <v>34.057690000000001</v>
      </c>
      <c r="X15" s="314">
        <f t="shared" si="5"/>
        <v>34.057690000000001</v>
      </c>
      <c r="Y15" s="261">
        <v>932.62967996519149</v>
      </c>
      <c r="Z15" s="432"/>
      <c r="AA15" s="432"/>
      <c r="AB15" s="314">
        <f>'1-συμβολαια'!L15+'1-συμβολαια'!P15+'8-κ-15-17'!AE15+'14-βιβλΕσ'!K15+'14-βιβλΕσ'!P15+'14-βιβλΕσ'!Q15</f>
        <v>34.057690000000001</v>
      </c>
      <c r="AC15" s="323">
        <f>'1-συμβολαια'!M15</f>
        <v>0</v>
      </c>
      <c r="AD15" s="323">
        <f t="shared" ref="AD15" si="10">AB15-AC15</f>
        <v>34.057690000000001</v>
      </c>
      <c r="AE15" s="321"/>
      <c r="AF15" s="261">
        <f t="shared" ref="AF15" si="11">Y15+AA15</f>
        <v>932.62967996519149</v>
      </c>
      <c r="AG15" s="347"/>
      <c r="AH15" s="71"/>
      <c r="AI15" s="71"/>
      <c r="AJ15" s="71"/>
      <c r="AK15" s="71"/>
      <c r="AL15" s="71"/>
    </row>
    <row r="16" spans="1:38" s="5" customFormat="1">
      <c r="A16" s="465">
        <f>'1-συμβολαια'!A16</f>
        <v>0</v>
      </c>
      <c r="B16" s="348"/>
      <c r="C16" s="324" t="str">
        <f>'1-συμβολαια'!C16</f>
        <v>ΧΡΗΣΙΚΤΗΣΙΑ αγροτεμαχίων υπόλοιπων 12 = πατρός 19?? ΔΩΡΕΕΣ &amp; ΚΛΗΡΟΝΟΜΙΕΣ άτυπες</v>
      </c>
      <c r="D16" s="256">
        <f>'4-πολλυπρ'!D16</f>
        <v>0</v>
      </c>
      <c r="E16" s="256" t="str">
        <f>'4-πολλυπρ'!J16</f>
        <v>πατήρ</v>
      </c>
      <c r="F16" s="319">
        <f>'14-βιβλΕσ'!N16</f>
        <v>5.9062959999999993</v>
      </c>
      <c r="G16" s="314">
        <f>'14-βιβλΕσ'!P16</f>
        <v>3</v>
      </c>
      <c r="H16" s="323">
        <f t="shared" ref="H16:H21" si="12">F16+G16</f>
        <v>8.9062959999999993</v>
      </c>
      <c r="I16" s="323">
        <f>'8-κ-15-17'!AG16</f>
        <v>17.222204999999999</v>
      </c>
      <c r="J16" s="314"/>
      <c r="K16" s="314"/>
      <c r="L16" s="257"/>
      <c r="M16" s="314"/>
      <c r="N16" s="314"/>
      <c r="O16" s="314"/>
      <c r="P16" s="257"/>
      <c r="Q16" s="689" t="s">
        <v>512</v>
      </c>
      <c r="R16" s="314">
        <f>('14-βιβλΕσ'!M16+'14-βιβλΕσ'!N16+'14-βιβλΕσ'!Q16)*40%</f>
        <v>19.578655999999999</v>
      </c>
      <c r="S16" s="314">
        <f>'14-βιβλΕσ'!Q16</f>
        <v>0</v>
      </c>
      <c r="T16" s="323"/>
      <c r="U16" s="433"/>
      <c r="V16" s="323"/>
      <c r="W16" s="314">
        <f t="shared" si="8"/>
        <v>69.16884499999999</v>
      </c>
      <c r="X16" s="314">
        <f t="shared" si="5"/>
        <v>69.16884499999999</v>
      </c>
      <c r="Y16" s="261">
        <v>1894.1072567138842</v>
      </c>
      <c r="Z16" s="432"/>
      <c r="AA16" s="432"/>
      <c r="AB16" s="314">
        <f>'1-συμβολαια'!L16+'1-συμβολαια'!P16+'8-κ-15-17'!AE16+'14-βιβλΕσ'!K16+'14-βιβλΕσ'!P16+'14-βιβλΕσ'!Q16</f>
        <v>69.16884499999999</v>
      </c>
      <c r="AC16" s="323">
        <f>'1-συμβολαια'!M16</f>
        <v>0</v>
      </c>
      <c r="AD16" s="323">
        <f t="shared" ref="AD16:AD21" si="13">AB16-AC16</f>
        <v>69.16884499999999</v>
      </c>
      <c r="AE16" s="321"/>
      <c r="AF16" s="261">
        <f t="shared" ref="AF16:AF21" si="14">Y16+AA16</f>
        <v>1894.1072567138842</v>
      </c>
      <c r="AG16" s="347"/>
      <c r="AH16" s="71"/>
      <c r="AI16" s="71"/>
      <c r="AJ16" s="71"/>
      <c r="AK16" s="71"/>
      <c r="AL16" s="71"/>
    </row>
    <row r="17" spans="1:38" s="5" customFormat="1" ht="12" thickBot="1">
      <c r="A17" s="467">
        <f>'1-συμβολαια'!A17</f>
        <v>0</v>
      </c>
      <c r="B17" s="438"/>
      <c r="C17" s="468" t="str">
        <f>'1-συμβολαια'!C17</f>
        <v>μίσθωση = ΠΑΓΙΑ ως νέος αγρότης</v>
      </c>
      <c r="D17" s="524">
        <f>'4-πολλυπρ'!D17</f>
        <v>0</v>
      </c>
      <c r="E17" s="524" t="str">
        <f>'4-πολλυπρ'!J17</f>
        <v xml:space="preserve">219-104 </v>
      </c>
      <c r="F17" s="469">
        <f>'14-βιβλΕσ'!N17</f>
        <v>21.906298</v>
      </c>
      <c r="G17" s="506">
        <f>'14-βιβλΕσ'!P17</f>
        <v>3</v>
      </c>
      <c r="H17" s="506">
        <f t="shared" si="12"/>
        <v>24.906298</v>
      </c>
      <c r="I17" s="506">
        <f>'8-κ-15-17'!AG17</f>
        <v>144.44443000000001</v>
      </c>
      <c r="J17" s="506"/>
      <c r="K17" s="506"/>
      <c r="L17" s="387"/>
      <c r="M17" s="506"/>
      <c r="N17" s="506"/>
      <c r="O17" s="506"/>
      <c r="P17" s="387"/>
      <c r="Q17" s="690" t="s">
        <v>512</v>
      </c>
      <c r="R17" s="506">
        <f>('14-βιβλΕσ'!M17+'14-βιβλΕσ'!N17+'14-βιβλΕσ'!Q17)*40%</f>
        <v>62.245328000000008</v>
      </c>
      <c r="S17" s="506">
        <f>'14-βιβλΕσ'!Q17</f>
        <v>0</v>
      </c>
      <c r="T17" s="506"/>
      <c r="U17" s="692"/>
      <c r="V17" s="506"/>
      <c r="W17" s="506">
        <f t="shared" si="8"/>
        <v>303.05775000000006</v>
      </c>
      <c r="X17" s="506">
        <f t="shared" si="5"/>
        <v>303.05775000000006</v>
      </c>
      <c r="Y17" s="387">
        <v>8298.8791193257985</v>
      </c>
      <c r="Z17" s="553"/>
      <c r="AA17" s="553"/>
      <c r="AB17" s="506">
        <f>'1-συμβολαια'!L17+'1-συμβολαια'!P17+'8-κ-15-17'!AE17+'14-βιβλΕσ'!K17+'14-βιβλΕσ'!P17+'14-βιβλΕσ'!Q17</f>
        <v>303.05775000000006</v>
      </c>
      <c r="AC17" s="506">
        <f>'1-συμβολαια'!M17</f>
        <v>0</v>
      </c>
      <c r="AD17" s="506">
        <f t="shared" si="13"/>
        <v>303.05775000000006</v>
      </c>
      <c r="AE17" s="526"/>
      <c r="AF17" s="387">
        <f t="shared" si="14"/>
        <v>8298.8791193257985</v>
      </c>
      <c r="AG17" s="347"/>
      <c r="AH17" s="71"/>
      <c r="AI17" s="71"/>
      <c r="AJ17" s="71"/>
      <c r="AK17" s="71"/>
      <c r="AL17" s="71"/>
    </row>
    <row r="18" spans="1:38" s="5" customFormat="1" ht="12" thickBot="1">
      <c r="A18" s="480" t="str">
        <f>'1-συμβολαια'!A18</f>
        <v>7ο</v>
      </c>
      <c r="B18" s="481">
        <f>'1-συμβολαια'!B18</f>
        <v>38437</v>
      </c>
      <c r="C18" s="497" t="str">
        <f>'1-συμβολαια'!C18</f>
        <v>*καθετου συστάσεως 2.539 ΔΙΟΡΘΩΣΗ</v>
      </c>
      <c r="D18" s="602" t="str">
        <f>'4-πολλυπρ'!D18</f>
        <v>πατήρ</v>
      </c>
      <c r="E18" s="602">
        <f>'4-πολλυπρ'!J18</f>
        <v>0</v>
      </c>
      <c r="F18" s="483">
        <f>'14-βιβλΕσ'!N18</f>
        <v>-5.6942999999999993</v>
      </c>
      <c r="G18" s="568">
        <f>'14-βιβλΕσ'!P18</f>
        <v>11.879999999999999</v>
      </c>
      <c r="H18" s="568">
        <f t="shared" si="12"/>
        <v>6.1856999999999998</v>
      </c>
      <c r="I18" s="568">
        <f>'8-κ-15-17'!AG18</f>
        <v>0</v>
      </c>
      <c r="J18" s="568"/>
      <c r="K18" s="568"/>
      <c r="L18" s="492"/>
      <c r="M18" s="568"/>
      <c r="N18" s="568"/>
      <c r="O18" s="568"/>
      <c r="P18" s="492"/>
      <c r="Q18" s="669"/>
      <c r="R18" s="568">
        <f>('14-βιβλΕσ'!M18+'14-βιβλΕσ'!N18+'14-βιβλΕσ'!Q18)*40%</f>
        <v>-4.1199999999999992</v>
      </c>
      <c r="S18" s="568">
        <f>'14-βιβλΕσ'!Q18</f>
        <v>35.239999999999995</v>
      </c>
      <c r="T18" s="568"/>
      <c r="U18" s="702"/>
      <c r="V18" s="568"/>
      <c r="W18" s="506">
        <f t="shared" si="8"/>
        <v>1.0799999999999983</v>
      </c>
      <c r="X18" s="568">
        <f t="shared" si="5"/>
        <v>1.0799999999999983</v>
      </c>
      <c r="Y18" s="492">
        <v>25.898510208485177</v>
      </c>
      <c r="Z18" s="670"/>
      <c r="AA18" s="670"/>
      <c r="AB18" s="506">
        <f>'1-συμβολαια'!L18+'1-συμβολαια'!P18+'8-κ-15-17'!AE18+'14-βιβλΕσ'!K18+'14-βιβλΕσ'!P18+'14-βιβλΕσ'!Q18</f>
        <v>96.649999999999991</v>
      </c>
      <c r="AC18" s="505">
        <f>'1-συμβολαια'!M18</f>
        <v>95.57</v>
      </c>
      <c r="AD18" s="505">
        <f t="shared" si="13"/>
        <v>1.0799999999999983</v>
      </c>
      <c r="AE18" s="651">
        <v>46013</v>
      </c>
      <c r="AF18" s="569">
        <f t="shared" si="14"/>
        <v>25.898510208485177</v>
      </c>
      <c r="AG18" s="648"/>
      <c r="AH18" s="509"/>
      <c r="AI18" s="509"/>
      <c r="AJ18" s="509"/>
      <c r="AK18" s="509"/>
      <c r="AL18" s="509"/>
    </row>
    <row r="19" spans="1:38" s="5" customFormat="1" ht="12" thickBot="1">
      <c r="A19" s="562" t="str">
        <f>'1-συμβολαια'!A19</f>
        <v>8ο</v>
      </c>
      <c r="B19" s="700">
        <f>'1-συμβολαια'!B19</f>
        <v>38437</v>
      </c>
      <c r="C19" s="563" t="str">
        <f>'1-συμβολαια'!C19</f>
        <v>*γονικής 2.540 ΔΙΟΡΘΩΣΗ</v>
      </c>
      <c r="D19" s="598" t="str">
        <f>'4-πολλυπρ'!D19</f>
        <v>πατήρ</v>
      </c>
      <c r="E19" s="598" t="str">
        <f>'4-πολλυπρ'!J19</f>
        <v xml:space="preserve">219-104 </v>
      </c>
      <c r="F19" s="529">
        <f>'14-βιβλΕσ'!N19</f>
        <v>1.5999999999998238E-3</v>
      </c>
      <c r="G19" s="505">
        <f>'14-βιβλΕσ'!P19</f>
        <v>19.799999999999997</v>
      </c>
      <c r="H19" s="505">
        <f t="shared" si="12"/>
        <v>19.801599999999997</v>
      </c>
      <c r="I19" s="505">
        <f>'8-κ-15-17'!AG19</f>
        <v>0</v>
      </c>
      <c r="J19" s="505"/>
      <c r="K19" s="505"/>
      <c r="L19" s="569"/>
      <c r="M19" s="505"/>
      <c r="N19" s="505"/>
      <c r="O19" s="505"/>
      <c r="P19" s="569"/>
      <c r="Q19" s="644"/>
      <c r="R19" s="505">
        <f>('14-βιβλΕσ'!M19+'14-βιβλΕσ'!N19+'14-βιβλΕσ'!Q19)*40%</f>
        <v>26.840000000000003</v>
      </c>
      <c r="S19" s="505">
        <f>'14-βιβλΕσ'!Q19</f>
        <v>64.31</v>
      </c>
      <c r="T19" s="505"/>
      <c r="U19" s="701"/>
      <c r="V19" s="505"/>
      <c r="W19" s="506">
        <f t="shared" si="8"/>
        <v>86.4</v>
      </c>
      <c r="X19" s="505">
        <f t="shared" si="5"/>
        <v>86.4</v>
      </c>
      <c r="Y19" s="569">
        <v>2071.8808166788203</v>
      </c>
      <c r="Z19" s="646"/>
      <c r="AA19" s="646"/>
      <c r="AB19" s="506">
        <f>'1-συμβολαια'!L19+'1-συμβολαια'!P19+'8-κ-15-17'!AE19+'14-βιβλΕσ'!K19+'14-βιβλΕσ'!P19+'14-βιβλΕσ'!Q19</f>
        <v>145.68</v>
      </c>
      <c r="AC19" s="568">
        <f>'1-συμβολαια'!M19</f>
        <v>59.28</v>
      </c>
      <c r="AD19" s="568">
        <f t="shared" si="13"/>
        <v>86.4</v>
      </c>
      <c r="AE19" s="649">
        <v>46013</v>
      </c>
      <c r="AF19" s="492">
        <f t="shared" si="14"/>
        <v>2071.8808166788203</v>
      </c>
      <c r="AG19" s="650"/>
      <c r="AH19" s="624"/>
      <c r="AI19" s="624"/>
      <c r="AJ19" s="624"/>
      <c r="AK19" s="624"/>
      <c r="AL19" s="624"/>
    </row>
    <row r="20" spans="1:38" s="5" customFormat="1">
      <c r="A20" s="672" t="str">
        <f>'1-συμβολαια'!A20</f>
        <v>9ο</v>
      </c>
      <c r="B20" s="348">
        <f>'1-συμβολαια'!B20</f>
        <v>38437</v>
      </c>
      <c r="C20" s="346" t="str">
        <f>'1-συμβολαια'!C20</f>
        <v>γονική</v>
      </c>
      <c r="D20" s="320" t="str">
        <f>'4-πολλυπρ'!D20</f>
        <v>πατήρ</v>
      </c>
      <c r="E20" s="320" t="str">
        <f>'4-πολλυπρ'!J20</f>
        <v xml:space="preserve">219-104 </v>
      </c>
      <c r="F20" s="319">
        <f>'14-βιβλΕσ'!N20</f>
        <v>3.0958000000000006</v>
      </c>
      <c r="G20" s="314">
        <f>'14-βιβλΕσ'!P20</f>
        <v>22.8</v>
      </c>
      <c r="H20" s="314">
        <f t="shared" si="12"/>
        <v>25.895800000000001</v>
      </c>
      <c r="I20" s="314">
        <f>'8-κ-15-17'!AG20</f>
        <v>10.850000000000001</v>
      </c>
      <c r="J20" s="314"/>
      <c r="K20" s="314"/>
      <c r="L20" s="257"/>
      <c r="M20" s="314"/>
      <c r="N20" s="314"/>
      <c r="O20" s="314"/>
      <c r="P20" s="257"/>
      <c r="Q20" s="366"/>
      <c r="R20" s="314">
        <f>('14-βιβλΕσ'!M20+'14-βιβλΕσ'!N20+'14-βιβλΕσ'!Q20)*40%</f>
        <v>134.744</v>
      </c>
      <c r="S20" s="314">
        <f>'14-βιβλΕσ'!Q20</f>
        <v>314.13</v>
      </c>
      <c r="T20" s="314"/>
      <c r="U20" s="691"/>
      <c r="V20" s="314"/>
      <c r="W20" s="314">
        <f t="shared" si="8"/>
        <v>370.51</v>
      </c>
      <c r="X20" s="314">
        <f t="shared" si="5"/>
        <v>370.51</v>
      </c>
      <c r="Y20" s="257">
        <v>8884.8676086535779</v>
      </c>
      <c r="Z20" s="238"/>
      <c r="AA20" s="238"/>
      <c r="AB20" s="674">
        <f>'1-συμβολαια'!L20+'1-συμβολαια'!P20+'8-κ-15-17'!AE20+'14-βιβλΕσ'!K20+'14-βιβλΕσ'!P20+'14-βιβλΕσ'!Q20</f>
        <v>469.06</v>
      </c>
      <c r="AC20" s="314">
        <f>'1-συμβολαια'!M20</f>
        <v>98.55</v>
      </c>
      <c r="AD20" s="314">
        <f t="shared" si="13"/>
        <v>370.51</v>
      </c>
      <c r="AE20" s="521">
        <v>46013</v>
      </c>
      <c r="AF20" s="257">
        <f t="shared" si="14"/>
        <v>8884.8676086535779</v>
      </c>
      <c r="AG20" s="647"/>
      <c r="AH20" s="503"/>
      <c r="AI20" s="503"/>
      <c r="AJ20" s="503"/>
      <c r="AK20" s="503"/>
      <c r="AL20" s="503"/>
    </row>
    <row r="21" spans="1:38" s="5" customFormat="1" ht="12" thickBot="1">
      <c r="A21" s="467">
        <f>'1-συμβολαια'!A21</f>
        <v>0</v>
      </c>
      <c r="B21" s="438"/>
      <c r="C21" s="468" t="str">
        <f>'1-συμβολαια'!C21</f>
        <v>ΧΡΗΣΙΚΤΗΣΙΑ οικοπέδου ΄΄κάστρο'' 52,50μ2 = 1970 κυδωνηςΙωαννης ΔΩΡΕΑ άτυπη</v>
      </c>
      <c r="D21" s="524" t="str">
        <f>'4-πολλυπρ'!D21</f>
        <v>παππούς</v>
      </c>
      <c r="E21" s="524" t="str">
        <f>'4-πολλυπρ'!J21</f>
        <v>πατήρ</v>
      </c>
      <c r="F21" s="469">
        <f>'14-βιβλΕσ'!N21</f>
        <v>2.1062980000000002</v>
      </c>
      <c r="G21" s="506">
        <f>'14-βιβλΕσ'!P21</f>
        <v>6.9600000000000009</v>
      </c>
      <c r="H21" s="506">
        <f t="shared" si="12"/>
        <v>9.0662980000000015</v>
      </c>
      <c r="I21" s="506">
        <f>'8-κ-15-17'!AG21</f>
        <v>0.8611025000000001</v>
      </c>
      <c r="J21" s="506"/>
      <c r="K21" s="506"/>
      <c r="L21" s="387"/>
      <c r="M21" s="506"/>
      <c r="N21" s="506"/>
      <c r="O21" s="506"/>
      <c r="P21" s="387"/>
      <c r="Q21" s="552"/>
      <c r="R21" s="506">
        <f>('14-βιβλΕσ'!M21+'14-βιβλΕσ'!N21+'14-βιβλΕσ'!Q21)*40%</f>
        <v>78.85732800000001</v>
      </c>
      <c r="S21" s="506">
        <f>'14-βιβλΕσ'!Q21</f>
        <v>149.47</v>
      </c>
      <c r="T21" s="506"/>
      <c r="U21" s="692"/>
      <c r="V21" s="506"/>
      <c r="W21" s="505">
        <f t="shared" si="8"/>
        <v>204.96442250000001</v>
      </c>
      <c r="X21" s="506">
        <f t="shared" si="5"/>
        <v>204.96442250000001</v>
      </c>
      <c r="Y21" s="387">
        <v>4915.067767122714</v>
      </c>
      <c r="Z21" s="553"/>
      <c r="AA21" s="553"/>
      <c r="AB21" s="505">
        <f>'1-συμβολαια'!L21+'1-συμβολαια'!P21+'8-κ-15-17'!AE21+'14-βιβλΕσ'!K21+'14-βιβλΕσ'!P21+'14-βιβλΕσ'!Q21</f>
        <v>204.96442250000001</v>
      </c>
      <c r="AC21" s="506">
        <f>'1-συμβολαια'!M21</f>
        <v>0</v>
      </c>
      <c r="AD21" s="506">
        <f t="shared" si="13"/>
        <v>204.96442250000001</v>
      </c>
      <c r="AE21" s="526"/>
      <c r="AF21" s="387">
        <f t="shared" si="14"/>
        <v>4915.067767122714</v>
      </c>
      <c r="AG21" s="648"/>
      <c r="AH21" s="509"/>
      <c r="AI21" s="509"/>
      <c r="AJ21" s="509"/>
      <c r="AK21" s="509"/>
      <c r="AL21" s="509"/>
    </row>
    <row r="22" spans="1:38">
      <c r="A22" s="982" t="s">
        <v>35</v>
      </c>
      <c r="B22" s="983"/>
      <c r="C22" s="983"/>
      <c r="D22" s="983"/>
      <c r="E22" s="984"/>
      <c r="F22" s="41">
        <f t="shared" ref="F22:T22" si="15">SUM(F3:F21)</f>
        <v>69.565889999999996</v>
      </c>
      <c r="G22" s="41">
        <f t="shared" si="15"/>
        <v>282.56</v>
      </c>
      <c r="H22" s="41">
        <f t="shared" si="15"/>
        <v>352.12589000000003</v>
      </c>
      <c r="I22" s="41">
        <f t="shared" si="15"/>
        <v>322.73209000000008</v>
      </c>
      <c r="J22" s="41">
        <f t="shared" si="15"/>
        <v>149.36000000000001</v>
      </c>
      <c r="K22" s="41">
        <f t="shared" si="15"/>
        <v>387.65</v>
      </c>
      <c r="L22" s="350">
        <f t="shared" si="15"/>
        <v>1655</v>
      </c>
      <c r="M22" s="41"/>
      <c r="N22" s="41">
        <f t="shared" si="15"/>
        <v>87.7</v>
      </c>
      <c r="O22" s="41">
        <f t="shared" si="15"/>
        <v>227.61</v>
      </c>
      <c r="P22" s="350">
        <f t="shared" si="15"/>
        <v>972</v>
      </c>
      <c r="Q22" s="390">
        <f t="shared" si="15"/>
        <v>0</v>
      </c>
      <c r="R22" s="41">
        <f t="shared" si="15"/>
        <v>1408.2658399999998</v>
      </c>
      <c r="S22" s="41">
        <f t="shared" si="15"/>
        <v>2756.4399999999996</v>
      </c>
      <c r="T22" s="41">
        <f t="shared" si="15"/>
        <v>645.52760250000006</v>
      </c>
      <c r="U22" s="41"/>
      <c r="V22" s="41">
        <f t="shared" ref="V22:AD22" si="16">SUM(V3:V21)</f>
        <v>1675.3899999999999</v>
      </c>
      <c r="W22" s="41">
        <f t="shared" si="16"/>
        <v>7630.4490875000001</v>
      </c>
      <c r="X22" s="41">
        <f t="shared" si="16"/>
        <v>4092.6066900000005</v>
      </c>
      <c r="Y22" s="350">
        <f t="shared" si="16"/>
        <v>116268.72467724911</v>
      </c>
      <c r="Z22" s="390">
        <f t="shared" si="16"/>
        <v>0</v>
      </c>
      <c r="AA22" s="393">
        <f t="shared" si="16"/>
        <v>0</v>
      </c>
      <c r="AB22" s="41">
        <f t="shared" si="16"/>
        <v>5200.0266900000006</v>
      </c>
      <c r="AC22" s="41">
        <f t="shared" si="16"/>
        <v>1107.4199999999998</v>
      </c>
      <c r="AD22" s="41">
        <f t="shared" si="16"/>
        <v>4092.6066900000005</v>
      </c>
      <c r="AE22" s="41"/>
      <c r="AF22" s="350">
        <f>SUM(AF3:AF21)</f>
        <v>116268.72467724911</v>
      </c>
    </row>
    <row r="23" spans="1:38">
      <c r="S23" s="73"/>
    </row>
    <row r="24" spans="1:38">
      <c r="S24" s="121"/>
      <c r="T24" s="501" t="s">
        <v>565</v>
      </c>
      <c r="AB24" s="121"/>
    </row>
    <row r="25" spans="1:38">
      <c r="T25" s="73"/>
      <c r="V25" s="2"/>
    </row>
    <row r="26" spans="1:38">
      <c r="H26" s="7"/>
      <c r="I26" s="7"/>
      <c r="J26" s="7"/>
      <c r="K26" s="7"/>
      <c r="L26" s="7"/>
      <c r="M26" s="7"/>
      <c r="N26" s="7"/>
      <c r="O26" s="7"/>
      <c r="P26" s="7"/>
      <c r="Q26" s="7"/>
      <c r="T26" s="73"/>
      <c r="V26" s="2"/>
      <c r="X26" s="981" t="s">
        <v>527</v>
      </c>
      <c r="Y26" s="981"/>
      <c r="Z26" s="981"/>
      <c r="AA26" s="981"/>
    </row>
    <row r="27" spans="1:38">
      <c r="H27" s="7"/>
      <c r="I27" s="7"/>
      <c r="J27" s="7"/>
      <c r="K27" s="7"/>
      <c r="L27" s="7"/>
      <c r="M27" s="7"/>
      <c r="N27" s="7"/>
      <c r="O27" s="7"/>
      <c r="P27" s="7"/>
      <c r="Q27" s="7"/>
      <c r="T27" s="73"/>
      <c r="X27" s="7"/>
      <c r="Y27" s="7"/>
      <c r="Z27" s="7"/>
    </row>
    <row r="28" spans="1:38">
      <c r="H28" s="7"/>
      <c r="I28" s="7"/>
      <c r="J28" s="7"/>
      <c r="K28" s="7"/>
      <c r="L28" s="7"/>
      <c r="M28" s="7"/>
      <c r="N28" s="7"/>
      <c r="O28" s="7"/>
      <c r="P28" s="7"/>
      <c r="Q28" s="7"/>
      <c r="T28" s="73">
        <v>2537</v>
      </c>
      <c r="U28" s="316">
        <v>37746</v>
      </c>
      <c r="X28" s="323">
        <f t="shared" ref="X28:X46" si="17">H3+I3+R3</f>
        <v>176.54830000000001</v>
      </c>
      <c r="Y28" s="261">
        <v>2690.2492689156566</v>
      </c>
      <c r="Z28" s="323">
        <f t="shared" ref="Z28:Z46" si="18">AD3-X28</f>
        <v>234.37169999999995</v>
      </c>
      <c r="AA28" s="261">
        <v>1801.6818584459666</v>
      </c>
      <c r="AF28" s="261">
        <f t="shared" ref="AF28:AF46" si="19">Y28+AA28</f>
        <v>4491.9311273616231</v>
      </c>
    </row>
    <row r="29" spans="1:38">
      <c r="H29" s="7"/>
      <c r="I29" s="7"/>
      <c r="J29" s="7"/>
      <c r="K29" s="7"/>
      <c r="L29" s="7"/>
      <c r="M29" s="7"/>
      <c r="N29" s="7"/>
      <c r="O29" s="7"/>
      <c r="P29" s="7"/>
      <c r="Q29" s="7"/>
      <c r="T29" s="73"/>
      <c r="X29" s="323">
        <f t="shared" si="17"/>
        <v>120.34272849999999</v>
      </c>
      <c r="Y29" s="261">
        <v>1833.7867731744802</v>
      </c>
      <c r="Z29" s="323">
        <f t="shared" si="18"/>
        <v>135.51169400000001</v>
      </c>
      <c r="AA29" s="261">
        <v>1041.7168996388259</v>
      </c>
      <c r="AF29" s="261">
        <f t="shared" si="19"/>
        <v>2875.5036728133064</v>
      </c>
    </row>
    <row r="30" spans="1:38">
      <c r="H30" s="7"/>
      <c r="I30" s="7"/>
      <c r="J30" s="7"/>
      <c r="K30" s="7"/>
      <c r="L30" s="7"/>
      <c r="M30" s="7"/>
      <c r="N30" s="7"/>
      <c r="O30" s="7"/>
      <c r="P30" s="7"/>
      <c r="Q30" s="7"/>
      <c r="T30" s="73"/>
      <c r="X30" s="323">
        <f t="shared" si="17"/>
        <v>59.453728499999997</v>
      </c>
      <c r="Y30" s="261">
        <v>905.95802752807572</v>
      </c>
      <c r="Z30" s="323">
        <f t="shared" si="18"/>
        <v>61.915693999999988</v>
      </c>
      <c r="AA30" s="261">
        <v>475.96353413356599</v>
      </c>
      <c r="AF30" s="261">
        <f t="shared" si="19"/>
        <v>1381.9215616616416</v>
      </c>
    </row>
    <row r="31" spans="1:38" ht="12" thickBot="1">
      <c r="H31" s="7"/>
      <c r="I31" s="7"/>
      <c r="J31" s="7"/>
      <c r="K31" s="7"/>
      <c r="L31" s="7"/>
      <c r="M31" s="7"/>
      <c r="N31" s="7"/>
      <c r="O31" s="7"/>
      <c r="P31" s="7"/>
      <c r="Q31" s="7"/>
      <c r="X31" s="506">
        <f t="shared" si="17"/>
        <v>62.483156999999991</v>
      </c>
      <c r="Y31" s="387">
        <v>952.12056665961836</v>
      </c>
      <c r="Z31" s="506">
        <f t="shared" si="18"/>
        <v>63.055687999999989</v>
      </c>
      <c r="AA31" s="387">
        <v>484.72699195947791</v>
      </c>
      <c r="AF31" s="387">
        <f t="shared" si="19"/>
        <v>1436.8475586190962</v>
      </c>
    </row>
    <row r="32" spans="1:38">
      <c r="H32" s="7"/>
      <c r="I32" s="7"/>
      <c r="J32" s="7"/>
      <c r="K32" s="7"/>
      <c r="L32" s="7"/>
      <c r="M32" s="7"/>
      <c r="N32" s="7"/>
      <c r="O32" s="7"/>
      <c r="P32" s="7"/>
      <c r="Q32" s="7"/>
      <c r="T32" s="7">
        <v>2538</v>
      </c>
      <c r="U32" s="316">
        <v>37746</v>
      </c>
      <c r="X32" s="314">
        <f t="shared" si="17"/>
        <v>171.85229999999999</v>
      </c>
      <c r="Y32" s="257">
        <v>2618.691454046706</v>
      </c>
      <c r="Z32" s="314">
        <f t="shared" si="18"/>
        <v>197.97769999999994</v>
      </c>
      <c r="AA32" s="257">
        <v>1521.9108384965321</v>
      </c>
      <c r="AF32" s="257">
        <f t="shared" si="19"/>
        <v>4140.602292543238</v>
      </c>
    </row>
    <row r="33" spans="8:32">
      <c r="H33" s="7"/>
      <c r="I33" s="7"/>
      <c r="J33" s="7"/>
      <c r="K33" s="7"/>
      <c r="L33" s="7"/>
      <c r="M33" s="7"/>
      <c r="N33" s="7"/>
      <c r="O33" s="7"/>
      <c r="P33" s="7"/>
      <c r="Q33" s="7"/>
      <c r="T33" s="7"/>
      <c r="U33" s="7"/>
      <c r="X33" s="323">
        <f t="shared" si="17"/>
        <v>263.84272850000002</v>
      </c>
      <c r="Y33" s="261">
        <v>4020.4448723427977</v>
      </c>
      <c r="Z33" s="323">
        <f t="shared" si="18"/>
        <v>189.51169400000003</v>
      </c>
      <c r="AA33" s="261">
        <v>1456.8302446206749</v>
      </c>
      <c r="AF33" s="261">
        <f t="shared" si="19"/>
        <v>5477.2751169634721</v>
      </c>
    </row>
    <row r="34" spans="8:32">
      <c r="H34" s="7"/>
      <c r="I34" s="7"/>
      <c r="J34" s="7"/>
      <c r="K34" s="7"/>
      <c r="L34" s="7"/>
      <c r="M34" s="7"/>
      <c r="N34" s="7"/>
      <c r="O34" s="7"/>
      <c r="P34" s="7"/>
      <c r="Q34" s="7"/>
      <c r="T34" s="7"/>
      <c r="U34" s="7"/>
      <c r="X34" s="323">
        <f t="shared" si="17"/>
        <v>59.453728499999997</v>
      </c>
      <c r="Y34" s="261">
        <v>905.95802752807572</v>
      </c>
      <c r="Z34" s="323">
        <f t="shared" si="18"/>
        <v>61.915693999999988</v>
      </c>
      <c r="AA34" s="261">
        <v>475.96353413356599</v>
      </c>
      <c r="AF34" s="261">
        <f t="shared" si="19"/>
        <v>1381.9215616616416</v>
      </c>
    </row>
    <row r="35" spans="8:32" ht="12" thickBot="1">
      <c r="I35" s="7"/>
      <c r="J35" s="7"/>
      <c r="K35" s="7"/>
      <c r="L35" s="7"/>
      <c r="M35" s="7"/>
      <c r="N35" s="7"/>
      <c r="O35" s="7"/>
      <c r="P35" s="7"/>
      <c r="Q35" s="7"/>
      <c r="T35" s="7"/>
      <c r="U35" s="7"/>
      <c r="X35" s="506">
        <f t="shared" si="17"/>
        <v>62.483156999999991</v>
      </c>
      <c r="Y35" s="387">
        <v>952.12056665961836</v>
      </c>
      <c r="Z35" s="506">
        <f t="shared" si="18"/>
        <v>63.055687999999989</v>
      </c>
      <c r="AA35" s="387">
        <v>484.72699195947791</v>
      </c>
      <c r="AF35" s="387">
        <f t="shared" si="19"/>
        <v>1436.8475586190962</v>
      </c>
    </row>
    <row r="36" spans="8:32" ht="12" thickBot="1">
      <c r="I36" s="7"/>
      <c r="J36" s="7"/>
      <c r="K36" s="7"/>
      <c r="L36" s="7"/>
      <c r="M36" s="7"/>
      <c r="N36" s="7"/>
      <c r="O36" s="7"/>
      <c r="P36" s="7"/>
      <c r="Q36" s="7"/>
      <c r="S36" s="2" t="s">
        <v>587</v>
      </c>
      <c r="T36" s="7">
        <v>2539</v>
      </c>
      <c r="U36" s="316">
        <v>39643</v>
      </c>
      <c r="X36" s="505">
        <f t="shared" si="17"/>
        <v>183.77949999999996</v>
      </c>
      <c r="Y36" s="569">
        <v>2800.4385514711021</v>
      </c>
      <c r="Z36" s="505">
        <f t="shared" si="18"/>
        <v>221.46049999999988</v>
      </c>
      <c r="AA36" s="569">
        <v>1702.4297951176411</v>
      </c>
      <c r="AF36" s="569">
        <f t="shared" si="19"/>
        <v>4502.8683465887434</v>
      </c>
    </row>
    <row r="37" spans="8:32" ht="12" thickBot="1">
      <c r="Q37" s="7"/>
      <c r="T37" s="7">
        <v>2540</v>
      </c>
      <c r="U37" s="316">
        <v>39643</v>
      </c>
      <c r="X37" s="505">
        <f t="shared" si="17"/>
        <v>135.33723650000002</v>
      </c>
      <c r="Y37" s="569">
        <v>2062.2736188974395</v>
      </c>
      <c r="Z37" s="505">
        <f t="shared" si="18"/>
        <v>165.70036600000003</v>
      </c>
      <c r="AA37" s="569">
        <v>1273.7857999069738</v>
      </c>
      <c r="AF37" s="569">
        <f t="shared" si="19"/>
        <v>3336.0594188044133</v>
      </c>
    </row>
    <row r="38" spans="8:32" ht="12" thickBot="1">
      <c r="Q38" s="7"/>
      <c r="T38" s="73"/>
      <c r="V38" s="73">
        <v>3302</v>
      </c>
      <c r="X38" s="574">
        <f t="shared" si="17"/>
        <v>-1.3921000000000006</v>
      </c>
      <c r="Y38" s="603">
        <v>-9</v>
      </c>
      <c r="Z38" s="574">
        <f t="shared" si="18"/>
        <v>-2.0979000000000014</v>
      </c>
      <c r="AA38" s="603">
        <v>-13</v>
      </c>
      <c r="AF38" s="603">
        <f t="shared" si="19"/>
        <v>-22</v>
      </c>
    </row>
    <row r="39" spans="8:32">
      <c r="Q39" s="7"/>
      <c r="T39" s="73">
        <v>2602</v>
      </c>
      <c r="U39" s="316">
        <v>38005</v>
      </c>
      <c r="V39" s="2"/>
      <c r="X39" s="314">
        <f t="shared" si="17"/>
        <v>182.45830000000001</v>
      </c>
      <c r="Y39" s="257">
        <v>2498.2026957200078</v>
      </c>
      <c r="Z39" s="314">
        <f t="shared" si="18"/>
        <v>154.34669999999994</v>
      </c>
      <c r="AA39" s="257">
        <v>1065.4524930750667</v>
      </c>
      <c r="AF39" s="257">
        <f t="shared" si="19"/>
        <v>3563.6551887950745</v>
      </c>
    </row>
    <row r="40" spans="8:32">
      <c r="Q40" s="7"/>
      <c r="T40" s="73"/>
      <c r="V40" s="2"/>
      <c r="X40" s="323">
        <f t="shared" si="17"/>
        <v>20.196014000000002</v>
      </c>
      <c r="Y40" s="261">
        <v>276.52201416761562</v>
      </c>
      <c r="Z40" s="323">
        <f t="shared" si="18"/>
        <v>13.861675999999999</v>
      </c>
      <c r="AA40" s="261">
        <v>95.686900027009358</v>
      </c>
      <c r="AF40" s="261">
        <f t="shared" si="19"/>
        <v>372.20891419462498</v>
      </c>
    </row>
    <row r="41" spans="8:32">
      <c r="Q41" s="7"/>
      <c r="T41" s="73"/>
      <c r="V41" s="2"/>
      <c r="X41" s="323">
        <f t="shared" si="17"/>
        <v>45.707156999999995</v>
      </c>
      <c r="Y41" s="261">
        <v>625.81829837885005</v>
      </c>
      <c r="Z41" s="323">
        <f t="shared" si="18"/>
        <v>23.461687999999995</v>
      </c>
      <c r="AA41" s="261">
        <v>161.95561013840526</v>
      </c>
      <c r="AF41" s="261">
        <f t="shared" si="19"/>
        <v>787.77390851725534</v>
      </c>
    </row>
    <row r="42" spans="8:32" ht="12" thickBot="1">
      <c r="Q42" s="7"/>
      <c r="T42" s="73"/>
      <c r="V42" s="2"/>
      <c r="X42" s="506">
        <f t="shared" si="17"/>
        <v>231.596056</v>
      </c>
      <c r="Y42" s="387">
        <v>3170.9924482324109</v>
      </c>
      <c r="Z42" s="506">
        <f t="shared" si="18"/>
        <v>71.461694000000051</v>
      </c>
      <c r="AA42" s="387">
        <v>493.29878793435643</v>
      </c>
      <c r="AF42" s="387">
        <f t="shared" si="19"/>
        <v>3664.2912361667672</v>
      </c>
    </row>
    <row r="43" spans="8:32" ht="12" thickBot="1">
      <c r="Q43" s="7"/>
      <c r="T43" s="3">
        <v>4679</v>
      </c>
      <c r="U43" s="699">
        <v>38440</v>
      </c>
      <c r="X43" s="568">
        <f t="shared" si="17"/>
        <v>2.0657000000000005</v>
      </c>
      <c r="Y43" s="492">
        <v>24.767848397068505</v>
      </c>
      <c r="Z43" s="574">
        <f t="shared" si="18"/>
        <v>-0.98570000000000224</v>
      </c>
      <c r="AA43" s="603">
        <v>-5.9585210874775711</v>
      </c>
      <c r="AF43" s="492">
        <f t="shared" si="19"/>
        <v>18.809327309590934</v>
      </c>
    </row>
    <row r="44" spans="8:32" ht="12" thickBot="1">
      <c r="Q44" s="7"/>
      <c r="T44" s="3">
        <v>4680</v>
      </c>
      <c r="U44" s="694">
        <v>38440</v>
      </c>
      <c r="X44" s="568">
        <f t="shared" si="17"/>
        <v>46.641599999999997</v>
      </c>
      <c r="Y44" s="492">
        <v>559.23516376855787</v>
      </c>
      <c r="Z44" s="568">
        <f t="shared" si="18"/>
        <v>39.758400000000009</v>
      </c>
      <c r="AA44" s="492">
        <v>240.33809962906338</v>
      </c>
      <c r="AF44" s="492">
        <f t="shared" si="19"/>
        <v>799.5732633976213</v>
      </c>
    </row>
    <row r="45" spans="8:32">
      <c r="Q45" s="7"/>
      <c r="T45" s="3">
        <v>4683</v>
      </c>
      <c r="U45" s="694">
        <v>38440</v>
      </c>
      <c r="X45" s="314">
        <f t="shared" si="17"/>
        <v>171.4898</v>
      </c>
      <c r="Y45" s="257">
        <v>2056.1714518292138</v>
      </c>
      <c r="Z45" s="314">
        <f t="shared" si="18"/>
        <v>199.02019999999999</v>
      </c>
      <c r="AA45" s="257">
        <v>1203.0699589469427</v>
      </c>
      <c r="AF45" s="257">
        <f t="shared" si="19"/>
        <v>3259.2414107761565</v>
      </c>
    </row>
    <row r="46" spans="8:32" ht="12" thickBot="1">
      <c r="Q46" s="7"/>
      <c r="T46" s="73"/>
      <c r="U46" s="434"/>
      <c r="X46" s="506">
        <f t="shared" si="17"/>
        <v>88.784728500000014</v>
      </c>
      <c r="Y46" s="387">
        <v>1064.5334247290923</v>
      </c>
      <c r="Z46" s="506">
        <f t="shared" si="18"/>
        <v>116.179694</v>
      </c>
      <c r="AA46" s="387">
        <v>702.3020763271694</v>
      </c>
      <c r="AF46" s="387">
        <f t="shared" si="19"/>
        <v>1766.8355010562618</v>
      </c>
    </row>
    <row r="47" spans="8:32">
      <c r="Q47" s="7"/>
      <c r="X47" s="323"/>
      <c r="Y47" s="350">
        <f>SUM(Y28:Y46)</f>
        <v>30009.285072446382</v>
      </c>
      <c r="Z47" s="314"/>
      <c r="AA47" s="350">
        <f>SUM(AA28:AA46)</f>
        <v>14662.881893403237</v>
      </c>
      <c r="AF47" s="350">
        <f>SUM(AF28:AF46)</f>
        <v>44672.166965849632</v>
      </c>
    </row>
    <row r="48" spans="8:32">
      <c r="Q48" s="7"/>
    </row>
    <row r="49" spans="17:32">
      <c r="Q49" s="7"/>
    </row>
    <row r="50" spans="17:32">
      <c r="Q50" s="7"/>
    </row>
    <row r="51" spans="17:32">
      <c r="Q51" s="7"/>
    </row>
    <row r="52" spans="17:32">
      <c r="Q52" s="7"/>
      <c r="W52" s="7">
        <v>2537</v>
      </c>
      <c r="Y52" s="7">
        <f>SUM(Y28:Y31)</f>
        <v>6382.1146362778309</v>
      </c>
      <c r="Z52" s="7"/>
      <c r="AA52" s="7">
        <f t="shared" ref="AA52:AF52" si="20">SUM(AA28:AA31)</f>
        <v>3804.0892841778364</v>
      </c>
      <c r="AB52" s="7"/>
      <c r="AC52" s="7">
        <v>2537</v>
      </c>
      <c r="AD52" s="7"/>
      <c r="AE52" s="7"/>
      <c r="AF52" s="7">
        <f t="shared" si="20"/>
        <v>10186.203920455668</v>
      </c>
    </row>
    <row r="53" spans="17:32">
      <c r="W53" s="7">
        <v>2538</v>
      </c>
      <c r="Y53" s="7">
        <f>SUM(Y32:Y35)</f>
        <v>8497.2149205771984</v>
      </c>
      <c r="Z53" s="7"/>
      <c r="AA53" s="7">
        <f t="shared" ref="AA53:AF53" si="21">SUM(AA32:AA35)</f>
        <v>3939.4316092102508</v>
      </c>
      <c r="AB53" s="7"/>
      <c r="AC53" s="7">
        <v>2538</v>
      </c>
      <c r="AD53" s="7"/>
      <c r="AE53" s="7"/>
      <c r="AF53" s="7">
        <f t="shared" si="21"/>
        <v>12436.646529787447</v>
      </c>
    </row>
    <row r="54" spans="17:32">
      <c r="W54" s="7">
        <v>2539</v>
      </c>
      <c r="Y54" s="7"/>
      <c r="Z54" s="7"/>
      <c r="AA54" s="7"/>
      <c r="AB54" s="7"/>
      <c r="AC54" s="7">
        <v>2539</v>
      </c>
      <c r="AD54" s="7"/>
      <c r="AE54" s="7"/>
    </row>
    <row r="55" spans="17:32">
      <c r="W55" s="7">
        <v>2540</v>
      </c>
      <c r="Y55" s="7"/>
      <c r="AC55" s="7">
        <v>2540</v>
      </c>
    </row>
    <row r="56" spans="17:32">
      <c r="W56" s="7">
        <v>2602</v>
      </c>
      <c r="Y56" s="7">
        <f>SUM(Y39:Y42)</f>
        <v>6571.5354564988847</v>
      </c>
      <c r="Z56" s="7"/>
      <c r="AA56" s="7">
        <f t="shared" ref="AA56:AF56" si="22">SUM(AA39:AA42)</f>
        <v>1816.3937911748378</v>
      </c>
      <c r="AB56" s="7"/>
      <c r="AC56" s="7">
        <v>2602</v>
      </c>
      <c r="AD56" s="7"/>
      <c r="AE56" s="7"/>
      <c r="AF56" s="7">
        <f t="shared" si="22"/>
        <v>8387.9292476737228</v>
      </c>
    </row>
    <row r="57" spans="17:32">
      <c r="W57" s="7">
        <v>4679</v>
      </c>
      <c r="Y57" s="7"/>
      <c r="AC57" s="7">
        <v>4679</v>
      </c>
    </row>
    <row r="58" spans="17:32">
      <c r="W58" s="7">
        <v>4680</v>
      </c>
      <c r="Y58" s="7"/>
      <c r="Z58" s="7"/>
      <c r="AA58" s="7"/>
      <c r="AB58" s="7"/>
      <c r="AC58" s="7">
        <v>4680</v>
      </c>
      <c r="AD58" s="7"/>
      <c r="AE58" s="7"/>
    </row>
    <row r="59" spans="17:32">
      <c r="W59" s="7">
        <v>4683</v>
      </c>
      <c r="Y59" s="7">
        <f>SUM(Y45:Y46)</f>
        <v>3120.7048765583058</v>
      </c>
      <c r="Z59" s="7"/>
      <c r="AA59" s="7">
        <f t="shared" ref="AA59:AF59" si="23">SUM(AA45:AA46)</f>
        <v>1905.372035274112</v>
      </c>
      <c r="AB59" s="7"/>
      <c r="AC59" s="7">
        <v>4683</v>
      </c>
      <c r="AD59" s="7"/>
      <c r="AE59" s="7"/>
      <c r="AF59" s="7">
        <f t="shared" si="23"/>
        <v>5026.0769118324188</v>
      </c>
    </row>
    <row r="60" spans="17:32">
      <c r="W60" s="3"/>
      <c r="Y60" s="7"/>
      <c r="Z60" s="7"/>
      <c r="AA60" s="7"/>
      <c r="AB60" s="7"/>
      <c r="AC60" s="7"/>
      <c r="AD60" s="7"/>
      <c r="AE60" s="7"/>
    </row>
    <row r="61" spans="17:32">
      <c r="W61" s="3"/>
      <c r="Y61" s="7"/>
    </row>
    <row r="62" spans="17:32">
      <c r="W62" s="3"/>
      <c r="Y62" s="7"/>
    </row>
    <row r="63" spans="17:32">
      <c r="W63" s="3"/>
      <c r="Y63" s="7"/>
    </row>
    <row r="64" spans="17:32">
      <c r="W64" s="3"/>
      <c r="Y64" s="7"/>
    </row>
    <row r="65" spans="23:23">
      <c r="W65" s="3"/>
    </row>
    <row r="66" spans="23:23">
      <c r="W66" s="3"/>
    </row>
  </sheetData>
  <mergeCells count="21">
    <mergeCell ref="X26:AA26"/>
    <mergeCell ref="A22:E22"/>
    <mergeCell ref="E1:E2"/>
    <mergeCell ref="C1:C2"/>
    <mergeCell ref="A1:A2"/>
    <mergeCell ref="B1:B2"/>
    <mergeCell ref="D1:D2"/>
    <mergeCell ref="F1:H1"/>
    <mergeCell ref="I1:I2"/>
    <mergeCell ref="Q1:Q2"/>
    <mergeCell ref="R1:R2"/>
    <mergeCell ref="J1:P1"/>
    <mergeCell ref="AH1:AL2"/>
    <mergeCell ref="S1:S2"/>
    <mergeCell ref="AG1:AG2"/>
    <mergeCell ref="T1:W1"/>
    <mergeCell ref="AB1:AD1"/>
    <mergeCell ref="X1:Y1"/>
    <mergeCell ref="Z1:AA1"/>
    <mergeCell ref="AE1:AE2"/>
    <mergeCell ref="AF1:AF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36"/>
  <sheetViews>
    <sheetView workbookViewId="0">
      <pane ySplit="1" topLeftCell="A2" activePane="bottomLeft" state="frozen"/>
      <selection pane="bottomLeft" activeCell="Q11" sqref="Q11"/>
    </sheetView>
  </sheetViews>
  <sheetFormatPr defaultRowHeight="11.25"/>
  <cols>
    <col min="1" max="1" width="7.28515625" style="3" bestFit="1" customWidth="1"/>
    <col min="2" max="2" width="59.42578125" style="3" bestFit="1" customWidth="1"/>
    <col min="3" max="3" width="10.8554687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4" width="9.140625" style="3"/>
    <col min="15" max="15" width="9.42578125" style="3" bestFit="1" customWidth="1"/>
    <col min="16" max="16" width="43.140625" style="3" bestFit="1" customWidth="1"/>
    <col min="17" max="17" width="47.140625" style="3" bestFit="1" customWidth="1"/>
    <col min="18" max="16384" width="9.140625" style="3"/>
  </cols>
  <sheetData>
    <row r="1" spans="1:20">
      <c r="A1" s="181"/>
      <c r="B1" s="181"/>
      <c r="C1" s="296"/>
      <c r="D1" s="181" t="s">
        <v>316</v>
      </c>
      <c r="E1" s="181" t="s">
        <v>317</v>
      </c>
      <c r="F1" s="181" t="s">
        <v>318</v>
      </c>
      <c r="G1" s="181" t="s">
        <v>319</v>
      </c>
      <c r="H1" s="181" t="s">
        <v>320</v>
      </c>
      <c r="I1" s="181" t="s">
        <v>321</v>
      </c>
      <c r="J1" s="181" t="s">
        <v>322</v>
      </c>
      <c r="K1" s="308" t="s">
        <v>323</v>
      </c>
      <c r="L1" s="729" t="s">
        <v>324</v>
      </c>
      <c r="M1" s="730"/>
      <c r="N1" s="730"/>
      <c r="O1" s="730"/>
      <c r="P1" s="731" t="s">
        <v>325</v>
      </c>
      <c r="Q1" s="731"/>
      <c r="R1" s="731"/>
      <c r="S1" s="731"/>
      <c r="T1" s="732"/>
    </row>
    <row r="2" spans="1:20">
      <c r="A2" s="555" t="str">
        <f>'1-συμβολαια'!A3</f>
        <v>1ο</v>
      </c>
      <c r="B2" s="74" t="str">
        <f>'1-συμβολαια'!C3</f>
        <v>κληρονομιάς ΑΠΟΔΟΧΗ</v>
      </c>
      <c r="C2" s="295">
        <f>'1-συμβολαια'!D3</f>
        <v>0</v>
      </c>
      <c r="D2" s="479"/>
      <c r="E2" s="479"/>
      <c r="F2" s="479"/>
      <c r="G2" s="479"/>
      <c r="H2" s="479"/>
      <c r="I2" s="479"/>
      <c r="J2" s="479"/>
      <c r="K2" s="479"/>
      <c r="L2" s="316">
        <v>37746</v>
      </c>
      <c r="M2" s="74">
        <v>377</v>
      </c>
      <c r="N2" s="74">
        <v>12</v>
      </c>
      <c r="O2" s="74"/>
      <c r="P2" s="74"/>
      <c r="Q2" s="74"/>
      <c r="R2" s="74"/>
      <c r="S2" s="74"/>
      <c r="T2" s="74"/>
    </row>
    <row r="3" spans="1:20">
      <c r="A3" s="555">
        <f>'1-συμβολαια'!A4</f>
        <v>0</v>
      </c>
      <c r="B3" s="74" t="str">
        <f>'1-συμβολαια'!C4</f>
        <v>χρησικτησία οικοπεδου = 194? γεωργούδηΝικολαο ΑΓΟΡΑΠΩΛΗΣΙΑ (ως αγροτεμάχιο) άτυπος</v>
      </c>
      <c r="C3" s="295">
        <f>'1-συμβολαια'!D4</f>
        <v>1111.1099999999999</v>
      </c>
      <c r="D3" s="479"/>
      <c r="E3" s="479"/>
      <c r="F3" s="479"/>
      <c r="G3" s="479"/>
      <c r="H3" s="479"/>
      <c r="I3" s="479"/>
      <c r="J3" s="479"/>
      <c r="K3" s="479"/>
      <c r="L3" s="316"/>
      <c r="M3" s="74"/>
      <c r="N3" s="74"/>
      <c r="O3" s="74"/>
      <c r="P3" s="74"/>
      <c r="Q3" s="74"/>
      <c r="R3" s="74"/>
      <c r="S3" s="74"/>
      <c r="T3" s="74"/>
    </row>
    <row r="4" spans="1:20">
      <c r="A4" s="555">
        <f>'1-συμβολαια'!A5</f>
        <v>0</v>
      </c>
      <c r="B4" s="74" t="str">
        <f>'1-συμβολαια'!C5</f>
        <v>χρησικτησία αγροτεμάχιο 193 = 1975 ΑΝΑΔΑΣΜΟΣ εκούσιος</v>
      </c>
      <c r="C4" s="295">
        <f>'1-συμβολαια'!D5</f>
        <v>11.11</v>
      </c>
      <c r="D4" s="479"/>
      <c r="E4" s="479"/>
      <c r="F4" s="479"/>
      <c r="G4" s="479"/>
      <c r="H4" s="479"/>
      <c r="I4" s="479"/>
      <c r="J4" s="479"/>
      <c r="K4" s="479"/>
      <c r="L4" s="372"/>
      <c r="M4" s="74"/>
      <c r="N4" s="74"/>
      <c r="O4" s="74"/>
      <c r="P4" s="74"/>
      <c r="Q4" s="74"/>
      <c r="R4" s="74"/>
      <c r="S4" s="74"/>
      <c r="T4" s="74"/>
    </row>
    <row r="5" spans="1:20" ht="12" thickBot="1">
      <c r="A5" s="556">
        <f>'1-συμβολαια'!A6</f>
        <v>0</v>
      </c>
      <c r="B5" s="246" t="str">
        <f>'1-συμβολαια'!C6</f>
        <v>χρησικτησία αγροτεμάχιο 279 = 1975 ΑΝΑΔΑΣΜΟΣ εκούσιος</v>
      </c>
      <c r="C5" s="511">
        <f>'1-συμβολαια'!D6</f>
        <v>222.22</v>
      </c>
      <c r="D5" s="512"/>
      <c r="E5" s="512"/>
      <c r="F5" s="512"/>
      <c r="G5" s="512"/>
      <c r="H5" s="512"/>
      <c r="I5" s="512"/>
      <c r="J5" s="512"/>
      <c r="K5" s="512"/>
      <c r="L5" s="513"/>
      <c r="M5" s="246"/>
      <c r="N5" s="246"/>
      <c r="O5" s="246"/>
      <c r="P5" s="246"/>
      <c r="Q5" s="246"/>
      <c r="R5" s="74"/>
      <c r="S5" s="74"/>
      <c r="T5" s="74"/>
    </row>
    <row r="6" spans="1:20">
      <c r="A6" s="558" t="str">
        <f>'1-συμβολαια'!A7</f>
        <v>2ο</v>
      </c>
      <c r="B6" s="510" t="str">
        <f>'1-συμβολαια'!C7</f>
        <v>κληρονομιάς ΑΠΟΔΟΧΗ</v>
      </c>
      <c r="C6" s="370">
        <f>'1-συμβολαια'!D7</f>
        <v>0</v>
      </c>
      <c r="D6" s="557"/>
      <c r="E6" s="557"/>
      <c r="F6" s="557"/>
      <c r="G6" s="557"/>
      <c r="H6" s="557"/>
      <c r="I6" s="557"/>
      <c r="J6" s="557"/>
      <c r="K6" s="557"/>
      <c r="L6" s="371">
        <v>37746</v>
      </c>
      <c r="M6" s="510">
        <v>377</v>
      </c>
      <c r="N6" s="510">
        <v>13</v>
      </c>
      <c r="O6" s="510"/>
      <c r="P6" s="510"/>
      <c r="Q6" s="510"/>
      <c r="R6" s="74"/>
      <c r="S6" s="74"/>
      <c r="T6" s="74"/>
    </row>
    <row r="7" spans="1:20">
      <c r="A7" s="559">
        <f>'1-συμβολαια'!A8</f>
        <v>0</v>
      </c>
      <c r="B7" s="74" t="str">
        <f>'1-συμβολαια'!C8</f>
        <v>χρησικτησία οικοπεδου &amp; οικίας &amp; αποθήκης = 27/7/87 πατρός ΚΛΗΡΟΝΟΜΙΑ άτυπος</v>
      </c>
      <c r="C7" s="295">
        <f>'1-συμβολαια'!D8</f>
        <v>11111.11</v>
      </c>
      <c r="D7" s="479"/>
      <c r="E7" s="479"/>
      <c r="F7" s="479"/>
      <c r="G7" s="479"/>
      <c r="H7" s="479"/>
      <c r="I7" s="479"/>
      <c r="J7" s="479"/>
      <c r="K7" s="479"/>
      <c r="L7" s="316"/>
      <c r="M7" s="74"/>
      <c r="N7" s="74"/>
      <c r="O7" s="74"/>
      <c r="P7" s="74"/>
      <c r="Q7" s="74"/>
      <c r="R7" s="74"/>
      <c r="S7" s="74"/>
      <c r="T7" s="74"/>
    </row>
    <row r="8" spans="1:20">
      <c r="A8" s="559">
        <f>'1-συμβολαια'!A9</f>
        <v>0</v>
      </c>
      <c r="B8" s="74" t="str">
        <f>'1-συμβολαια'!C9</f>
        <v>χρησικτησία αγροτεμάχιο 193 = 27/7/87 πατρός ΚΛΗΡΟΝΟΜΙΑ άτυπος</v>
      </c>
      <c r="C8" s="295">
        <f>'1-συμβολαια'!D9</f>
        <v>11.11</v>
      </c>
      <c r="D8" s="479"/>
      <c r="E8" s="479"/>
      <c r="F8" s="479"/>
      <c r="G8" s="479"/>
      <c r="H8" s="479"/>
      <c r="I8" s="479"/>
      <c r="J8" s="479"/>
      <c r="K8" s="479"/>
      <c r="L8" s="316"/>
      <c r="M8" s="74"/>
      <c r="N8" s="74"/>
      <c r="O8" s="74"/>
      <c r="P8" s="74"/>
      <c r="Q8" s="74"/>
      <c r="R8" s="74"/>
      <c r="S8" s="74"/>
      <c r="T8" s="74"/>
    </row>
    <row r="9" spans="1:20" ht="12" thickBot="1">
      <c r="A9" s="561">
        <f>'1-συμβολαια'!A10</f>
        <v>0</v>
      </c>
      <c r="B9" s="246" t="str">
        <f>'1-συμβολαια'!C10</f>
        <v>χρησικτησία αγροτεμάχιο 279 = 27/7/87 πατρός ΚΛΗΡΟΝΟΜΙΑ άτυπος</v>
      </c>
      <c r="C9" s="511">
        <f>'1-συμβολαια'!D10</f>
        <v>222.22</v>
      </c>
      <c r="D9" s="512"/>
      <c r="E9" s="512"/>
      <c r="F9" s="512"/>
      <c r="G9" s="512"/>
      <c r="H9" s="512"/>
      <c r="I9" s="512"/>
      <c r="J9" s="512"/>
      <c r="K9" s="512"/>
      <c r="L9" s="513"/>
      <c r="M9" s="246"/>
      <c r="N9" s="246"/>
      <c r="O9" s="246"/>
      <c r="P9" s="246"/>
      <c r="Q9" s="74"/>
      <c r="R9" s="74"/>
      <c r="S9" s="74"/>
      <c r="T9" s="74"/>
    </row>
    <row r="10" spans="1:20">
      <c r="A10" s="257" t="str">
        <f>'1-συμβολαια'!A11</f>
        <v>3ο</v>
      </c>
      <c r="B10" s="510" t="str">
        <f>'1-συμβολαια'!C11</f>
        <v>κάθετος ΣΥΣΤΑΣΗ</v>
      </c>
      <c r="C10" s="370">
        <f>'1-συμβολαια'!D11</f>
        <v>0</v>
      </c>
      <c r="D10" s="557"/>
      <c r="E10" s="557"/>
      <c r="F10" s="557"/>
      <c r="G10" s="557"/>
      <c r="H10" s="557"/>
      <c r="I10" s="557"/>
      <c r="J10" s="557"/>
      <c r="K10" s="557"/>
      <c r="L10" s="371">
        <v>39643</v>
      </c>
      <c r="M10" s="510">
        <v>467</v>
      </c>
      <c r="N10" s="510">
        <v>49</v>
      </c>
      <c r="O10" s="560">
        <v>1149.75</v>
      </c>
      <c r="P10" s="510" t="s">
        <v>560</v>
      </c>
      <c r="Q10" s="74"/>
      <c r="R10" s="74"/>
      <c r="S10" s="74"/>
      <c r="T10" s="74"/>
    </row>
    <row r="11" spans="1:20" ht="12" thickBot="1">
      <c r="A11" s="387" t="str">
        <f>'1-συμβολαια'!A12</f>
        <v>4ο</v>
      </c>
      <c r="B11" s="246" t="str">
        <f>'1-συμβολαια'!C12</f>
        <v>γονική ΨΙΛΗΣ ΚΥΡΙΟΤΗΤΑΣ</v>
      </c>
      <c r="C11" s="511">
        <f>'1-συμβολαια'!D12</f>
        <v>19272.79</v>
      </c>
      <c r="D11" s="512"/>
      <c r="E11" s="512"/>
      <c r="F11" s="512"/>
      <c r="G11" s="512"/>
      <c r="H11" s="512"/>
      <c r="I11" s="512"/>
      <c r="J11" s="512"/>
      <c r="K11" s="512"/>
      <c r="L11" s="513">
        <v>39643</v>
      </c>
      <c r="M11" s="246">
        <v>467</v>
      </c>
      <c r="N11" s="246">
        <v>50</v>
      </c>
      <c r="O11" s="514"/>
      <c r="P11" s="246" t="s">
        <v>560</v>
      </c>
      <c r="Q11" s="515" t="s">
        <v>565</v>
      </c>
      <c r="R11" s="74"/>
      <c r="S11" s="74"/>
      <c r="T11" s="74"/>
    </row>
    <row r="12" spans="1:20" ht="12" thickBot="1">
      <c r="A12" s="492" t="str">
        <f>'1-συμβολαια'!A13</f>
        <v>5ο</v>
      </c>
      <c r="B12" s="656" t="str">
        <f>'1-συμβολαια'!C13</f>
        <v>πληρεξούσιο</v>
      </c>
      <c r="C12" s="657">
        <f>'1-συμβολαια'!D13</f>
        <v>0</v>
      </c>
      <c r="D12" s="512"/>
      <c r="E12" s="512"/>
      <c r="F12" s="512"/>
      <c r="G12" s="512"/>
      <c r="H12" s="512"/>
      <c r="I12" s="512"/>
      <c r="J12" s="512"/>
      <c r="K12" s="512"/>
      <c r="L12" s="658"/>
      <c r="M12" s="659"/>
      <c r="N12" s="659"/>
      <c r="O12" s="659"/>
      <c r="P12" s="656"/>
      <c r="Q12" s="656"/>
      <c r="R12" s="74"/>
      <c r="S12" s="74"/>
      <c r="T12" s="74"/>
    </row>
    <row r="13" spans="1:20">
      <c r="A13" s="673" t="str">
        <f>'1-συμβολαια'!A14</f>
        <v>6ο</v>
      </c>
      <c r="B13" s="510" t="str">
        <f>'1-συμβολαια'!C14</f>
        <v>μίσθωση αγροτεμαχίων 15 έτη { έως 19/1/2019 }</v>
      </c>
      <c r="C13" s="370">
        <f>'1-συμβολαια'!D14</f>
        <v>8109</v>
      </c>
      <c r="D13" s="314">
        <v>0.5</v>
      </c>
      <c r="E13" s="314"/>
      <c r="F13" s="314"/>
      <c r="G13" s="314"/>
      <c r="H13" s="314"/>
      <c r="I13" s="314"/>
      <c r="J13" s="314"/>
      <c r="K13" s="314"/>
      <c r="L13" s="371">
        <v>38005</v>
      </c>
      <c r="M13" s="510">
        <v>387</v>
      </c>
      <c r="N13" s="510">
        <v>32</v>
      </c>
      <c r="O13" s="510"/>
      <c r="P13" s="510"/>
      <c r="Q13" s="510"/>
      <c r="R13" s="74"/>
      <c r="S13" s="74"/>
      <c r="T13" s="74"/>
    </row>
    <row r="14" spans="1:20">
      <c r="A14" s="555">
        <f>'1-συμβολαια'!A15</f>
        <v>0</v>
      </c>
      <c r="B14" s="74" t="str">
        <f>'1-συμβολαια'!C15</f>
        <v>ΧΡΗΣΙΚΤΗΣΙΑ αγροτεμαχίων 2'-3' = 19?? ΑΝΑΔΑΣΜΟΣ</v>
      </c>
      <c r="C14" s="295">
        <f>'1-συμβολαια'!D15</f>
        <v>444.44</v>
      </c>
      <c r="D14" s="479"/>
      <c r="E14" s="479"/>
      <c r="F14" s="479"/>
      <c r="G14" s="479"/>
      <c r="H14" s="479"/>
      <c r="I14" s="479"/>
      <c r="J14" s="479"/>
      <c r="K14" s="479"/>
      <c r="L14" s="372"/>
      <c r="M14" s="74"/>
      <c r="N14" s="74"/>
      <c r="O14" s="74"/>
      <c r="P14" s="74"/>
      <c r="Q14" s="74"/>
      <c r="R14" s="74"/>
      <c r="S14" s="74"/>
      <c r="T14" s="74"/>
    </row>
    <row r="15" spans="1:20">
      <c r="A15" s="555">
        <f>'1-συμβολαια'!A16</f>
        <v>0</v>
      </c>
      <c r="B15" s="74" t="str">
        <f>'1-συμβολαια'!C16</f>
        <v>ΧΡΗΣΙΚΤΗΣΙΑ αγροτεμαχίων υπόλοιπων 12 = πατρός 19?? ΔΩΡΕΕΣ &amp; ΚΛΗΡΟΝΟΜΙΕΣ άτυπες</v>
      </c>
      <c r="C15" s="295">
        <f>'1-συμβολαια'!D16</f>
        <v>2222.2199999999998</v>
      </c>
      <c r="D15" s="479"/>
      <c r="E15" s="479"/>
      <c r="F15" s="479"/>
      <c r="G15" s="479"/>
      <c r="H15" s="479"/>
      <c r="I15" s="479"/>
      <c r="J15" s="479"/>
      <c r="K15" s="479"/>
      <c r="L15" s="372"/>
      <c r="M15" s="74"/>
      <c r="N15" s="74"/>
      <c r="O15" s="74"/>
      <c r="P15" s="74"/>
      <c r="Q15" s="74"/>
      <c r="R15" s="74"/>
      <c r="S15" s="74"/>
      <c r="T15" s="74"/>
    </row>
    <row r="16" spans="1:20" ht="12" thickBot="1">
      <c r="A16" s="556">
        <f>'1-συμβολαια'!A17</f>
        <v>0</v>
      </c>
      <c r="B16" s="246" t="str">
        <f>'1-συμβολαια'!C17</f>
        <v>μίσθωση = ΠΑΓΙΑ ως νέος αγρότης</v>
      </c>
      <c r="C16" s="511">
        <f>'1-συμβολαια'!D17</f>
        <v>11111.11</v>
      </c>
      <c r="D16" s="512"/>
      <c r="E16" s="512"/>
      <c r="F16" s="512"/>
      <c r="G16" s="512"/>
      <c r="H16" s="512"/>
      <c r="I16" s="512"/>
      <c r="J16" s="512"/>
      <c r="K16" s="512"/>
      <c r="L16" s="676"/>
      <c r="M16" s="246"/>
      <c r="N16" s="246"/>
      <c r="O16" s="246"/>
      <c r="P16" s="246"/>
      <c r="Q16" s="246"/>
      <c r="R16" s="74"/>
      <c r="S16" s="74"/>
      <c r="T16" s="74"/>
    </row>
    <row r="17" spans="1:20" ht="12" thickBot="1">
      <c r="A17" s="492" t="str">
        <f>'1-συμβολαια'!A18</f>
        <v>7ο</v>
      </c>
      <c r="B17" s="656" t="str">
        <f>'1-συμβολαια'!C18</f>
        <v>*καθετου συστάσεως 2.539 ΔΙΟΡΘΩΣΗ</v>
      </c>
      <c r="C17" s="657">
        <f>'1-συμβολαια'!D18</f>
        <v>0</v>
      </c>
      <c r="D17" s="568">
        <v>0.5</v>
      </c>
      <c r="E17" s="568"/>
      <c r="F17" s="568"/>
      <c r="G17" s="568"/>
      <c r="H17" s="568"/>
      <c r="I17" s="568"/>
      <c r="J17" s="568"/>
      <c r="K17" s="568"/>
      <c r="L17" s="695">
        <v>38440</v>
      </c>
      <c r="M17" s="656">
        <v>404</v>
      </c>
      <c r="N17" s="656">
        <v>39</v>
      </c>
      <c r="O17" s="656"/>
      <c r="P17" s="656"/>
      <c r="Q17" s="656"/>
      <c r="R17" s="74"/>
      <c r="S17" s="74"/>
      <c r="T17" s="74"/>
    </row>
    <row r="18" spans="1:20" ht="12" thickBot="1">
      <c r="A18" s="492" t="str">
        <f>'1-συμβολαια'!A19</f>
        <v>8ο</v>
      </c>
      <c r="B18" s="656" t="str">
        <f>'1-συμβολαια'!C19</f>
        <v>*γονικής 2.540 ΔΙΟΡΘΩΣΗ</v>
      </c>
      <c r="C18" s="657">
        <f>'1-συμβολαια'!D19</f>
        <v>0</v>
      </c>
      <c r="D18" s="568">
        <v>0.5</v>
      </c>
      <c r="E18" s="568"/>
      <c r="F18" s="568"/>
      <c r="G18" s="568"/>
      <c r="H18" s="568"/>
      <c r="I18" s="568"/>
      <c r="J18" s="568"/>
      <c r="K18" s="568"/>
      <c r="L18" s="695">
        <v>38440</v>
      </c>
      <c r="M18" s="656">
        <v>404</v>
      </c>
      <c r="N18" s="656">
        <v>40</v>
      </c>
      <c r="O18" s="656"/>
      <c r="P18" s="656"/>
      <c r="Q18" s="656"/>
      <c r="R18" s="74"/>
      <c r="S18" s="74"/>
      <c r="T18" s="74"/>
    </row>
    <row r="19" spans="1:20">
      <c r="A19" s="673" t="str">
        <f>'1-συμβολαια'!A20</f>
        <v>9ο</v>
      </c>
      <c r="B19" s="510" t="str">
        <f>'1-συμβολαια'!C20</f>
        <v>γονική</v>
      </c>
      <c r="C19" s="370">
        <f>'1-συμβολαια'!D20</f>
        <v>1400</v>
      </c>
      <c r="D19" s="479"/>
      <c r="E19" s="479"/>
      <c r="F19" s="479"/>
      <c r="G19" s="479"/>
      <c r="H19" s="479"/>
      <c r="I19" s="479"/>
      <c r="J19" s="479"/>
      <c r="K19" s="479"/>
      <c r="L19" s="694">
        <v>38440</v>
      </c>
      <c r="M19" s="510">
        <v>404</v>
      </c>
      <c r="N19" s="510">
        <v>42</v>
      </c>
      <c r="O19" s="510"/>
      <c r="P19" s="510"/>
      <c r="Q19" s="510"/>
      <c r="R19" s="74"/>
      <c r="S19" s="74"/>
      <c r="T19" s="74"/>
    </row>
    <row r="20" spans="1:20" ht="12" thickBot="1">
      <c r="A20" s="556">
        <f>'1-συμβολαια'!A21</f>
        <v>0</v>
      </c>
      <c r="B20" s="246" t="str">
        <f>'1-συμβολαια'!C21</f>
        <v>ΧΡΗΣΙΚΤΗΣΙΑ οικοπέδου ΄΄κάστρο'' 52,50μ2 = 1970 κυδωνηςΙωαννης ΔΩΡΕΑ άτυπη</v>
      </c>
      <c r="C20" s="511">
        <f>'1-συμβολαια'!D21</f>
        <v>111.11</v>
      </c>
      <c r="D20" s="479"/>
      <c r="E20" s="479"/>
      <c r="F20" s="479"/>
      <c r="G20" s="479"/>
      <c r="H20" s="479"/>
      <c r="I20" s="479"/>
      <c r="J20" s="479"/>
      <c r="K20" s="479"/>
      <c r="L20" s="676"/>
      <c r="M20" s="246"/>
      <c r="N20" s="246"/>
      <c r="O20" s="246"/>
      <c r="P20" s="246"/>
      <c r="Q20" s="246"/>
      <c r="R20" s="74"/>
      <c r="S20" s="74"/>
      <c r="T20" s="74"/>
    </row>
    <row r="21" spans="1:20">
      <c r="A21" s="726" t="str">
        <f>'1-συμβολαια'!A22</f>
        <v>σύνολο</v>
      </c>
      <c r="B21" s="727"/>
      <c r="C21" s="728"/>
      <c r="D21" s="370">
        <f t="shared" ref="D21:K21" si="0">SUM(D2:D20)</f>
        <v>1.5</v>
      </c>
      <c r="E21" s="370">
        <f t="shared" si="0"/>
        <v>0</v>
      </c>
      <c r="F21" s="370">
        <f t="shared" si="0"/>
        <v>0</v>
      </c>
      <c r="G21" s="370">
        <f t="shared" si="0"/>
        <v>0</v>
      </c>
      <c r="H21" s="370">
        <f t="shared" si="0"/>
        <v>0</v>
      </c>
      <c r="I21" s="370">
        <f t="shared" si="0"/>
        <v>0</v>
      </c>
      <c r="J21" s="370">
        <f t="shared" si="0"/>
        <v>0</v>
      </c>
      <c r="K21" s="370">
        <f t="shared" si="0"/>
        <v>0</v>
      </c>
    </row>
    <row r="22" spans="1:20">
      <c r="J22" s="2"/>
    </row>
    <row r="23" spans="1:20">
      <c r="C23" s="2" t="s">
        <v>400</v>
      </c>
      <c r="I23" s="5"/>
    </row>
    <row r="24" spans="1:20">
      <c r="J24" s="2"/>
    </row>
    <row r="25" spans="1:20">
      <c r="H25" s="146"/>
    </row>
    <row r="26" spans="1:20">
      <c r="J26" s="2"/>
      <c r="K26" s="3">
        <v>2537</v>
      </c>
      <c r="L26" s="316">
        <v>37746</v>
      </c>
    </row>
    <row r="27" spans="1:20">
      <c r="E27" s="6"/>
      <c r="J27" s="2"/>
      <c r="K27" s="3">
        <v>2538</v>
      </c>
      <c r="L27" s="371">
        <v>37746</v>
      </c>
    </row>
    <row r="28" spans="1:20">
      <c r="C28" s="4"/>
      <c r="D28" s="5"/>
      <c r="E28" s="5"/>
      <c r="F28" s="5"/>
      <c r="G28" s="5"/>
      <c r="H28" s="5"/>
      <c r="I28" s="5"/>
      <c r="J28" s="5"/>
      <c r="K28" s="5">
        <v>2539</v>
      </c>
      <c r="L28" s="371">
        <v>39643</v>
      </c>
      <c r="M28" s="5"/>
      <c r="N28" s="5"/>
      <c r="O28" s="5"/>
      <c r="P28" s="5"/>
    </row>
    <row r="29" spans="1:20">
      <c r="C29" s="4"/>
      <c r="D29" s="5"/>
      <c r="E29" s="5"/>
      <c r="F29" s="5"/>
      <c r="G29" s="5"/>
      <c r="H29" s="5"/>
      <c r="I29" s="5"/>
      <c r="J29" s="5"/>
      <c r="K29" s="5">
        <v>2540</v>
      </c>
      <c r="L29" s="316">
        <v>39643</v>
      </c>
    </row>
    <row r="30" spans="1:20">
      <c r="C30" s="4"/>
      <c r="D30" s="5"/>
      <c r="K30" s="3">
        <v>2602</v>
      </c>
      <c r="L30" s="316">
        <v>38005</v>
      </c>
    </row>
    <row r="31" spans="1:20">
      <c r="C31" s="4"/>
      <c r="D31" s="5"/>
      <c r="K31" s="3">
        <v>4679</v>
      </c>
      <c r="L31" s="694">
        <v>38440</v>
      </c>
    </row>
    <row r="32" spans="1:20">
      <c r="D32" s="5"/>
      <c r="K32" s="3">
        <v>4680</v>
      </c>
      <c r="L32" s="694">
        <v>38440</v>
      </c>
    </row>
    <row r="33" spans="4:12">
      <c r="D33" s="5"/>
      <c r="K33" s="3">
        <v>4683</v>
      </c>
      <c r="L33" s="694">
        <v>38440</v>
      </c>
    </row>
    <row r="34" spans="4:12">
      <c r="D34" s="5"/>
    </row>
    <row r="35" spans="4:12">
      <c r="D35" s="5"/>
    </row>
    <row r="36" spans="4:12">
      <c r="D36" s="5"/>
    </row>
  </sheetData>
  <mergeCells count="3">
    <mergeCell ref="A21:C21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6"/>
  <sheetViews>
    <sheetView workbookViewId="0">
      <pane ySplit="2" topLeftCell="A3" activePane="bottomLeft" state="frozen"/>
      <selection pane="bottomLeft" activeCell="L41" sqref="L41"/>
    </sheetView>
  </sheetViews>
  <sheetFormatPr defaultRowHeight="11.25"/>
  <cols>
    <col min="1" max="1" width="7" style="7" customWidth="1"/>
    <col min="2" max="2" width="67" style="88" customWidth="1"/>
    <col min="3" max="3" width="12.42578125" style="2" customWidth="1"/>
    <col min="4" max="4" width="11.140625" style="7" bestFit="1" customWidth="1"/>
    <col min="5" max="7" width="11.140625" style="2" bestFit="1" customWidth="1"/>
    <col min="8" max="8" width="12.42578125" style="7" bestFit="1" customWidth="1"/>
    <col min="9" max="11" width="10.28515625" style="7" bestFit="1" customWidth="1"/>
    <col min="12" max="12" width="10.28515625" style="2" bestFit="1" customWidth="1"/>
    <col min="13" max="13" width="10.28515625" style="2" customWidth="1"/>
    <col min="14" max="14" width="8.140625" style="2" customWidth="1"/>
    <col min="15" max="15" width="9.7109375" style="2" customWidth="1"/>
    <col min="16" max="16" width="7" style="79" customWidth="1"/>
    <col min="17" max="17" width="8" style="79" customWidth="1"/>
    <col min="18" max="18" width="5.85546875" style="79" customWidth="1"/>
    <col min="19" max="19" width="9.5703125" style="79" customWidth="1"/>
    <col min="20" max="20" width="8" style="79" customWidth="1"/>
    <col min="21" max="21" width="6.5703125" style="79" customWidth="1"/>
    <col min="22" max="24" width="8" style="79" customWidth="1"/>
    <col min="25" max="25" width="7.28515625" style="79" customWidth="1"/>
    <col min="26" max="26" width="8" style="7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741" t="s">
        <v>1</v>
      </c>
      <c r="B1" s="743" t="s">
        <v>0</v>
      </c>
      <c r="C1" s="745" t="s">
        <v>7</v>
      </c>
      <c r="D1" s="739" t="s">
        <v>366</v>
      </c>
      <c r="E1" s="740"/>
      <c r="F1" s="740"/>
      <c r="G1" s="740"/>
      <c r="H1" s="740"/>
      <c r="I1" s="740"/>
      <c r="J1" s="740"/>
      <c r="K1" s="740"/>
      <c r="L1" s="740"/>
      <c r="M1" s="747" t="s">
        <v>91</v>
      </c>
      <c r="N1" s="748"/>
      <c r="O1" s="749" t="s">
        <v>251</v>
      </c>
      <c r="P1" s="733" t="s">
        <v>83</v>
      </c>
      <c r="Q1" s="734"/>
      <c r="R1" s="734"/>
      <c r="S1" s="734"/>
      <c r="T1" s="734"/>
      <c r="U1" s="734"/>
      <c r="V1" s="734"/>
      <c r="W1" s="734"/>
      <c r="X1" s="734"/>
      <c r="Y1" s="734"/>
      <c r="Z1" s="735"/>
    </row>
    <row r="2" spans="1:26" s="10" customFormat="1" ht="24" customHeight="1" thickBot="1">
      <c r="A2" s="742"/>
      <c r="B2" s="744"/>
      <c r="C2" s="746"/>
      <c r="D2" s="58" t="s">
        <v>77</v>
      </c>
      <c r="E2" s="58" t="s">
        <v>78</v>
      </c>
      <c r="F2" s="58" t="s">
        <v>367</v>
      </c>
      <c r="G2" s="58" t="s">
        <v>368</v>
      </c>
      <c r="H2" s="58" t="s">
        <v>23</v>
      </c>
      <c r="I2" s="201" t="s">
        <v>356</v>
      </c>
      <c r="J2" s="201" t="s">
        <v>357</v>
      </c>
      <c r="K2" s="201" t="s">
        <v>380</v>
      </c>
      <c r="L2" s="202" t="s">
        <v>359</v>
      </c>
      <c r="M2" s="204" t="s">
        <v>381</v>
      </c>
      <c r="N2" s="203" t="s">
        <v>382</v>
      </c>
      <c r="O2" s="750"/>
      <c r="P2" s="736"/>
      <c r="Q2" s="737"/>
      <c r="R2" s="737"/>
      <c r="S2" s="737"/>
      <c r="T2" s="737"/>
      <c r="U2" s="737"/>
      <c r="V2" s="737"/>
      <c r="W2" s="737"/>
      <c r="X2" s="737"/>
      <c r="Y2" s="737"/>
      <c r="Z2" s="738"/>
    </row>
    <row r="3" spans="1:26" s="5" customFormat="1">
      <c r="A3" s="554" t="str">
        <f>'1-συμβολαια'!A3</f>
        <v>1ο</v>
      </c>
      <c r="B3" s="324" t="str">
        <f>'1-συμβολαια'!C3</f>
        <v>κληρονομιάς ΑΠΟΔΟΧΗ</v>
      </c>
      <c r="C3" s="319">
        <f>'1-συμβολαια'!D3</f>
        <v>0</v>
      </c>
      <c r="D3" s="312">
        <v>29.35</v>
      </c>
      <c r="E3" s="312"/>
      <c r="F3" s="312"/>
      <c r="G3" s="312">
        <f>C3*1.2%</f>
        <v>0</v>
      </c>
      <c r="H3" s="312">
        <f t="shared" ref="H3" si="0">D3+E3+F3+G3</f>
        <v>29.35</v>
      </c>
      <c r="I3" s="313">
        <f t="shared" ref="I3" si="1">(F3+G3)*9%</f>
        <v>0</v>
      </c>
      <c r="J3" s="313">
        <f t="shared" ref="J3" si="2">(D3+E3)*5%</f>
        <v>1.4675000000000002</v>
      </c>
      <c r="K3" s="313">
        <f t="shared" ref="K3" si="3">H3*5%</f>
        <v>1.4675000000000002</v>
      </c>
      <c r="L3" s="319">
        <f t="shared" ref="L3" si="4">H3*1%</f>
        <v>0.29350000000000004</v>
      </c>
      <c r="M3" s="319">
        <f t="shared" ref="M3" si="5">H3-O3</f>
        <v>26.121500000000001</v>
      </c>
      <c r="N3" s="319">
        <f t="shared" ref="N3" si="6">D3+E3</f>
        <v>29.35</v>
      </c>
      <c r="O3" s="319">
        <f t="shared" ref="O3" si="7">I3+J3+K3+L3</f>
        <v>3.2285000000000004</v>
      </c>
      <c r="P3" s="325"/>
      <c r="Q3" s="325"/>
      <c r="R3" s="325"/>
      <c r="S3" s="325"/>
      <c r="T3" s="325"/>
      <c r="U3" s="325"/>
      <c r="V3" s="325"/>
      <c r="W3" s="259"/>
      <c r="X3" s="259"/>
      <c r="Y3" s="259"/>
      <c r="Z3" s="259"/>
    </row>
    <row r="4" spans="1:26" s="5" customFormat="1">
      <c r="A4" s="465">
        <f>'1-συμβολαια'!A4</f>
        <v>0</v>
      </c>
      <c r="B4" s="324" t="str">
        <f>'1-συμβολαια'!C4</f>
        <v>χρησικτησία οικοπεδου = 194? γεωργούδηΝικολαο ΑΓΟΡΑΠΩΛΗΣΙΑ (ως αγροτεμάχιο) άτυπος</v>
      </c>
      <c r="C4" s="311">
        <f>'1-συμβολαια'!D4</f>
        <v>1111.1099999999999</v>
      </c>
      <c r="D4" s="312"/>
      <c r="E4" s="312">
        <v>2.93</v>
      </c>
      <c r="F4" s="312">
        <v>10.56</v>
      </c>
      <c r="G4" s="312">
        <f t="shared" ref="G4:G15" si="8">C4*1.2%</f>
        <v>13.333319999999999</v>
      </c>
      <c r="H4" s="312">
        <f t="shared" ref="H4:H15" si="9">D4+E4+F4+G4</f>
        <v>26.823319999999999</v>
      </c>
      <c r="I4" s="312">
        <f t="shared" ref="I4:I15" si="10">(F4+G4)*9%</f>
        <v>2.1503988000000001</v>
      </c>
      <c r="J4" s="312">
        <f t="shared" ref="J4:J15" si="11">(D4+E4)*5%</f>
        <v>0.14650000000000002</v>
      </c>
      <c r="K4" s="312">
        <f t="shared" ref="K4:K15" si="12">H4*5%</f>
        <v>1.3411660000000001</v>
      </c>
      <c r="L4" s="311">
        <f t="shared" ref="L4:L15" si="13">H4*1%</f>
        <v>0.2682332</v>
      </c>
      <c r="M4" s="311">
        <f t="shared" ref="M4:M15" si="14">H4-O4</f>
        <v>22.917021999999999</v>
      </c>
      <c r="N4" s="311">
        <f t="shared" ref="N4:N15" si="15">D4+E4</f>
        <v>2.93</v>
      </c>
      <c r="O4" s="311">
        <f t="shared" ref="O4:O15" si="16">I4+J4+K4+L4</f>
        <v>3.9062980000000005</v>
      </c>
      <c r="P4" s="325"/>
      <c r="Q4" s="325" t="s">
        <v>568</v>
      </c>
      <c r="R4" s="325" t="s">
        <v>575</v>
      </c>
      <c r="S4" s="325" t="s">
        <v>569</v>
      </c>
      <c r="T4" s="325"/>
      <c r="U4" s="325"/>
      <c r="V4" s="325"/>
      <c r="W4" s="259"/>
      <c r="X4" s="259"/>
      <c r="Y4" s="259"/>
      <c r="Z4" s="259"/>
    </row>
    <row r="5" spans="1:26" s="5" customFormat="1">
      <c r="A5" s="465">
        <f>'1-συμβολαια'!A5</f>
        <v>0</v>
      </c>
      <c r="B5" s="324" t="str">
        <f>'1-συμβολαια'!C5</f>
        <v>χρησικτησία αγροτεμάχιο 193 = 1975 ΑΝΑΔΑΣΜΟΣ εκούσιος</v>
      </c>
      <c r="C5" s="311">
        <f>'1-συμβολαια'!D5</f>
        <v>11.11</v>
      </c>
      <c r="D5" s="312"/>
      <c r="E5" s="312">
        <v>2.93</v>
      </c>
      <c r="F5" s="312">
        <v>10.56</v>
      </c>
      <c r="G5" s="312">
        <f t="shared" si="8"/>
        <v>0.13331999999999999</v>
      </c>
      <c r="H5" s="312">
        <f t="shared" si="9"/>
        <v>13.62332</v>
      </c>
      <c r="I5" s="312">
        <f t="shared" si="10"/>
        <v>0.9623988</v>
      </c>
      <c r="J5" s="312">
        <f t="shared" si="11"/>
        <v>0.14650000000000002</v>
      </c>
      <c r="K5" s="312">
        <f t="shared" si="12"/>
        <v>0.68116600000000005</v>
      </c>
      <c r="L5" s="311">
        <f t="shared" si="13"/>
        <v>0.1362332</v>
      </c>
      <c r="M5" s="311">
        <f t="shared" si="14"/>
        <v>11.697022</v>
      </c>
      <c r="N5" s="311">
        <f t="shared" si="15"/>
        <v>2.93</v>
      </c>
      <c r="O5" s="311">
        <f t="shared" si="16"/>
        <v>1.9262980000000001</v>
      </c>
      <c r="P5" s="325"/>
      <c r="Q5" s="325" t="s">
        <v>568</v>
      </c>
      <c r="R5" s="325" t="s">
        <v>575</v>
      </c>
      <c r="S5" s="325" t="s">
        <v>569</v>
      </c>
      <c r="T5" s="325"/>
      <c r="U5" s="325"/>
      <c r="V5" s="325"/>
      <c r="W5" s="259"/>
      <c r="X5" s="259"/>
      <c r="Y5" s="259"/>
      <c r="Z5" s="259"/>
    </row>
    <row r="6" spans="1:26" s="5" customFormat="1" ht="12" thickBot="1">
      <c r="A6" s="467">
        <f>'1-συμβολαια'!A6</f>
        <v>0</v>
      </c>
      <c r="B6" s="468" t="str">
        <f>'1-συμβολαια'!C6</f>
        <v>χρησικτησία αγροτεμάχιο 279 = 1975 ΑΝΑΔΑΣΜΟΣ εκούσιος</v>
      </c>
      <c r="C6" s="469">
        <f>'1-συμβολαια'!D6</f>
        <v>222.22</v>
      </c>
      <c r="D6" s="471"/>
      <c r="E6" s="471">
        <v>2.93</v>
      </c>
      <c r="F6" s="471">
        <v>10.56</v>
      </c>
      <c r="G6" s="471">
        <f t="shared" si="8"/>
        <v>2.6666400000000001</v>
      </c>
      <c r="H6" s="471">
        <f t="shared" si="9"/>
        <v>16.156639999999999</v>
      </c>
      <c r="I6" s="471">
        <f t="shared" si="10"/>
        <v>1.1903975999999998</v>
      </c>
      <c r="J6" s="471">
        <f t="shared" si="11"/>
        <v>0.14650000000000002</v>
      </c>
      <c r="K6" s="471">
        <f t="shared" si="12"/>
        <v>0.80783199999999999</v>
      </c>
      <c r="L6" s="469">
        <f t="shared" si="13"/>
        <v>0.1615664</v>
      </c>
      <c r="M6" s="469">
        <f t="shared" si="14"/>
        <v>13.850344</v>
      </c>
      <c r="N6" s="469">
        <f t="shared" si="15"/>
        <v>2.93</v>
      </c>
      <c r="O6" s="469">
        <f t="shared" si="16"/>
        <v>2.3062959999999997</v>
      </c>
      <c r="P6" s="518"/>
      <c r="Q6" s="518" t="s">
        <v>568</v>
      </c>
      <c r="R6" s="518" t="s">
        <v>575</v>
      </c>
      <c r="S6" s="518" t="s">
        <v>569</v>
      </c>
      <c r="T6" s="518"/>
      <c r="U6" s="518"/>
      <c r="V6" s="325"/>
      <c r="W6" s="259"/>
      <c r="X6" s="259"/>
      <c r="Y6" s="259"/>
      <c r="Z6" s="259"/>
    </row>
    <row r="7" spans="1:26" s="5" customFormat="1">
      <c r="A7" s="476" t="str">
        <f>'1-συμβολαια'!A7</f>
        <v>2ο</v>
      </c>
      <c r="B7" s="346" t="str">
        <f>'1-συμβολαια'!C7</f>
        <v>κληρονομιάς ΑΠΟΔΟΧΗ</v>
      </c>
      <c r="C7" s="319">
        <f>'1-συμβολαια'!D7</f>
        <v>0</v>
      </c>
      <c r="D7" s="313">
        <v>29.35</v>
      </c>
      <c r="E7" s="313"/>
      <c r="F7" s="313"/>
      <c r="G7" s="313">
        <f t="shared" si="8"/>
        <v>0</v>
      </c>
      <c r="H7" s="313">
        <f t="shared" si="9"/>
        <v>29.35</v>
      </c>
      <c r="I7" s="313">
        <f t="shared" si="10"/>
        <v>0</v>
      </c>
      <c r="J7" s="313">
        <f t="shared" si="11"/>
        <v>1.4675000000000002</v>
      </c>
      <c r="K7" s="313">
        <f t="shared" si="12"/>
        <v>1.4675000000000002</v>
      </c>
      <c r="L7" s="319">
        <f t="shared" si="13"/>
        <v>0.29350000000000004</v>
      </c>
      <c r="M7" s="319">
        <f t="shared" si="14"/>
        <v>26.121500000000001</v>
      </c>
      <c r="N7" s="319">
        <f t="shared" si="15"/>
        <v>29.35</v>
      </c>
      <c r="O7" s="319">
        <f t="shared" si="16"/>
        <v>3.2285000000000004</v>
      </c>
      <c r="P7" s="516"/>
      <c r="Q7" s="516"/>
      <c r="R7" s="516"/>
      <c r="S7" s="516"/>
      <c r="T7" s="516"/>
      <c r="U7" s="516"/>
      <c r="V7" s="325"/>
      <c r="W7" s="259"/>
      <c r="X7" s="259"/>
      <c r="Y7" s="259"/>
      <c r="Z7" s="259"/>
    </row>
    <row r="8" spans="1:26" s="5" customFormat="1">
      <c r="A8" s="477">
        <f>'1-συμβολαια'!A8</f>
        <v>0</v>
      </c>
      <c r="B8" s="324" t="str">
        <f>'1-συμβολαια'!C8</f>
        <v>χρησικτησία οικοπεδου &amp; οικίας &amp; αποθήκης = 27/7/87 πατρός ΚΛΗΡΟΝΟΜΙΑ άτυπος</v>
      </c>
      <c r="C8" s="311">
        <f>'1-συμβολαια'!D8</f>
        <v>11111.11</v>
      </c>
      <c r="D8" s="312"/>
      <c r="E8" s="312">
        <v>2.93</v>
      </c>
      <c r="F8" s="312">
        <v>10.56</v>
      </c>
      <c r="G8" s="312">
        <f t="shared" ref="G8" si="17">C8*1.2%</f>
        <v>133.33332000000001</v>
      </c>
      <c r="H8" s="312">
        <f t="shared" ref="H8" si="18">D8+E8+F8+G8</f>
        <v>146.82332000000002</v>
      </c>
      <c r="I8" s="312">
        <f t="shared" ref="I8" si="19">(F8+G8)*9%</f>
        <v>12.9503988</v>
      </c>
      <c r="J8" s="312">
        <f t="shared" ref="J8" si="20">(D8+E8)*5%</f>
        <v>0.14650000000000002</v>
      </c>
      <c r="K8" s="312">
        <f t="shared" ref="K8" si="21">H8*5%</f>
        <v>7.3411660000000012</v>
      </c>
      <c r="L8" s="311">
        <f t="shared" ref="L8" si="22">H8*1%</f>
        <v>1.4682332000000002</v>
      </c>
      <c r="M8" s="311">
        <f t="shared" ref="M8" si="23">H8-O8</f>
        <v>124.91702200000003</v>
      </c>
      <c r="N8" s="311">
        <f t="shared" ref="N8" si="24">D8+E8</f>
        <v>2.93</v>
      </c>
      <c r="O8" s="311">
        <f t="shared" ref="O8" si="25">I8+J8+K8+L8</f>
        <v>21.906298</v>
      </c>
      <c r="P8" s="325"/>
      <c r="Q8" s="325" t="s">
        <v>568</v>
      </c>
      <c r="R8" s="325" t="s">
        <v>575</v>
      </c>
      <c r="S8" s="325" t="s">
        <v>569</v>
      </c>
      <c r="T8" s="325"/>
      <c r="U8" s="325"/>
      <c r="V8" s="325"/>
      <c r="W8" s="259"/>
      <c r="X8" s="259"/>
      <c r="Y8" s="259"/>
      <c r="Z8" s="259"/>
    </row>
    <row r="9" spans="1:26" s="5" customFormat="1">
      <c r="A9" s="477">
        <f>'1-συμβολαια'!A9</f>
        <v>0</v>
      </c>
      <c r="B9" s="324" t="str">
        <f>'1-συμβολαια'!C9</f>
        <v>χρησικτησία αγροτεμάχιο 193 = 27/7/87 πατρός ΚΛΗΡΟΝΟΜΙΑ άτυπος</v>
      </c>
      <c r="C9" s="311">
        <f>'1-συμβολαια'!D9</f>
        <v>11.11</v>
      </c>
      <c r="D9" s="312"/>
      <c r="E9" s="312">
        <v>2.93</v>
      </c>
      <c r="F9" s="312">
        <v>10.56</v>
      </c>
      <c r="G9" s="312">
        <f t="shared" si="8"/>
        <v>0.13331999999999999</v>
      </c>
      <c r="H9" s="312">
        <f t="shared" si="9"/>
        <v>13.62332</v>
      </c>
      <c r="I9" s="312">
        <f t="shared" si="10"/>
        <v>0.9623988</v>
      </c>
      <c r="J9" s="312">
        <f t="shared" si="11"/>
        <v>0.14650000000000002</v>
      </c>
      <c r="K9" s="312">
        <f t="shared" si="12"/>
        <v>0.68116600000000005</v>
      </c>
      <c r="L9" s="311">
        <f t="shared" si="13"/>
        <v>0.1362332</v>
      </c>
      <c r="M9" s="311">
        <f t="shared" si="14"/>
        <v>11.697022</v>
      </c>
      <c r="N9" s="311">
        <f t="shared" si="15"/>
        <v>2.93</v>
      </c>
      <c r="O9" s="311">
        <f t="shared" si="16"/>
        <v>1.9262980000000001</v>
      </c>
      <c r="P9" s="325"/>
      <c r="Q9" s="325" t="s">
        <v>568</v>
      </c>
      <c r="R9" s="325" t="s">
        <v>575</v>
      </c>
      <c r="S9" s="325" t="s">
        <v>569</v>
      </c>
      <c r="T9" s="325"/>
      <c r="U9" s="325"/>
      <c r="V9" s="325"/>
      <c r="W9" s="259"/>
      <c r="X9" s="259"/>
      <c r="Y9" s="259"/>
      <c r="Z9" s="259"/>
    </row>
    <row r="10" spans="1:26" s="5" customFormat="1" ht="12" thickBot="1">
      <c r="A10" s="478">
        <f>'1-συμβολαια'!A10</f>
        <v>0</v>
      </c>
      <c r="B10" s="468" t="str">
        <f>'1-συμβολαια'!C10</f>
        <v>χρησικτησία αγροτεμάχιο 279 = 27/7/87 πατρός ΚΛΗΡΟΝΟΜΙΑ άτυπος</v>
      </c>
      <c r="C10" s="469">
        <f>'1-συμβολαια'!D10</f>
        <v>222.22</v>
      </c>
      <c r="D10" s="471"/>
      <c r="E10" s="471">
        <v>2.93</v>
      </c>
      <c r="F10" s="471">
        <v>10.56</v>
      </c>
      <c r="G10" s="471">
        <f t="shared" si="8"/>
        <v>2.6666400000000001</v>
      </c>
      <c r="H10" s="471">
        <f t="shared" si="9"/>
        <v>16.156639999999999</v>
      </c>
      <c r="I10" s="471">
        <f t="shared" si="10"/>
        <v>1.1903975999999998</v>
      </c>
      <c r="J10" s="471">
        <f t="shared" si="11"/>
        <v>0.14650000000000002</v>
      </c>
      <c r="K10" s="471">
        <f t="shared" si="12"/>
        <v>0.80783199999999999</v>
      </c>
      <c r="L10" s="469">
        <f t="shared" si="13"/>
        <v>0.1615664</v>
      </c>
      <c r="M10" s="469">
        <f t="shared" si="14"/>
        <v>13.850344</v>
      </c>
      <c r="N10" s="469">
        <f t="shared" si="15"/>
        <v>2.93</v>
      </c>
      <c r="O10" s="469">
        <f t="shared" si="16"/>
        <v>2.3062959999999997</v>
      </c>
      <c r="P10" s="518"/>
      <c r="Q10" s="518" t="s">
        <v>568</v>
      </c>
      <c r="R10" s="518" t="s">
        <v>575</v>
      </c>
      <c r="S10" s="518" t="s">
        <v>569</v>
      </c>
      <c r="T10" s="518"/>
      <c r="U10" s="518"/>
      <c r="V10" s="325"/>
      <c r="W10" s="259"/>
      <c r="X10" s="259"/>
      <c r="Y10" s="259"/>
      <c r="Z10" s="259"/>
    </row>
    <row r="11" spans="1:26" s="5" customFormat="1" ht="12" thickBot="1">
      <c r="A11" s="480" t="str">
        <f>'1-συμβολαια'!A11</f>
        <v>3ο</v>
      </c>
      <c r="B11" s="497" t="str">
        <f>'1-συμβολαια'!C11</f>
        <v>κάθετος ΣΥΣΤΑΣΗ</v>
      </c>
      <c r="C11" s="483">
        <f>'1-συμβολαια'!D11</f>
        <v>0</v>
      </c>
      <c r="D11" s="484">
        <v>58.69</v>
      </c>
      <c r="E11" s="484"/>
      <c r="F11" s="484"/>
      <c r="G11" s="484">
        <f t="shared" si="8"/>
        <v>0</v>
      </c>
      <c r="H11" s="484">
        <f t="shared" si="9"/>
        <v>58.69</v>
      </c>
      <c r="I11" s="484">
        <f t="shared" si="10"/>
        <v>0</v>
      </c>
      <c r="J11" s="484">
        <f t="shared" si="11"/>
        <v>2.9344999999999999</v>
      </c>
      <c r="K11" s="484">
        <f t="shared" si="12"/>
        <v>2.9344999999999999</v>
      </c>
      <c r="L11" s="483">
        <f t="shared" si="13"/>
        <v>0.58689999999999998</v>
      </c>
      <c r="M11" s="483">
        <f t="shared" si="14"/>
        <v>52.234099999999998</v>
      </c>
      <c r="N11" s="483">
        <f t="shared" si="15"/>
        <v>58.69</v>
      </c>
      <c r="O11" s="483">
        <f t="shared" si="16"/>
        <v>6.4558999999999997</v>
      </c>
      <c r="P11" s="518"/>
      <c r="Q11" s="518"/>
      <c r="R11" s="518"/>
      <c r="S11" s="518"/>
      <c r="T11" s="518"/>
      <c r="U11" s="518"/>
      <c r="V11" s="518"/>
      <c r="W11" s="259"/>
      <c r="X11" s="259"/>
      <c r="Y11" s="259"/>
      <c r="Z11" s="259"/>
    </row>
    <row r="12" spans="1:26" s="5" customFormat="1" ht="12" thickBot="1">
      <c r="A12" s="562" t="str">
        <f>'1-συμβολαια'!A12</f>
        <v>4ο</v>
      </c>
      <c r="B12" s="563" t="str">
        <f>'1-συμβολαια'!C12</f>
        <v>γονική ΨΙΛΗΣ ΚΥΡΙΟΤΗΤΑΣ</v>
      </c>
      <c r="C12" s="529">
        <f>'1-συμβολαια'!D12</f>
        <v>19272.79</v>
      </c>
      <c r="D12" s="504"/>
      <c r="E12" s="504">
        <v>2.93</v>
      </c>
      <c r="F12" s="504">
        <v>10.56</v>
      </c>
      <c r="G12" s="504">
        <f t="shared" si="8"/>
        <v>231.27348000000001</v>
      </c>
      <c r="H12" s="504">
        <f t="shared" si="9"/>
        <v>244.76348000000002</v>
      </c>
      <c r="I12" s="504">
        <f t="shared" si="10"/>
        <v>21.765013199999999</v>
      </c>
      <c r="J12" s="504">
        <f t="shared" si="11"/>
        <v>0.14650000000000002</v>
      </c>
      <c r="K12" s="504">
        <f t="shared" si="12"/>
        <v>12.238174000000001</v>
      </c>
      <c r="L12" s="529">
        <f t="shared" si="13"/>
        <v>2.4476348000000003</v>
      </c>
      <c r="M12" s="529">
        <f t="shared" si="14"/>
        <v>208.166158</v>
      </c>
      <c r="N12" s="529">
        <f t="shared" si="15"/>
        <v>2.93</v>
      </c>
      <c r="O12" s="529">
        <f t="shared" si="16"/>
        <v>36.597322000000005</v>
      </c>
      <c r="P12" s="576"/>
      <c r="Q12" s="576" t="s">
        <v>568</v>
      </c>
      <c r="R12" s="576"/>
      <c r="S12" s="576" t="s">
        <v>569</v>
      </c>
      <c r="T12" s="576"/>
      <c r="U12" s="576"/>
      <c r="V12" s="576" t="s">
        <v>570</v>
      </c>
      <c r="W12" s="519"/>
      <c r="X12" s="519"/>
      <c r="Y12" s="519"/>
      <c r="Z12" s="519"/>
    </row>
    <row r="13" spans="1:26" s="5" customFormat="1" ht="12" thickBot="1">
      <c r="A13" s="480" t="str">
        <f>'1-συμβολαια'!A13</f>
        <v>5ο</v>
      </c>
      <c r="B13" s="497" t="str">
        <f>'1-συμβολαια'!C13</f>
        <v>πληρεξούσιο</v>
      </c>
      <c r="C13" s="483">
        <f>'1-συμβολαια'!D13</f>
        <v>0</v>
      </c>
      <c r="D13" s="484">
        <v>8.8000000000000007</v>
      </c>
      <c r="E13" s="484"/>
      <c r="F13" s="484"/>
      <c r="G13" s="484">
        <f t="shared" si="8"/>
        <v>0</v>
      </c>
      <c r="H13" s="484">
        <f t="shared" si="9"/>
        <v>8.8000000000000007</v>
      </c>
      <c r="I13" s="484">
        <f t="shared" si="10"/>
        <v>0</v>
      </c>
      <c r="J13" s="484">
        <f t="shared" si="11"/>
        <v>0.44000000000000006</v>
      </c>
      <c r="K13" s="484">
        <f t="shared" si="12"/>
        <v>0.44000000000000006</v>
      </c>
      <c r="L13" s="483">
        <f t="shared" si="13"/>
        <v>8.8000000000000009E-2</v>
      </c>
      <c r="M13" s="483">
        <f t="shared" si="14"/>
        <v>7.8320000000000007</v>
      </c>
      <c r="N13" s="483">
        <f t="shared" si="15"/>
        <v>8.8000000000000007</v>
      </c>
      <c r="O13" s="483">
        <f t="shared" si="16"/>
        <v>0.96800000000000008</v>
      </c>
      <c r="P13" s="577"/>
      <c r="Q13" s="577"/>
      <c r="R13" s="577"/>
      <c r="S13" s="577"/>
      <c r="T13" s="577"/>
      <c r="U13" s="577"/>
      <c r="V13" s="577"/>
      <c r="W13" s="517"/>
      <c r="X13" s="517"/>
      <c r="Y13" s="517"/>
      <c r="Z13" s="517"/>
    </row>
    <row r="14" spans="1:26" s="5" customFormat="1">
      <c r="A14" s="672" t="str">
        <f>'1-συμβολαια'!A14</f>
        <v>6ο</v>
      </c>
      <c r="B14" s="346" t="str">
        <f>'1-συμβολαια'!C14</f>
        <v>μίσθωση αγροτεμαχίων 15 έτη { έως 19/1/2019 }</v>
      </c>
      <c r="C14" s="319">
        <f>'1-συμβολαια'!D14</f>
        <v>8109</v>
      </c>
      <c r="D14" s="313"/>
      <c r="E14" s="313">
        <v>2.93</v>
      </c>
      <c r="F14" s="313">
        <v>10.56</v>
      </c>
      <c r="G14" s="313">
        <f t="shared" si="8"/>
        <v>97.308000000000007</v>
      </c>
      <c r="H14" s="313">
        <f t="shared" si="9"/>
        <v>110.798</v>
      </c>
      <c r="I14" s="313">
        <f t="shared" si="10"/>
        <v>9.708120000000001</v>
      </c>
      <c r="J14" s="313">
        <f t="shared" si="11"/>
        <v>0.14650000000000002</v>
      </c>
      <c r="K14" s="313">
        <f t="shared" si="12"/>
        <v>5.5399000000000003</v>
      </c>
      <c r="L14" s="319">
        <f t="shared" si="13"/>
        <v>1.10798</v>
      </c>
      <c r="M14" s="319">
        <f t="shared" si="14"/>
        <v>94.295500000000004</v>
      </c>
      <c r="N14" s="319">
        <f t="shared" si="15"/>
        <v>2.93</v>
      </c>
      <c r="O14" s="319">
        <f t="shared" si="16"/>
        <v>16.502500000000001</v>
      </c>
      <c r="P14" s="516"/>
      <c r="Q14" s="325" t="s">
        <v>568</v>
      </c>
      <c r="R14" s="516"/>
      <c r="S14" s="516" t="s">
        <v>600</v>
      </c>
      <c r="T14" s="516"/>
      <c r="U14" s="516"/>
      <c r="V14" s="516"/>
      <c r="W14" s="259"/>
      <c r="X14" s="259"/>
      <c r="Y14" s="259"/>
      <c r="Z14" s="259"/>
    </row>
    <row r="15" spans="1:26" s="5" customFormat="1">
      <c r="A15" s="465">
        <f>'1-συμβολαια'!A15</f>
        <v>0</v>
      </c>
      <c r="B15" s="324" t="str">
        <f>'1-συμβολαια'!C15</f>
        <v>ΧΡΗΣΙΚΤΗΣΙΑ αγροτεμαχίων 2'-3' = 19?? ΑΝΑΔΑΣΜΟΣ</v>
      </c>
      <c r="C15" s="311">
        <f>'1-συμβολαια'!D15</f>
        <v>444.44</v>
      </c>
      <c r="D15" s="312"/>
      <c r="E15" s="312">
        <v>2.93</v>
      </c>
      <c r="F15" s="312">
        <v>10.56</v>
      </c>
      <c r="G15" s="312">
        <f t="shared" si="8"/>
        <v>5.3332800000000002</v>
      </c>
      <c r="H15" s="312">
        <f t="shared" si="9"/>
        <v>18.82328</v>
      </c>
      <c r="I15" s="312">
        <f t="shared" si="10"/>
        <v>1.4303952</v>
      </c>
      <c r="J15" s="312">
        <f t="shared" si="11"/>
        <v>0.14650000000000002</v>
      </c>
      <c r="K15" s="312">
        <f t="shared" si="12"/>
        <v>0.94116400000000011</v>
      </c>
      <c r="L15" s="311">
        <f t="shared" si="13"/>
        <v>0.18823280000000001</v>
      </c>
      <c r="M15" s="311">
        <f t="shared" si="14"/>
        <v>16.116987999999999</v>
      </c>
      <c r="N15" s="311">
        <f t="shared" si="15"/>
        <v>2.93</v>
      </c>
      <c r="O15" s="311">
        <f t="shared" si="16"/>
        <v>2.7062920000000004</v>
      </c>
      <c r="P15" s="325"/>
      <c r="Q15" s="325" t="s">
        <v>568</v>
      </c>
      <c r="R15" s="325" t="s">
        <v>575</v>
      </c>
      <c r="S15" s="325" t="s">
        <v>569</v>
      </c>
      <c r="T15" s="325"/>
      <c r="U15" s="325"/>
      <c r="V15" s="325"/>
      <c r="W15" s="259"/>
      <c r="X15" s="259"/>
      <c r="Y15" s="259"/>
      <c r="Z15" s="259"/>
    </row>
    <row r="16" spans="1:26" s="5" customFormat="1">
      <c r="A16" s="465">
        <f>'1-συμβολαια'!A16</f>
        <v>0</v>
      </c>
      <c r="B16" s="324" t="str">
        <f>'1-συμβολαια'!C16</f>
        <v>ΧΡΗΣΙΚΤΗΣΙΑ αγροτεμαχίων υπόλοιπων 12 = πατρός 19?? ΔΩΡΕΕΣ &amp; ΚΛΗΡΟΝΟΜΙΕΣ άτυπες</v>
      </c>
      <c r="C16" s="311">
        <f>'1-συμβολαια'!D16</f>
        <v>2222.2199999999998</v>
      </c>
      <c r="D16" s="312"/>
      <c r="E16" s="312">
        <v>2.93</v>
      </c>
      <c r="F16" s="312">
        <v>10.56</v>
      </c>
      <c r="G16" s="312">
        <f t="shared" ref="G16:G21" si="26">C16*1.2%</f>
        <v>26.666639999999997</v>
      </c>
      <c r="H16" s="312">
        <f t="shared" ref="H16:H21" si="27">D16+E16+F16+G16</f>
        <v>40.156639999999996</v>
      </c>
      <c r="I16" s="312">
        <f t="shared" ref="I16:I21" si="28">(F16+G16)*9%</f>
        <v>3.3503975999999995</v>
      </c>
      <c r="J16" s="312">
        <f t="shared" ref="J16:J21" si="29">(D16+E16)*5%</f>
        <v>0.14650000000000002</v>
      </c>
      <c r="K16" s="312">
        <f t="shared" ref="K16:K21" si="30">H16*5%</f>
        <v>2.0078320000000001</v>
      </c>
      <c r="L16" s="311">
        <f t="shared" ref="L16:L21" si="31">H16*1%</f>
        <v>0.40156639999999999</v>
      </c>
      <c r="M16" s="311">
        <f t="shared" ref="M16:M21" si="32">H16-O16</f>
        <v>34.250343999999998</v>
      </c>
      <c r="N16" s="311">
        <f t="shared" ref="N16:N21" si="33">D16+E16</f>
        <v>2.93</v>
      </c>
      <c r="O16" s="311">
        <f t="shared" ref="O16:O21" si="34">I16+J16+K16+L16</f>
        <v>5.9062959999999993</v>
      </c>
      <c r="P16" s="325"/>
      <c r="Q16" s="325" t="s">
        <v>568</v>
      </c>
      <c r="R16" s="325" t="s">
        <v>575</v>
      </c>
      <c r="S16" s="325" t="s">
        <v>569</v>
      </c>
      <c r="T16" s="325"/>
      <c r="U16" s="325"/>
      <c r="V16" s="325"/>
      <c r="W16" s="259"/>
      <c r="X16" s="259"/>
      <c r="Y16" s="259"/>
      <c r="Z16" s="259"/>
    </row>
    <row r="17" spans="1:26" s="5" customFormat="1" ht="12" thickBot="1">
      <c r="A17" s="467">
        <f>'1-συμβολαια'!A17</f>
        <v>0</v>
      </c>
      <c r="B17" s="468" t="str">
        <f>'1-συμβολαια'!C17</f>
        <v>μίσθωση = ΠΑΓΙΑ ως νέος αγρότης</v>
      </c>
      <c r="C17" s="469">
        <f>'1-συμβολαια'!D17</f>
        <v>11111.11</v>
      </c>
      <c r="D17" s="471"/>
      <c r="E17" s="471">
        <v>2.93</v>
      </c>
      <c r="F17" s="471">
        <v>10.56</v>
      </c>
      <c r="G17" s="471">
        <f t="shared" si="26"/>
        <v>133.33332000000001</v>
      </c>
      <c r="H17" s="471">
        <f t="shared" si="27"/>
        <v>146.82332000000002</v>
      </c>
      <c r="I17" s="471">
        <f t="shared" si="28"/>
        <v>12.9503988</v>
      </c>
      <c r="J17" s="471">
        <f t="shared" si="29"/>
        <v>0.14650000000000002</v>
      </c>
      <c r="K17" s="471">
        <f t="shared" si="30"/>
        <v>7.3411660000000012</v>
      </c>
      <c r="L17" s="469">
        <f t="shared" si="31"/>
        <v>1.4682332000000002</v>
      </c>
      <c r="M17" s="469">
        <f t="shared" si="32"/>
        <v>124.91702200000003</v>
      </c>
      <c r="N17" s="469">
        <f t="shared" si="33"/>
        <v>2.93</v>
      </c>
      <c r="O17" s="469">
        <f t="shared" si="34"/>
        <v>21.906298</v>
      </c>
      <c r="P17" s="518"/>
      <c r="Q17" s="518"/>
      <c r="R17" s="518"/>
      <c r="S17" s="518"/>
      <c r="T17" s="518"/>
      <c r="U17" s="518"/>
      <c r="V17" s="325"/>
      <c r="W17" s="259"/>
      <c r="X17" s="259"/>
      <c r="Y17" s="259"/>
      <c r="Z17" s="259"/>
    </row>
    <row r="18" spans="1:26" s="5" customFormat="1" ht="12" thickBot="1">
      <c r="A18" s="480" t="str">
        <f>'1-συμβολαια'!A18</f>
        <v>7ο</v>
      </c>
      <c r="B18" s="497" t="str">
        <f>'1-συμβολαια'!C18</f>
        <v>*καθετου συστάσεως 2.539 ΔΙΟΡΘΩΣΗ</v>
      </c>
      <c r="C18" s="483">
        <f>'1-συμβολαια'!D18</f>
        <v>0</v>
      </c>
      <c r="D18" s="484">
        <v>8.8000000000000007</v>
      </c>
      <c r="E18" s="484"/>
      <c r="F18" s="484"/>
      <c r="G18" s="484">
        <f t="shared" si="26"/>
        <v>0</v>
      </c>
      <c r="H18" s="484">
        <f t="shared" si="27"/>
        <v>8.8000000000000007</v>
      </c>
      <c r="I18" s="484">
        <f t="shared" si="28"/>
        <v>0</v>
      </c>
      <c r="J18" s="484">
        <f t="shared" si="29"/>
        <v>0.44000000000000006</v>
      </c>
      <c r="K18" s="484">
        <f t="shared" si="30"/>
        <v>0.44000000000000006</v>
      </c>
      <c r="L18" s="483">
        <f t="shared" si="31"/>
        <v>8.8000000000000009E-2</v>
      </c>
      <c r="M18" s="483">
        <f t="shared" si="32"/>
        <v>7.8320000000000007</v>
      </c>
      <c r="N18" s="483">
        <f t="shared" si="33"/>
        <v>8.8000000000000007</v>
      </c>
      <c r="O18" s="483">
        <f t="shared" si="34"/>
        <v>0.96800000000000008</v>
      </c>
      <c r="P18" s="576"/>
      <c r="Q18" s="576"/>
      <c r="R18" s="576"/>
      <c r="S18" s="576"/>
      <c r="T18" s="576"/>
      <c r="U18" s="576"/>
      <c r="V18" s="518"/>
      <c r="W18" s="259"/>
      <c r="X18" s="259"/>
      <c r="Y18" s="259"/>
      <c r="Z18" s="259"/>
    </row>
    <row r="19" spans="1:26" s="5" customFormat="1" ht="12" thickBot="1">
      <c r="A19" s="480" t="str">
        <f>'1-συμβολαια'!A19</f>
        <v>8ο</v>
      </c>
      <c r="B19" s="497" t="str">
        <f>'1-συμβολαια'!C19</f>
        <v>*γονικής 2.540 ΔΙΟΡΘΩΣΗ</v>
      </c>
      <c r="C19" s="483">
        <f>'1-συμβολαια'!D19</f>
        <v>0</v>
      </c>
      <c r="D19" s="484">
        <v>8.8000000000000007</v>
      </c>
      <c r="E19" s="484"/>
      <c r="F19" s="484"/>
      <c r="G19" s="484">
        <f t="shared" si="26"/>
        <v>0</v>
      </c>
      <c r="H19" s="484">
        <f t="shared" si="27"/>
        <v>8.8000000000000007</v>
      </c>
      <c r="I19" s="484">
        <f t="shared" si="28"/>
        <v>0</v>
      </c>
      <c r="J19" s="484">
        <f t="shared" si="29"/>
        <v>0.44000000000000006</v>
      </c>
      <c r="K19" s="484">
        <f t="shared" si="30"/>
        <v>0.44000000000000006</v>
      </c>
      <c r="L19" s="483">
        <f t="shared" si="31"/>
        <v>8.8000000000000009E-2</v>
      </c>
      <c r="M19" s="483">
        <f t="shared" si="32"/>
        <v>7.8320000000000007</v>
      </c>
      <c r="N19" s="483">
        <f t="shared" si="33"/>
        <v>8.8000000000000007</v>
      </c>
      <c r="O19" s="483">
        <f t="shared" si="34"/>
        <v>0.96800000000000008</v>
      </c>
      <c r="P19" s="577"/>
      <c r="Q19" s="577"/>
      <c r="R19" s="577"/>
      <c r="S19" s="577"/>
      <c r="T19" s="577"/>
      <c r="U19" s="577"/>
      <c r="V19" s="516"/>
      <c r="W19" s="259"/>
      <c r="X19" s="259"/>
      <c r="Y19" s="259"/>
      <c r="Z19" s="259"/>
    </row>
    <row r="20" spans="1:26" s="5" customFormat="1">
      <c r="A20" s="672" t="str">
        <f>'1-συμβολαια'!A20</f>
        <v>9ο</v>
      </c>
      <c r="B20" s="346" t="str">
        <f>'1-συμβολαια'!C20</f>
        <v>γονική</v>
      </c>
      <c r="C20" s="319">
        <f>'1-συμβολαια'!D20</f>
        <v>1400</v>
      </c>
      <c r="D20" s="313"/>
      <c r="E20" s="313">
        <v>2.93</v>
      </c>
      <c r="F20" s="313">
        <v>10.56</v>
      </c>
      <c r="G20" s="313">
        <f t="shared" si="26"/>
        <v>16.8</v>
      </c>
      <c r="H20" s="313">
        <f t="shared" si="27"/>
        <v>30.29</v>
      </c>
      <c r="I20" s="313">
        <f t="shared" si="28"/>
        <v>2.4623999999999997</v>
      </c>
      <c r="J20" s="313">
        <f t="shared" si="29"/>
        <v>0.14650000000000002</v>
      </c>
      <c r="K20" s="313">
        <f t="shared" si="30"/>
        <v>1.5145</v>
      </c>
      <c r="L20" s="319">
        <f t="shared" si="31"/>
        <v>0.3029</v>
      </c>
      <c r="M20" s="319">
        <f t="shared" si="32"/>
        <v>25.863699999999998</v>
      </c>
      <c r="N20" s="319">
        <f t="shared" si="33"/>
        <v>2.93</v>
      </c>
      <c r="O20" s="319">
        <f t="shared" si="34"/>
        <v>4.4263000000000003</v>
      </c>
      <c r="P20" s="516"/>
      <c r="Q20" s="516" t="s">
        <v>568</v>
      </c>
      <c r="R20" s="516"/>
      <c r="S20" s="516" t="s">
        <v>600</v>
      </c>
      <c r="T20" s="516"/>
      <c r="U20" s="516"/>
      <c r="V20" s="325"/>
      <c r="W20" s="259"/>
      <c r="X20" s="259"/>
      <c r="Y20" s="259"/>
      <c r="Z20" s="259"/>
    </row>
    <row r="21" spans="1:26" s="5" customFormat="1" ht="12" thickBot="1">
      <c r="A21" s="467">
        <f>'1-συμβολαια'!A21</f>
        <v>0</v>
      </c>
      <c r="B21" s="468" t="str">
        <f>'1-συμβολαια'!C21</f>
        <v>ΧΡΗΣΙΚΤΗΣΙΑ οικοπέδου ΄΄κάστρο'' 52,50μ2 = 1970 κυδωνηςΙωαννης ΔΩΡΕΑ άτυπη</v>
      </c>
      <c r="C21" s="469">
        <f>'1-συμβολαια'!D21</f>
        <v>111.11</v>
      </c>
      <c r="D21" s="471"/>
      <c r="E21" s="471">
        <v>2.93</v>
      </c>
      <c r="F21" s="471">
        <v>10.56</v>
      </c>
      <c r="G21" s="471">
        <f t="shared" si="26"/>
        <v>1.3333200000000001</v>
      </c>
      <c r="H21" s="471">
        <f t="shared" si="27"/>
        <v>14.823320000000001</v>
      </c>
      <c r="I21" s="471">
        <f t="shared" si="28"/>
        <v>1.0703988</v>
      </c>
      <c r="J21" s="471">
        <f t="shared" si="29"/>
        <v>0.14650000000000002</v>
      </c>
      <c r="K21" s="471">
        <f t="shared" si="30"/>
        <v>0.7411660000000001</v>
      </c>
      <c r="L21" s="469">
        <f t="shared" si="31"/>
        <v>0.14823320000000001</v>
      </c>
      <c r="M21" s="469">
        <f t="shared" si="32"/>
        <v>12.717022</v>
      </c>
      <c r="N21" s="469">
        <f t="shared" si="33"/>
        <v>2.93</v>
      </c>
      <c r="O21" s="469">
        <f t="shared" si="34"/>
        <v>2.1062980000000002</v>
      </c>
      <c r="P21" s="518"/>
      <c r="Q21" s="518" t="s">
        <v>568</v>
      </c>
      <c r="R21" s="518" t="s">
        <v>575</v>
      </c>
      <c r="S21" s="518" t="s">
        <v>569</v>
      </c>
      <c r="T21" s="518"/>
      <c r="U21" s="518"/>
      <c r="V21" s="518"/>
      <c r="W21" s="259"/>
      <c r="X21" s="259"/>
      <c r="Y21" s="259"/>
      <c r="Z21" s="259"/>
    </row>
    <row r="22" spans="1:26">
      <c r="A22" s="713" t="s">
        <v>56</v>
      </c>
      <c r="B22" s="714"/>
      <c r="C22" s="714"/>
      <c r="D22" s="395">
        <f t="shared" ref="D22:O22" si="35">SUM(D3:D21)</f>
        <v>143.79000000000002</v>
      </c>
      <c r="E22" s="395">
        <f t="shared" si="35"/>
        <v>38.090000000000003</v>
      </c>
      <c r="F22" s="395">
        <f t="shared" si="35"/>
        <v>137.28</v>
      </c>
      <c r="G22" s="395">
        <f t="shared" si="35"/>
        <v>664.31459999999993</v>
      </c>
      <c r="H22" s="395">
        <f t="shared" si="35"/>
        <v>983.47459999999978</v>
      </c>
      <c r="I22" s="395">
        <f t="shared" si="35"/>
        <v>72.14351400000001</v>
      </c>
      <c r="J22" s="395">
        <f t="shared" si="35"/>
        <v>9.0939999999999976</v>
      </c>
      <c r="K22" s="395">
        <f t="shared" si="35"/>
        <v>49.173729999999999</v>
      </c>
      <c r="L22" s="395">
        <f t="shared" si="35"/>
        <v>9.8347459999999991</v>
      </c>
      <c r="M22" s="395">
        <f t="shared" si="35"/>
        <v>843.22861000000023</v>
      </c>
      <c r="N22" s="395">
        <f t="shared" si="35"/>
        <v>181.88000000000011</v>
      </c>
      <c r="O22" s="395">
        <f t="shared" si="35"/>
        <v>140.24599000000001</v>
      </c>
    </row>
    <row r="23" spans="1:26">
      <c r="J23" s="276"/>
      <c r="K23" s="157"/>
      <c r="L23" s="7"/>
      <c r="P23" s="144" t="s">
        <v>383</v>
      </c>
      <c r="Q23" s="118"/>
      <c r="R23" s="118"/>
      <c r="S23" s="118"/>
      <c r="T23" s="118"/>
      <c r="U23" s="118"/>
      <c r="V23" s="118"/>
      <c r="W23" s="118"/>
      <c r="X23" s="118"/>
      <c r="Y23" s="118"/>
    </row>
    <row r="24" spans="1:26">
      <c r="I24" s="157"/>
      <c r="J24" s="157"/>
      <c r="K24" s="157"/>
      <c r="L24" s="7"/>
      <c r="P24" s="124"/>
      <c r="Q24" s="144" t="s">
        <v>384</v>
      </c>
      <c r="R24" s="118"/>
      <c r="S24" s="118"/>
      <c r="T24" s="118"/>
      <c r="U24" s="118"/>
      <c r="V24" s="118"/>
      <c r="W24" s="118"/>
      <c r="X24" s="118"/>
      <c r="Y24" s="124"/>
    </row>
    <row r="25" spans="1:26">
      <c r="P25" s="124"/>
      <c r="Q25" s="124"/>
      <c r="R25" s="118" t="s">
        <v>385</v>
      </c>
      <c r="S25" s="124"/>
      <c r="T25" s="124"/>
      <c r="U25" s="124"/>
      <c r="V25" s="124"/>
      <c r="W25" s="124"/>
      <c r="X25" s="124"/>
      <c r="Y25" s="124"/>
    </row>
    <row r="26" spans="1:26">
      <c r="P26" s="124"/>
      <c r="Q26" s="124"/>
      <c r="R26" s="124"/>
      <c r="S26" s="144" t="s">
        <v>386</v>
      </c>
      <c r="T26" s="124"/>
      <c r="U26" s="124"/>
      <c r="V26" s="124"/>
      <c r="W26" s="124"/>
      <c r="X26" s="124"/>
      <c r="Y26" s="124"/>
    </row>
    <row r="27" spans="1:26">
      <c r="P27" s="124"/>
      <c r="Q27" s="124"/>
      <c r="R27" s="124"/>
      <c r="S27" s="124"/>
      <c r="T27" s="118" t="s">
        <v>387</v>
      </c>
      <c r="U27" s="124"/>
      <c r="V27" s="124"/>
      <c r="W27" s="124"/>
      <c r="X27" s="124"/>
      <c r="Y27" s="124"/>
    </row>
    <row r="28" spans="1:26">
      <c r="P28" s="124"/>
      <c r="Q28" s="124"/>
      <c r="R28" s="118"/>
      <c r="S28" s="118"/>
      <c r="T28" s="124"/>
      <c r="U28" s="144" t="s">
        <v>388</v>
      </c>
      <c r="V28" s="124"/>
      <c r="W28" s="118"/>
      <c r="X28" s="118"/>
      <c r="Y28" s="118"/>
      <c r="Z28" s="118"/>
    </row>
    <row r="29" spans="1:26">
      <c r="P29" s="124"/>
      <c r="Q29" s="124"/>
      <c r="R29" s="118"/>
      <c r="S29" s="118"/>
      <c r="T29" s="124"/>
      <c r="U29" s="124"/>
      <c r="V29" s="118" t="s">
        <v>389</v>
      </c>
      <c r="W29" s="118"/>
      <c r="X29" s="118"/>
      <c r="Y29" s="118"/>
      <c r="Z29" s="124"/>
    </row>
    <row r="30" spans="1:26" ht="15.75">
      <c r="B30" s="277" t="s">
        <v>469</v>
      </c>
      <c r="C30" s="358"/>
      <c r="D30" s="126"/>
      <c r="E30" s="126"/>
      <c r="F30" s="126"/>
      <c r="G30" s="126"/>
      <c r="H30" s="126"/>
      <c r="I30" s="126"/>
      <c r="J30" s="126"/>
      <c r="K30" s="126"/>
      <c r="L30" s="126"/>
      <c r="M30" s="126"/>
      <c r="N30" s="126"/>
      <c r="O30" s="126"/>
      <c r="P30" s="278"/>
      <c r="Q30" s="279"/>
      <c r="R30" s="5"/>
      <c r="S30" s="3"/>
      <c r="T30" s="280"/>
      <c r="U30" s="124"/>
      <c r="V30" s="124"/>
      <c r="W30" s="124"/>
      <c r="X30" s="124"/>
      <c r="Y30" s="124"/>
      <c r="Z30" s="124"/>
    </row>
    <row r="31" spans="1:26" ht="15.75">
      <c r="B31" s="126"/>
      <c r="C31" s="207" t="s">
        <v>470</v>
      </c>
      <c r="D31" s="281"/>
      <c r="E31" s="281"/>
      <c r="F31" s="281"/>
      <c r="G31" s="282"/>
      <c r="H31" s="282"/>
      <c r="I31" s="282"/>
      <c r="J31" s="282"/>
      <c r="K31" s="282"/>
      <c r="L31" s="282"/>
      <c r="M31" s="282"/>
      <c r="N31" s="282"/>
      <c r="O31" s="126"/>
      <c r="P31" s="278">
        <v>0.15</v>
      </c>
      <c r="Q31" s="279">
        <v>2.93</v>
      </c>
      <c r="R31" s="5" t="s">
        <v>394</v>
      </c>
      <c r="S31" s="3"/>
      <c r="T31" s="280">
        <f>Q31-P31</f>
        <v>2.7800000000000002</v>
      </c>
    </row>
    <row r="32" spans="1:26" ht="15.75">
      <c r="B32" s="283"/>
      <c r="C32" s="284"/>
      <c r="D32" s="285" t="s">
        <v>390</v>
      </c>
      <c r="E32" s="285"/>
      <c r="F32" s="285"/>
      <c r="G32" s="285"/>
      <c r="H32" s="286"/>
      <c r="I32" s="286"/>
      <c r="J32" s="286"/>
      <c r="K32" s="286"/>
      <c r="L32" s="286"/>
      <c r="M32" s="286"/>
      <c r="P32" s="157">
        <v>0.44</v>
      </c>
      <c r="Q32" s="276">
        <v>0.56000000000000005</v>
      </c>
      <c r="R32" s="3" t="s">
        <v>395</v>
      </c>
      <c r="S32" s="3"/>
      <c r="T32" s="280">
        <f>Q32-P32</f>
        <v>0.12000000000000005</v>
      </c>
    </row>
    <row r="33" spans="2:24" ht="15.75">
      <c r="B33" s="283"/>
      <c r="C33" s="284"/>
      <c r="D33" s="284"/>
      <c r="E33" s="284"/>
      <c r="F33" s="284"/>
      <c r="G33" s="284"/>
      <c r="H33" s="284"/>
      <c r="I33" s="288"/>
      <c r="J33" s="288"/>
      <c r="K33" s="288"/>
      <c r="L33" s="288"/>
      <c r="M33" s="59"/>
      <c r="O33" s="287">
        <v>0.05</v>
      </c>
      <c r="P33" s="7"/>
      <c r="Q33" s="4">
        <v>0.73</v>
      </c>
      <c r="R33" s="5" t="s">
        <v>132</v>
      </c>
      <c r="S33" s="3"/>
      <c r="T33" s="5"/>
    </row>
    <row r="34" spans="2:24" ht="15.75">
      <c r="B34" s="283"/>
      <c r="C34" s="359" t="s">
        <v>61</v>
      </c>
      <c r="D34" s="212"/>
      <c r="E34" s="282"/>
      <c r="F34" s="282"/>
      <c r="G34" s="288"/>
      <c r="H34" s="288"/>
      <c r="I34" s="288"/>
      <c r="J34" s="289"/>
      <c r="K34" s="284"/>
      <c r="L34" s="284"/>
      <c r="M34" s="288"/>
      <c r="O34" s="287">
        <v>0.05</v>
      </c>
      <c r="P34" s="7"/>
      <c r="Q34" s="4">
        <v>1.47</v>
      </c>
      <c r="R34" s="3" t="s">
        <v>396</v>
      </c>
      <c r="S34" s="3"/>
      <c r="T34" s="3"/>
    </row>
    <row r="35" spans="2:24" ht="15.75">
      <c r="B35" s="283"/>
      <c r="C35" s="284"/>
      <c r="D35" s="205" t="s">
        <v>471</v>
      </c>
      <c r="E35" s="205"/>
      <c r="F35" s="205"/>
      <c r="G35" s="290"/>
      <c r="H35" s="290"/>
      <c r="I35" s="290"/>
      <c r="J35" s="290"/>
      <c r="K35" s="290"/>
      <c r="L35" s="290"/>
      <c r="M35" s="282"/>
      <c r="O35" s="287">
        <v>0.05</v>
      </c>
      <c r="P35" s="7"/>
      <c r="Q35" s="4">
        <v>3.99</v>
      </c>
      <c r="R35" s="5" t="s">
        <v>397</v>
      </c>
      <c r="S35" s="5"/>
      <c r="T35" s="5"/>
    </row>
    <row r="36" spans="2:24" ht="15">
      <c r="B36" s="283"/>
      <c r="C36" s="284"/>
      <c r="D36" s="206" t="s">
        <v>473</v>
      </c>
      <c r="E36" s="206"/>
      <c r="F36" s="206"/>
      <c r="G36" s="206"/>
      <c r="H36" s="290"/>
      <c r="I36" s="290"/>
      <c r="J36" s="290"/>
      <c r="K36" s="290"/>
      <c r="L36" s="290"/>
      <c r="M36" s="290"/>
      <c r="O36" s="287">
        <v>0.05</v>
      </c>
      <c r="P36" s="7"/>
      <c r="Q36" s="4"/>
      <c r="R36" s="5" t="s">
        <v>472</v>
      </c>
      <c r="S36" s="5"/>
      <c r="T36" s="5"/>
      <c r="U36" s="3"/>
      <c r="V36" s="3"/>
      <c r="W36" s="3"/>
      <c r="X36" s="3"/>
    </row>
    <row r="37" spans="2:24" ht="15.75">
      <c r="B37" s="283"/>
      <c r="C37" s="284"/>
      <c r="D37" s="207" t="s">
        <v>393</v>
      </c>
      <c r="E37" s="288"/>
      <c r="F37" s="288"/>
      <c r="G37" s="288"/>
      <c r="H37" s="288"/>
      <c r="I37" s="284"/>
      <c r="J37" s="288"/>
      <c r="K37" s="288"/>
      <c r="L37" s="288"/>
      <c r="M37" s="291"/>
      <c r="O37" s="287">
        <v>0.05</v>
      </c>
      <c r="P37" s="7"/>
      <c r="Q37" s="4"/>
      <c r="R37" s="5" t="s">
        <v>474</v>
      </c>
      <c r="S37" s="5"/>
      <c r="T37" s="5"/>
      <c r="U37" s="3"/>
      <c r="V37" s="3"/>
      <c r="W37" s="3"/>
      <c r="X37" s="3"/>
    </row>
    <row r="38" spans="2:24" ht="15">
      <c r="B38" s="283"/>
      <c r="C38" s="284"/>
      <c r="D38" s="284"/>
      <c r="E38" s="284"/>
      <c r="F38" s="284"/>
      <c r="G38" s="284"/>
      <c r="H38" s="284"/>
      <c r="I38" s="284"/>
      <c r="J38" s="284"/>
      <c r="K38" s="284"/>
      <c r="L38" s="284"/>
      <c r="M38" s="284"/>
      <c r="O38" s="287"/>
      <c r="P38" s="7"/>
      <c r="Q38" s="4"/>
      <c r="R38" s="5"/>
      <c r="S38" s="5"/>
      <c r="T38" s="5"/>
      <c r="U38" s="3"/>
      <c r="V38" s="3"/>
      <c r="W38" s="3"/>
      <c r="X38" s="3"/>
    </row>
    <row r="39" spans="2:24">
      <c r="P39" s="5" t="s">
        <v>475</v>
      </c>
      <c r="Q39" s="5"/>
      <c r="R39" s="5" t="s">
        <v>132</v>
      </c>
      <c r="S39" s="5"/>
      <c r="T39" s="5"/>
    </row>
    <row r="40" spans="2:24">
      <c r="P40" s="5" t="s">
        <v>476</v>
      </c>
      <c r="Q40" s="5"/>
      <c r="R40" s="5" t="s">
        <v>133</v>
      </c>
      <c r="S40" s="5"/>
      <c r="T40" s="5"/>
    </row>
    <row r="41" spans="2:24">
      <c r="D41" s="2">
        <f>3000/340.75</f>
        <v>8.8041085840058688</v>
      </c>
      <c r="P41" s="5" t="s">
        <v>477</v>
      </c>
      <c r="Q41" s="5"/>
      <c r="R41" s="5" t="s">
        <v>134</v>
      </c>
      <c r="S41" s="5"/>
      <c r="T41" s="5"/>
    </row>
    <row r="42" spans="2:24" ht="15">
      <c r="D42" s="2"/>
      <c r="P42" s="4">
        <v>2.2000000000000002</v>
      </c>
      <c r="Q42" s="292"/>
      <c r="R42" s="5" t="s">
        <v>398</v>
      </c>
      <c r="S42" s="5"/>
      <c r="T42" s="5"/>
    </row>
    <row r="43" spans="2:24" ht="15">
      <c r="P43" s="2">
        <v>2.93</v>
      </c>
      <c r="Q43" s="293"/>
      <c r="R43" s="3" t="s">
        <v>399</v>
      </c>
      <c r="S43" s="5"/>
      <c r="T43" s="5"/>
    </row>
    <row r="44" spans="2:24">
      <c r="B44" s="89"/>
      <c r="C44" s="4"/>
      <c r="D44" s="56"/>
      <c r="E44" s="4"/>
      <c r="F44" s="4"/>
      <c r="G44" s="4"/>
      <c r="H44" s="56"/>
      <c r="I44" s="56"/>
      <c r="J44" s="56"/>
      <c r="K44" s="56"/>
      <c r="O44" s="7"/>
      <c r="P44" s="5"/>
      <c r="Q44" s="5"/>
      <c r="R44" s="5"/>
      <c r="S44" s="5"/>
    </row>
    <row r="45" spans="2:24">
      <c r="O45" s="7"/>
      <c r="P45" s="5"/>
      <c r="Q45" s="5"/>
      <c r="R45" s="5"/>
      <c r="S45" s="5"/>
    </row>
    <row r="46" spans="2:24">
      <c r="O46" s="7"/>
      <c r="P46" s="5"/>
      <c r="Q46" s="5"/>
      <c r="R46" s="5"/>
      <c r="S46" s="5"/>
    </row>
  </sheetData>
  <mergeCells count="8">
    <mergeCell ref="P1:Z2"/>
    <mergeCell ref="D1:L1"/>
    <mergeCell ref="A22:C22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6"/>
  <sheetViews>
    <sheetView workbookViewId="0">
      <pane ySplit="2" topLeftCell="A3" activePane="bottomLeft" state="frozen"/>
      <selection pane="bottomLeft" activeCell="J36" sqref="J36"/>
    </sheetView>
  </sheetViews>
  <sheetFormatPr defaultRowHeight="11.25"/>
  <cols>
    <col min="1" max="1" width="11.5703125" style="3" bestFit="1" customWidth="1"/>
    <col min="2" max="2" width="70.140625" style="86" customWidth="1"/>
    <col min="3" max="3" width="16.140625" style="2" bestFit="1" customWidth="1"/>
    <col min="4" max="4" width="5.85546875" style="7" bestFit="1" customWidth="1"/>
    <col min="5" max="5" width="7.85546875" style="7" customWidth="1"/>
    <col min="6" max="6" width="16.28515625" style="2" customWidth="1"/>
    <col min="7" max="7" width="13.7109375" style="2" customWidth="1"/>
    <col min="8" max="8" width="6.28515625" style="79" customWidth="1"/>
    <col min="9" max="9" width="5.5703125" style="79" customWidth="1"/>
    <col min="10" max="10" width="18.85546875" style="79" customWidth="1"/>
    <col min="11" max="12" width="5.5703125" style="79" customWidth="1"/>
    <col min="13" max="13" width="19.7109375" style="79" customWidth="1"/>
    <col min="14" max="14" width="19.7109375" style="7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7" customFormat="1" ht="15.75" customHeight="1">
      <c r="A1" s="760" t="s">
        <v>1</v>
      </c>
      <c r="B1" s="766" t="s">
        <v>0</v>
      </c>
      <c r="C1" s="768" t="s">
        <v>84</v>
      </c>
      <c r="D1" s="762" t="s">
        <v>3</v>
      </c>
      <c r="E1" s="763"/>
      <c r="F1" s="764" t="s">
        <v>521</v>
      </c>
      <c r="G1" s="765"/>
      <c r="H1" s="751" t="s">
        <v>29</v>
      </c>
      <c r="I1" s="752"/>
      <c r="J1" s="752"/>
      <c r="K1" s="752"/>
      <c r="L1" s="752"/>
      <c r="M1" s="752"/>
      <c r="N1" s="753"/>
    </row>
    <row r="2" spans="1:14" s="8" customFormat="1" ht="16.5" thickBot="1">
      <c r="A2" s="761"/>
      <c r="B2" s="767"/>
      <c r="C2" s="769"/>
      <c r="D2" s="46"/>
      <c r="E2" s="57" t="s">
        <v>9</v>
      </c>
      <c r="F2" s="294"/>
      <c r="G2" s="95" t="s">
        <v>9</v>
      </c>
      <c r="H2" s="754"/>
      <c r="I2" s="755"/>
      <c r="J2" s="755"/>
      <c r="K2" s="755"/>
      <c r="L2" s="755"/>
      <c r="M2" s="755"/>
      <c r="N2" s="756"/>
    </row>
    <row r="3" spans="1:14" s="123" customFormat="1" ht="15">
      <c r="A3" s="441" t="str">
        <f>'1-συμβολαια'!A3</f>
        <v>1ο</v>
      </c>
      <c r="B3" s="326" t="str">
        <f>'1-συμβολαια'!C3</f>
        <v>κληρονομιάς ΑΠΟΔΟΧΗ</v>
      </c>
      <c r="C3" s="327">
        <f>'1-συμβολαια'!D3</f>
        <v>0</v>
      </c>
      <c r="D3" s="328">
        <v>3</v>
      </c>
      <c r="E3" s="328">
        <v>3</v>
      </c>
      <c r="F3" s="329">
        <f>(D3-1)*2.35</f>
        <v>4.7</v>
      </c>
      <c r="G3" s="329">
        <f>(E3-1)*2.35</f>
        <v>4.7</v>
      </c>
      <c r="H3" s="325"/>
      <c r="I3" s="325"/>
      <c r="J3" s="325"/>
      <c r="K3" s="330"/>
      <c r="L3" s="330"/>
      <c r="M3" s="330"/>
      <c r="N3" s="330"/>
    </row>
    <row r="4" spans="1:14" s="123" customFormat="1" ht="15">
      <c r="A4" s="442">
        <f>'1-συμβολαια'!A4</f>
        <v>0</v>
      </c>
      <c r="B4" s="352" t="str">
        <f>'1-συμβολαια'!C4</f>
        <v>χρησικτησία οικοπεδου = 194? γεωργούδηΝικολαο ΑΓΟΡΑΠΩΛΗΣΙΑ (ως αγροτεμάχιο) άτυπος</v>
      </c>
      <c r="C4" s="423">
        <f>'1-συμβολαια'!D4</f>
        <v>1111.1099999999999</v>
      </c>
      <c r="D4" s="328">
        <v>3</v>
      </c>
      <c r="E4" s="328"/>
      <c r="F4" s="329">
        <f t="shared" ref="F4:G15" si="0">(D4-1)*2.93</f>
        <v>5.86</v>
      </c>
      <c r="G4" s="338"/>
      <c r="H4" s="325"/>
      <c r="I4" s="325" t="s">
        <v>135</v>
      </c>
      <c r="J4" s="325"/>
      <c r="K4" s="330"/>
      <c r="L4" s="330"/>
      <c r="M4" s="330"/>
      <c r="N4" s="330"/>
    </row>
    <row r="5" spans="1:14" s="123" customFormat="1" ht="15">
      <c r="A5" s="442">
        <f>'1-συμβολαια'!A5</f>
        <v>0</v>
      </c>
      <c r="B5" s="352" t="str">
        <f>'1-συμβολαια'!C5</f>
        <v>χρησικτησία αγροτεμάχιο 193 = 1975 ΑΝΑΔΑΣΜΟΣ εκούσιος</v>
      </c>
      <c r="C5" s="423">
        <f>'1-συμβολαια'!D5</f>
        <v>11.11</v>
      </c>
      <c r="D5" s="328">
        <v>3</v>
      </c>
      <c r="E5" s="328"/>
      <c r="F5" s="329">
        <f t="shared" si="0"/>
        <v>5.86</v>
      </c>
      <c r="G5" s="338"/>
      <c r="H5" s="325"/>
      <c r="I5" s="325" t="s">
        <v>135</v>
      </c>
      <c r="J5" s="325"/>
      <c r="K5" s="330"/>
      <c r="L5" s="330"/>
      <c r="M5" s="330"/>
      <c r="N5" s="330"/>
    </row>
    <row r="6" spans="1:14" s="123" customFormat="1" ht="15.75" thickBot="1">
      <c r="A6" s="445">
        <f>'1-συμβολαια'!A6</f>
        <v>0</v>
      </c>
      <c r="B6" s="446" t="str">
        <f>'1-συμβολαια'!C6</f>
        <v>χρησικτησία αγροτεμάχιο 279 = 1975 ΑΝΑΔΑΣΜΟΣ εκούσιος</v>
      </c>
      <c r="C6" s="447">
        <f>'1-συμβολαια'!D6</f>
        <v>222.22</v>
      </c>
      <c r="D6" s="450">
        <v>3</v>
      </c>
      <c r="E6" s="450"/>
      <c r="F6" s="451">
        <f t="shared" si="0"/>
        <v>5.86</v>
      </c>
      <c r="G6" s="452"/>
      <c r="H6" s="518"/>
      <c r="I6" s="518" t="s">
        <v>135</v>
      </c>
      <c r="J6" s="518"/>
      <c r="K6" s="538"/>
      <c r="L6" s="538"/>
      <c r="M6" s="538"/>
      <c r="N6" s="538"/>
    </row>
    <row r="7" spans="1:14" s="123" customFormat="1" ht="15">
      <c r="A7" s="472" t="str">
        <f>'1-συμβολαια'!A7</f>
        <v>2ο</v>
      </c>
      <c r="B7" s="443" t="str">
        <f>'1-συμβολαια'!C7</f>
        <v>κληρονομιάς ΑΠΟΔΟΧΗ</v>
      </c>
      <c r="C7" s="444">
        <f>'1-συμβολαια'!D7</f>
        <v>0</v>
      </c>
      <c r="D7" s="448">
        <v>3</v>
      </c>
      <c r="E7" s="448">
        <v>3</v>
      </c>
      <c r="F7" s="329">
        <f>(D7-1)*2.35</f>
        <v>4.7</v>
      </c>
      <c r="G7" s="329">
        <f>(E7-1)*2.35</f>
        <v>4.7</v>
      </c>
      <c r="H7" s="516"/>
      <c r="I7" s="325"/>
      <c r="J7" s="516"/>
      <c r="K7" s="535"/>
      <c r="L7" s="535"/>
      <c r="M7" s="535"/>
      <c r="N7" s="535"/>
    </row>
    <row r="8" spans="1:14" s="123" customFormat="1" ht="15">
      <c r="A8" s="473">
        <f>'1-συμβολαια'!A8</f>
        <v>0</v>
      </c>
      <c r="B8" s="352" t="str">
        <f>'1-συμβολαια'!C8</f>
        <v>χρησικτησία οικοπεδου &amp; οικίας &amp; αποθήκης = 27/7/87 πατρός ΚΛΗΡΟΝΟΜΙΑ άτυπος</v>
      </c>
      <c r="C8" s="423">
        <f>'1-συμβολαια'!D8</f>
        <v>11111.11</v>
      </c>
      <c r="D8" s="328">
        <v>3</v>
      </c>
      <c r="E8" s="328"/>
      <c r="F8" s="329">
        <f t="shared" ref="F8" si="1">(D8-1)*2.93</f>
        <v>5.86</v>
      </c>
      <c r="G8" s="338"/>
      <c r="H8" s="325"/>
      <c r="I8" s="325" t="s">
        <v>135</v>
      </c>
      <c r="J8" s="325"/>
      <c r="K8" s="330"/>
      <c r="L8" s="330"/>
      <c r="M8" s="330"/>
      <c r="N8" s="330"/>
    </row>
    <row r="9" spans="1:14" s="123" customFormat="1" ht="15">
      <c r="A9" s="473">
        <f>'1-συμβολαια'!A9</f>
        <v>0</v>
      </c>
      <c r="B9" s="352" t="str">
        <f>'1-συμβολαια'!C9</f>
        <v>χρησικτησία αγροτεμάχιο 193 = 27/7/87 πατρός ΚΛΗΡΟΝΟΜΙΑ άτυπος</v>
      </c>
      <c r="C9" s="423">
        <f>'1-συμβολαια'!D9</f>
        <v>11.11</v>
      </c>
      <c r="D9" s="328">
        <v>3</v>
      </c>
      <c r="E9" s="328"/>
      <c r="F9" s="329">
        <f t="shared" si="0"/>
        <v>5.86</v>
      </c>
      <c r="G9" s="338"/>
      <c r="H9" s="325"/>
      <c r="I9" s="325" t="s">
        <v>135</v>
      </c>
      <c r="J9" s="325"/>
      <c r="K9" s="330"/>
      <c r="L9" s="330"/>
      <c r="M9" s="330"/>
      <c r="N9" s="330"/>
    </row>
    <row r="10" spans="1:14" s="123" customFormat="1" ht="15.75" thickBot="1">
      <c r="A10" s="474">
        <f>'1-συμβολαια'!A10</f>
        <v>0</v>
      </c>
      <c r="B10" s="446" t="str">
        <f>'1-συμβολαια'!C10</f>
        <v>χρησικτησία αγροτεμάχιο 279 = 27/7/87 πατρός ΚΛΗΡΟΝΟΜΙΑ άτυπος</v>
      </c>
      <c r="C10" s="447">
        <f>'1-συμβολαια'!D10</f>
        <v>222.22</v>
      </c>
      <c r="D10" s="450">
        <v>3</v>
      </c>
      <c r="E10" s="450"/>
      <c r="F10" s="451">
        <f t="shared" si="0"/>
        <v>5.86</v>
      </c>
      <c r="G10" s="452"/>
      <c r="H10" s="518"/>
      <c r="I10" s="518" t="s">
        <v>135</v>
      </c>
      <c r="J10" s="518"/>
      <c r="K10" s="538"/>
      <c r="L10" s="538"/>
      <c r="M10" s="538"/>
      <c r="N10" s="538"/>
    </row>
    <row r="11" spans="1:14" s="123" customFormat="1" ht="15.75" thickBot="1">
      <c r="A11" s="485" t="str">
        <f>'1-συμβολαια'!A11</f>
        <v>3ο</v>
      </c>
      <c r="B11" s="486" t="str">
        <f>'1-συμβολαια'!C11</f>
        <v>κάθετος ΣΥΣΤΑΣΗ</v>
      </c>
      <c r="C11" s="487">
        <f>'1-συμβολαια'!D11</f>
        <v>0</v>
      </c>
      <c r="D11" s="488">
        <v>4</v>
      </c>
      <c r="E11" s="488">
        <v>4</v>
      </c>
      <c r="F11" s="489">
        <f>(D11-1)*2.35</f>
        <v>7.0500000000000007</v>
      </c>
      <c r="G11" s="489">
        <f>(E11-1)*2.35</f>
        <v>7.0500000000000007</v>
      </c>
      <c r="H11" s="577"/>
      <c r="I11" s="577"/>
      <c r="J11" s="577"/>
      <c r="K11" s="578"/>
      <c r="L11" s="578"/>
      <c r="M11" s="578"/>
      <c r="N11" s="578"/>
    </row>
    <row r="12" spans="1:14" s="123" customFormat="1" ht="15.75" thickBot="1">
      <c r="A12" s="485" t="str">
        <f>'1-συμβολαια'!A12</f>
        <v>4ο</v>
      </c>
      <c r="B12" s="486" t="str">
        <f>'1-συμβολαια'!C12</f>
        <v>γονική ΨΙΛΗΣ ΚΥΡΙΟΤΗΤΑΣ</v>
      </c>
      <c r="C12" s="487">
        <f>'1-συμβολαια'!D12</f>
        <v>19272.79</v>
      </c>
      <c r="D12" s="488">
        <v>4</v>
      </c>
      <c r="E12" s="488">
        <v>4</v>
      </c>
      <c r="F12" s="489">
        <f t="shared" si="0"/>
        <v>8.7900000000000009</v>
      </c>
      <c r="G12" s="489">
        <f t="shared" si="0"/>
        <v>8.7900000000000009</v>
      </c>
      <c r="H12" s="577"/>
      <c r="I12" s="577"/>
      <c r="J12" s="577"/>
      <c r="K12" s="578"/>
      <c r="L12" s="578"/>
      <c r="M12" s="578"/>
      <c r="N12" s="578"/>
    </row>
    <row r="13" spans="1:14" s="123" customFormat="1" ht="15.75" thickBot="1">
      <c r="A13" s="485" t="str">
        <f>'1-συμβολαια'!A13</f>
        <v>5ο</v>
      </c>
      <c r="B13" s="486" t="str">
        <f>'1-συμβολαια'!C13</f>
        <v>πληρεξούσιο</v>
      </c>
      <c r="C13" s="487">
        <f>'1-συμβολαια'!D13</f>
        <v>0</v>
      </c>
      <c r="D13" s="488">
        <v>3</v>
      </c>
      <c r="E13" s="488">
        <v>3</v>
      </c>
      <c r="F13" s="489">
        <f>(D13-1)*2.35</f>
        <v>4.7</v>
      </c>
      <c r="G13" s="489">
        <f>(E13-1)*2.35</f>
        <v>4.7</v>
      </c>
      <c r="H13" s="577"/>
      <c r="I13" s="577"/>
      <c r="J13" s="577"/>
      <c r="K13" s="578"/>
      <c r="L13" s="578"/>
      <c r="M13" s="578"/>
      <c r="N13" s="578"/>
    </row>
    <row r="14" spans="1:14" s="123" customFormat="1" ht="15">
      <c r="A14" s="671" t="str">
        <f>'1-συμβολαια'!A14</f>
        <v>6ο</v>
      </c>
      <c r="B14" s="443" t="str">
        <f>'1-συμβολαια'!C14</f>
        <v>μίσθωση αγροτεμαχίων 15 έτη { έως 19/1/2019 }</v>
      </c>
      <c r="C14" s="444">
        <f>'1-συμβολαια'!D14</f>
        <v>8109</v>
      </c>
      <c r="D14" s="448">
        <v>4</v>
      </c>
      <c r="E14" s="448">
        <v>4</v>
      </c>
      <c r="F14" s="449">
        <f t="shared" si="0"/>
        <v>8.7900000000000009</v>
      </c>
      <c r="G14" s="449">
        <f t="shared" si="0"/>
        <v>8.7900000000000009</v>
      </c>
      <c r="H14" s="516"/>
      <c r="I14" s="516"/>
      <c r="J14" s="516"/>
      <c r="K14" s="535"/>
      <c r="L14" s="535"/>
      <c r="M14" s="535"/>
      <c r="N14" s="535"/>
    </row>
    <row r="15" spans="1:14" s="123" customFormat="1" ht="15">
      <c r="A15" s="442">
        <f>'1-συμβολαια'!A15</f>
        <v>0</v>
      </c>
      <c r="B15" s="352" t="str">
        <f>'1-συμβολαια'!C15</f>
        <v>ΧΡΗΣΙΚΤΗΣΙΑ αγροτεμαχίων 2'-3' = 19?? ΑΝΑΔΑΣΜΟΣ</v>
      </c>
      <c r="C15" s="423">
        <f>'1-συμβολαια'!D15</f>
        <v>444.44</v>
      </c>
      <c r="D15" s="328">
        <v>4</v>
      </c>
      <c r="E15" s="328"/>
      <c r="F15" s="329">
        <f t="shared" si="0"/>
        <v>8.7900000000000009</v>
      </c>
      <c r="G15" s="338"/>
      <c r="H15" s="325"/>
      <c r="I15" s="325" t="s">
        <v>135</v>
      </c>
      <c r="J15" s="325"/>
      <c r="K15" s="330"/>
      <c r="L15" s="330"/>
      <c r="M15" s="330"/>
      <c r="N15" s="330"/>
    </row>
    <row r="16" spans="1:14" s="123" customFormat="1" ht="15">
      <c r="A16" s="442">
        <f>'1-συμβολαια'!A16</f>
        <v>0</v>
      </c>
      <c r="B16" s="352" t="str">
        <f>'1-συμβολαια'!C16</f>
        <v>ΧΡΗΣΙΚΤΗΣΙΑ αγροτεμαχίων υπόλοιπων 12 = πατρός 19?? ΔΩΡΕΕΣ &amp; ΚΛΗΡΟΝΟΜΙΕΣ άτυπες</v>
      </c>
      <c r="C16" s="423">
        <f>'1-συμβολαια'!D16</f>
        <v>2222.2199999999998</v>
      </c>
      <c r="D16" s="328">
        <v>4</v>
      </c>
      <c r="E16" s="328"/>
      <c r="F16" s="329">
        <f t="shared" ref="F16:F21" si="2">(D16-1)*2.93</f>
        <v>8.7900000000000009</v>
      </c>
      <c r="G16" s="338"/>
      <c r="H16" s="325"/>
      <c r="I16" s="325" t="s">
        <v>135</v>
      </c>
      <c r="J16" s="325"/>
      <c r="K16" s="330"/>
      <c r="L16" s="330"/>
      <c r="M16" s="330"/>
      <c r="N16" s="330"/>
    </row>
    <row r="17" spans="1:14" s="123" customFormat="1" ht="15.75" thickBot="1">
      <c r="A17" s="445">
        <f>'1-συμβολαια'!A17</f>
        <v>0</v>
      </c>
      <c r="B17" s="446" t="str">
        <f>'1-συμβολαια'!C17</f>
        <v>μίσθωση = ΠΑΓΙΑ ως νέος αγρότης</v>
      </c>
      <c r="C17" s="447">
        <f>'1-συμβολαια'!D17</f>
        <v>11111.11</v>
      </c>
      <c r="D17" s="450">
        <v>4</v>
      </c>
      <c r="E17" s="450"/>
      <c r="F17" s="451">
        <f t="shared" si="2"/>
        <v>8.7900000000000009</v>
      </c>
      <c r="G17" s="452"/>
      <c r="H17" s="518"/>
      <c r="I17" s="518" t="s">
        <v>135</v>
      </c>
      <c r="J17" s="518"/>
      <c r="K17" s="538"/>
      <c r="L17" s="538"/>
      <c r="M17" s="538"/>
      <c r="N17" s="538"/>
    </row>
    <row r="18" spans="1:14" s="123" customFormat="1" ht="15.75" thickBot="1">
      <c r="A18" s="485" t="str">
        <f>'1-συμβολαια'!A18</f>
        <v>7ο</v>
      </c>
      <c r="B18" s="486" t="str">
        <f>'1-συμβολαια'!C18</f>
        <v>*καθετου συστάσεως 2.539 ΔΙΟΡΘΩΣΗ</v>
      </c>
      <c r="C18" s="487">
        <f>'1-συμβολαια'!D18</f>
        <v>0</v>
      </c>
      <c r="D18" s="488">
        <v>3</v>
      </c>
      <c r="E18" s="488">
        <v>3</v>
      </c>
      <c r="F18" s="489">
        <f>(D18-1)*2.35</f>
        <v>4.7</v>
      </c>
      <c r="G18" s="704">
        <v>5.86</v>
      </c>
      <c r="H18" s="577"/>
      <c r="I18" s="577"/>
      <c r="J18" s="703" t="s">
        <v>615</v>
      </c>
      <c r="K18" s="578"/>
      <c r="L18" s="578"/>
      <c r="M18" s="578"/>
      <c r="N18" s="578"/>
    </row>
    <row r="19" spans="1:14" s="123" customFormat="1" ht="15.75" thickBot="1">
      <c r="A19" s="485" t="str">
        <f>'1-συμβολαια'!A19</f>
        <v>8ο</v>
      </c>
      <c r="B19" s="486" t="str">
        <f>'1-συμβολαια'!C19</f>
        <v>*γονικής 2.540 ΔΙΟΡΘΩΣΗ</v>
      </c>
      <c r="C19" s="487">
        <f>'1-συμβολαια'!D19</f>
        <v>0</v>
      </c>
      <c r="D19" s="488">
        <v>4</v>
      </c>
      <c r="E19" s="488">
        <v>4</v>
      </c>
      <c r="F19" s="489">
        <f>(D19-1)*2.35</f>
        <v>7.0500000000000007</v>
      </c>
      <c r="G19" s="704">
        <v>8.7899999999999991</v>
      </c>
      <c r="H19" s="577"/>
      <c r="I19" s="577"/>
      <c r="J19" s="703" t="s">
        <v>615</v>
      </c>
      <c r="K19" s="578"/>
      <c r="L19" s="578"/>
      <c r="M19" s="578"/>
      <c r="N19" s="578"/>
    </row>
    <row r="20" spans="1:14" s="123" customFormat="1" ht="15">
      <c r="A20" s="671" t="str">
        <f>'1-συμβολαια'!A20</f>
        <v>9ο</v>
      </c>
      <c r="B20" s="443" t="str">
        <f>'1-συμβολαια'!C20</f>
        <v>γονική</v>
      </c>
      <c r="C20" s="444">
        <f>'1-συμβολαια'!D20</f>
        <v>1400</v>
      </c>
      <c r="D20" s="448">
        <v>5</v>
      </c>
      <c r="E20" s="448">
        <v>5</v>
      </c>
      <c r="F20" s="329">
        <f t="shared" si="2"/>
        <v>11.72</v>
      </c>
      <c r="G20" s="338">
        <f t="shared" ref="G20" si="3">(E20-1)*2.93</f>
        <v>11.72</v>
      </c>
      <c r="H20" s="516"/>
      <c r="I20" s="516"/>
      <c r="J20" s="516"/>
      <c r="K20" s="535"/>
      <c r="L20" s="535"/>
      <c r="M20" s="535"/>
      <c r="N20" s="535"/>
    </row>
    <row r="21" spans="1:14" s="123" customFormat="1" ht="15.75" thickBot="1">
      <c r="A21" s="445">
        <f>'1-συμβολαια'!A21</f>
        <v>0</v>
      </c>
      <c r="B21" s="446" t="str">
        <f>'1-συμβολαια'!C21</f>
        <v>ΧΡΗΣΙΚΤΗΣΙΑ οικοπέδου ΄΄κάστρο'' 52,50μ2 = 1970 κυδωνηςΙωαννης ΔΩΡΕΑ άτυπη</v>
      </c>
      <c r="C21" s="447">
        <f>'1-συμβολαια'!D21</f>
        <v>111.11</v>
      </c>
      <c r="D21" s="450">
        <v>5</v>
      </c>
      <c r="E21" s="450"/>
      <c r="F21" s="451">
        <f t="shared" si="2"/>
        <v>11.72</v>
      </c>
      <c r="G21" s="452"/>
      <c r="H21" s="518"/>
      <c r="I21" s="518" t="s">
        <v>135</v>
      </c>
      <c r="J21" s="518"/>
      <c r="K21" s="538"/>
      <c r="L21" s="538"/>
      <c r="M21" s="538"/>
      <c r="N21" s="538"/>
    </row>
    <row r="22" spans="1:14" ht="15.75">
      <c r="A22" s="757" t="s">
        <v>60</v>
      </c>
      <c r="B22" s="758"/>
      <c r="C22" s="758"/>
      <c r="D22" s="758"/>
      <c r="E22" s="759"/>
      <c r="F22" s="394">
        <f>SUM(F3:F21)</f>
        <v>135.45000000000002</v>
      </c>
      <c r="G22" s="394">
        <f>SUM(G3:G21)</f>
        <v>65.100000000000009</v>
      </c>
    </row>
    <row r="23" spans="1:14" ht="15.75">
      <c r="H23" s="125" t="s">
        <v>144</v>
      </c>
      <c r="I23" s="126"/>
      <c r="J23" s="126"/>
      <c r="K23" s="126"/>
      <c r="L23" s="126"/>
      <c r="M23" s="126"/>
    </row>
    <row r="24" spans="1:14" ht="15.75">
      <c r="B24" s="364" t="s">
        <v>522</v>
      </c>
      <c r="C24" s="298"/>
      <c r="D24" s="298"/>
      <c r="E24" s="298"/>
      <c r="F24" s="298"/>
      <c r="I24" s="126" t="s">
        <v>145</v>
      </c>
      <c r="J24" s="126"/>
      <c r="K24" s="126"/>
      <c r="L24" s="126"/>
      <c r="M24" s="84"/>
    </row>
    <row r="25" spans="1:14" ht="15.75">
      <c r="B25" s="364" t="s">
        <v>523</v>
      </c>
      <c r="C25" s="298"/>
      <c r="D25" s="3"/>
      <c r="J25" s="125" t="s">
        <v>146</v>
      </c>
    </row>
    <row r="26" spans="1:14" ht="15.75">
      <c r="C26" s="212" t="s">
        <v>61</v>
      </c>
      <c r="D26" s="3"/>
    </row>
  </sheetData>
  <mergeCells count="7">
    <mergeCell ref="H1:N2"/>
    <mergeCell ref="A22:E22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26"/>
  <sheetViews>
    <sheetView workbookViewId="0">
      <pane ySplit="2" topLeftCell="A3" activePane="bottomLeft" state="frozen"/>
      <selection pane="bottomLeft" activeCell="G30" sqref="G30"/>
    </sheetView>
  </sheetViews>
  <sheetFormatPr defaultRowHeight="11.25"/>
  <cols>
    <col min="1" max="1" width="11.5703125" style="7" bestFit="1" customWidth="1"/>
    <col min="2" max="2" width="73.42578125" style="88" bestFit="1" customWidth="1"/>
    <col min="3" max="3" width="7.28515625" style="7" bestFit="1" customWidth="1"/>
    <col min="4" max="4" width="9.28515625" style="7" bestFit="1" customWidth="1"/>
    <col min="5" max="5" width="6.140625" style="7" bestFit="1" customWidth="1"/>
    <col min="6" max="6" width="4.140625" style="7" bestFit="1" customWidth="1"/>
    <col min="7" max="7" width="4.28515625" style="7" bestFit="1" customWidth="1"/>
    <col min="8" max="8" width="7.28515625" style="7" bestFit="1" customWidth="1"/>
    <col min="9" max="9" width="4.28515625" style="7" bestFit="1" customWidth="1"/>
    <col min="10" max="10" width="9.28515625" style="7" bestFit="1" customWidth="1"/>
    <col min="11" max="11" width="7.28515625" style="7" bestFit="1" customWidth="1"/>
    <col min="12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9" customWidth="1"/>
    <col min="18" max="20" width="6.7109375" style="79" customWidth="1"/>
    <col min="21" max="21" width="30.5703125" style="7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1" s="6" customFormat="1" ht="15.75">
      <c r="A1" s="741" t="s">
        <v>1</v>
      </c>
      <c r="B1" s="743" t="s">
        <v>0</v>
      </c>
      <c r="C1" s="775" t="s">
        <v>11</v>
      </c>
      <c r="D1" s="775"/>
      <c r="E1" s="775"/>
      <c r="F1" s="775"/>
      <c r="G1" s="775"/>
      <c r="H1" s="776" t="s">
        <v>12</v>
      </c>
      <c r="I1" s="776"/>
      <c r="J1" s="776"/>
      <c r="K1" s="776"/>
      <c r="L1" s="776"/>
      <c r="M1" s="776"/>
      <c r="N1" s="776"/>
      <c r="O1" s="779" t="s">
        <v>85</v>
      </c>
      <c r="P1" s="777" t="s">
        <v>226</v>
      </c>
      <c r="Q1" s="733" t="s">
        <v>29</v>
      </c>
      <c r="R1" s="734"/>
      <c r="S1" s="734"/>
      <c r="T1" s="734"/>
      <c r="U1" s="735"/>
    </row>
    <row r="2" spans="1:21" ht="24" customHeight="1">
      <c r="A2" s="773"/>
      <c r="B2" s="774"/>
      <c r="C2" s="368" t="s">
        <v>47</v>
      </c>
      <c r="D2" s="368" t="s">
        <v>48</v>
      </c>
      <c r="E2" s="368" t="s">
        <v>49</v>
      </c>
      <c r="F2" s="368" t="s">
        <v>50</v>
      </c>
      <c r="G2" s="379" t="s">
        <v>51</v>
      </c>
      <c r="H2" s="368" t="s">
        <v>47</v>
      </c>
      <c r="I2" s="368" t="s">
        <v>48</v>
      </c>
      <c r="J2" s="368" t="s">
        <v>49</v>
      </c>
      <c r="K2" s="368" t="s">
        <v>50</v>
      </c>
      <c r="L2" s="368" t="s">
        <v>51</v>
      </c>
      <c r="M2" s="368" t="s">
        <v>52</v>
      </c>
      <c r="N2" s="380" t="s">
        <v>53</v>
      </c>
      <c r="O2" s="780"/>
      <c r="P2" s="778"/>
      <c r="Q2" s="770"/>
      <c r="R2" s="771"/>
      <c r="S2" s="771"/>
      <c r="T2" s="771"/>
      <c r="U2" s="772"/>
    </row>
    <row r="3" spans="1:21" s="260" customFormat="1" ht="15">
      <c r="A3" s="442" t="str">
        <f>'1-συμβολαια'!A3</f>
        <v>1ο</v>
      </c>
      <c r="B3" s="331" t="str">
        <f>'1-συμβολαια'!C3</f>
        <v>κληρονομιάς ΑΠΟΔΟΧΗ</v>
      </c>
      <c r="C3" s="339"/>
      <c r="D3" s="261" t="s">
        <v>643</v>
      </c>
      <c r="E3" s="261"/>
      <c r="F3" s="261"/>
      <c r="G3" s="261"/>
      <c r="H3" s="261"/>
      <c r="I3" s="261"/>
      <c r="J3" s="261" t="s">
        <v>642</v>
      </c>
      <c r="K3" s="261"/>
      <c r="L3" s="261"/>
      <c r="M3" s="261"/>
      <c r="N3" s="261"/>
      <c r="O3" s="332"/>
      <c r="P3" s="333">
        <f>O3*('2-δικαιώμ'!N3+'3-φύλλα2α'!F3)</f>
        <v>0</v>
      </c>
      <c r="Q3" s="334"/>
      <c r="R3" s="334"/>
      <c r="S3" s="334"/>
      <c r="T3" s="334"/>
      <c r="U3" s="335"/>
    </row>
    <row r="4" spans="1:21" s="260" customFormat="1" ht="15">
      <c r="A4" s="442">
        <f>'1-συμβολαια'!A4</f>
        <v>0</v>
      </c>
      <c r="B4" s="324" t="str">
        <f>'1-συμβολαια'!C4</f>
        <v>χρησικτησία οικοπεδου = 194? γεωργούδηΝικολαο ΑΓΟΡΑΠΩΛΗΣΙΑ (ως αγροτεμάχιο) άτυπος</v>
      </c>
      <c r="C4" s="339"/>
      <c r="D4" s="261" t="s">
        <v>645</v>
      </c>
      <c r="E4" s="261"/>
      <c r="F4" s="261"/>
      <c r="G4" s="261"/>
      <c r="H4" s="261"/>
      <c r="I4" s="261"/>
      <c r="J4" s="261" t="s">
        <v>643</v>
      </c>
      <c r="K4" s="261"/>
      <c r="L4" s="261"/>
      <c r="M4" s="261"/>
      <c r="N4" s="261"/>
      <c r="O4" s="332"/>
      <c r="P4" s="333">
        <f>O4*('2-δικαιώμ'!N4+'3-φύλλα2α'!F4)</f>
        <v>0</v>
      </c>
      <c r="Q4" s="334"/>
      <c r="R4" s="334"/>
      <c r="S4" s="334"/>
      <c r="T4" s="334"/>
      <c r="U4" s="335"/>
    </row>
    <row r="5" spans="1:21" s="260" customFormat="1" ht="15">
      <c r="A5" s="442">
        <f>'1-συμβολαια'!A5</f>
        <v>0</v>
      </c>
      <c r="B5" s="331" t="str">
        <f>'1-συμβολαια'!C5</f>
        <v>χρησικτησία αγροτεμάχιο 193 = 1975 ΑΝΑΔΑΣΜΟΣ εκούσιος</v>
      </c>
      <c r="C5" s="339"/>
      <c r="D5" s="261"/>
      <c r="E5" s="261"/>
      <c r="F5" s="261"/>
      <c r="G5" s="261"/>
      <c r="H5" s="261"/>
      <c r="I5" s="261"/>
      <c r="J5" s="261" t="s">
        <v>643</v>
      </c>
      <c r="K5" s="261"/>
      <c r="L5" s="261"/>
      <c r="M5" s="261"/>
      <c r="N5" s="261"/>
      <c r="O5" s="332"/>
      <c r="P5" s="333">
        <f>O5*('2-δικαιώμ'!N4+'3-φύλλα2α'!F4)</f>
        <v>0</v>
      </c>
      <c r="Q5" s="334"/>
      <c r="R5" s="334"/>
      <c r="S5" s="334"/>
      <c r="T5" s="334"/>
      <c r="U5" s="335"/>
    </row>
    <row r="6" spans="1:21" s="260" customFormat="1" ht="15.75" thickBot="1">
      <c r="A6" s="445">
        <f>'1-συμβολαια'!A6</f>
        <v>0</v>
      </c>
      <c r="B6" s="458" t="str">
        <f>'1-συμβολαια'!C6</f>
        <v>χρησικτησία αγροτεμάχιο 279 = 1975 ΑΝΑΔΑΣΜΟΣ εκούσιος</v>
      </c>
      <c r="C6" s="459"/>
      <c r="D6" s="387"/>
      <c r="E6" s="387"/>
      <c r="F6" s="387"/>
      <c r="G6" s="387"/>
      <c r="H6" s="387"/>
      <c r="I6" s="387"/>
      <c r="J6" s="387" t="s">
        <v>643</v>
      </c>
      <c r="K6" s="387"/>
      <c r="L6" s="387"/>
      <c r="M6" s="387"/>
      <c r="N6" s="387"/>
      <c r="O6" s="460"/>
      <c r="P6" s="461">
        <f>O6*('2-δικαιώμ'!N5+'3-φύλλα2α'!F5)</f>
        <v>0</v>
      </c>
      <c r="Q6" s="462"/>
      <c r="R6" s="462"/>
      <c r="S6" s="462"/>
      <c r="T6" s="462"/>
      <c r="U6" s="463"/>
    </row>
    <row r="7" spans="1:21" s="260" customFormat="1" ht="15">
      <c r="A7" s="472" t="str">
        <f>'1-συμβολαια'!A7</f>
        <v>2ο</v>
      </c>
      <c r="B7" s="453" t="str">
        <f>'1-συμβολαια'!C7</f>
        <v>κληρονομιάς ΑΠΟΔΟΧΗ</v>
      </c>
      <c r="C7" s="454"/>
      <c r="D7" s="257" t="s">
        <v>644</v>
      </c>
      <c r="E7" s="257"/>
      <c r="F7" s="257"/>
      <c r="G7" s="257"/>
      <c r="H7" s="257"/>
      <c r="I7" s="257"/>
      <c r="J7" s="257" t="s">
        <v>642</v>
      </c>
      <c r="K7" s="257"/>
      <c r="L7" s="257"/>
      <c r="M7" s="257"/>
      <c r="N7" s="257"/>
      <c r="O7" s="455"/>
      <c r="P7" s="353">
        <f>O7*('2-δικαιώμ'!N6+'3-φύλλα2α'!F6)</f>
        <v>0</v>
      </c>
      <c r="Q7" s="456"/>
      <c r="R7" s="456"/>
      <c r="S7" s="456"/>
      <c r="T7" s="456"/>
      <c r="U7" s="457"/>
    </row>
    <row r="8" spans="1:21" s="260" customFormat="1" ht="15">
      <c r="A8" s="473">
        <f>'1-συμβολαια'!A8</f>
        <v>0</v>
      </c>
      <c r="B8" s="324" t="str">
        <f>'1-συμβολαια'!C8</f>
        <v>χρησικτησία οικοπεδου &amp; οικίας &amp; αποθήκης = 27/7/87 πατρός ΚΛΗΡΟΝΟΜΙΑ άτυπος</v>
      </c>
      <c r="C8" s="339"/>
      <c r="D8" s="261" t="s">
        <v>643</v>
      </c>
      <c r="E8" s="261"/>
      <c r="F8" s="261"/>
      <c r="G8" s="261"/>
      <c r="H8" s="261"/>
      <c r="I8" s="261"/>
      <c r="J8" s="257" t="s">
        <v>644</v>
      </c>
      <c r="K8" s="261"/>
      <c r="L8" s="261"/>
      <c r="M8" s="261"/>
      <c r="N8" s="261"/>
      <c r="O8" s="332"/>
      <c r="P8" s="333">
        <f>O8*('2-δικαιώμ'!N7+'3-φύλλα2α'!F7)</f>
        <v>0</v>
      </c>
      <c r="Q8" s="334"/>
      <c r="R8" s="334"/>
      <c r="S8" s="334"/>
      <c r="T8" s="334"/>
      <c r="U8" s="335"/>
    </row>
    <row r="9" spans="1:21" s="260" customFormat="1" ht="15">
      <c r="A9" s="473">
        <f>'1-συμβολαια'!A9</f>
        <v>0</v>
      </c>
      <c r="B9" s="331" t="str">
        <f>'1-συμβολαια'!C9</f>
        <v>χρησικτησία αγροτεμάχιο 193 = 27/7/87 πατρός ΚΛΗΡΟΝΟΜΙΑ άτυπος</v>
      </c>
      <c r="C9" s="339"/>
      <c r="D9" s="261" t="s">
        <v>643</v>
      </c>
      <c r="E9" s="261"/>
      <c r="F9" s="261"/>
      <c r="G9" s="261"/>
      <c r="H9" s="261"/>
      <c r="I9" s="261"/>
      <c r="J9" s="257" t="s">
        <v>644</v>
      </c>
      <c r="K9" s="261"/>
      <c r="L9" s="261"/>
      <c r="M9" s="261"/>
      <c r="N9" s="261"/>
      <c r="O9" s="332"/>
      <c r="P9" s="333">
        <f>O9*('2-δικαιώμ'!N7+'3-φύλλα2α'!F7)</f>
        <v>0</v>
      </c>
      <c r="Q9" s="334"/>
      <c r="R9" s="334"/>
      <c r="S9" s="334"/>
      <c r="T9" s="334"/>
      <c r="U9" s="335"/>
    </row>
    <row r="10" spans="1:21" s="260" customFormat="1" ht="15.75" thickBot="1">
      <c r="A10" s="474">
        <f>'1-συμβολαια'!A10</f>
        <v>0</v>
      </c>
      <c r="B10" s="458" t="str">
        <f>'1-συμβολαια'!C10</f>
        <v>χρησικτησία αγροτεμάχιο 279 = 27/7/87 πατρός ΚΛΗΡΟΝΟΜΙΑ άτυπος</v>
      </c>
      <c r="C10" s="459"/>
      <c r="D10" s="387" t="s">
        <v>643</v>
      </c>
      <c r="E10" s="387"/>
      <c r="F10" s="387"/>
      <c r="G10" s="387"/>
      <c r="H10" s="387"/>
      <c r="I10" s="387"/>
      <c r="J10" s="257" t="s">
        <v>644</v>
      </c>
      <c r="K10" s="387"/>
      <c r="L10" s="387"/>
      <c r="M10" s="387"/>
      <c r="N10" s="387"/>
      <c r="O10" s="460"/>
      <c r="P10" s="461">
        <f>O10*('2-δικαιώμ'!N9+'3-φύλλα2α'!F9)</f>
        <v>0</v>
      </c>
      <c r="Q10" s="462"/>
      <c r="R10" s="462"/>
      <c r="S10" s="462"/>
      <c r="T10" s="462"/>
      <c r="U10" s="463"/>
    </row>
    <row r="11" spans="1:21" s="260" customFormat="1" ht="15.75" thickBot="1">
      <c r="A11" s="485" t="str">
        <f>'1-συμβολαια'!A11</f>
        <v>3ο</v>
      </c>
      <c r="B11" s="490" t="str">
        <f>'1-συμβολαια'!C11</f>
        <v>κάθετος ΣΥΣΤΑΣΗ</v>
      </c>
      <c r="C11" s="491"/>
      <c r="D11" s="492" t="s">
        <v>642</v>
      </c>
      <c r="E11" s="492"/>
      <c r="F11" s="569"/>
      <c r="G11" s="569"/>
      <c r="H11" s="569"/>
      <c r="I11" s="492"/>
      <c r="J11" s="492"/>
      <c r="K11" s="492"/>
      <c r="L11" s="492"/>
      <c r="M11" s="492"/>
      <c r="N11" s="492"/>
      <c r="O11" s="493"/>
      <c r="P11" s="494">
        <f>O11*('2-δικαιώμ'!N10+'3-φύλλα2α'!F10)</f>
        <v>0</v>
      </c>
      <c r="Q11" s="495"/>
      <c r="R11" s="495"/>
      <c r="S11" s="495"/>
      <c r="T11" s="495"/>
      <c r="U11" s="496"/>
    </row>
    <row r="12" spans="1:21" s="260" customFormat="1" ht="15.75" thickBot="1">
      <c r="A12" s="485" t="str">
        <f>'1-συμβολαια'!A12</f>
        <v>4ο</v>
      </c>
      <c r="B12" s="490" t="str">
        <f>'1-συμβολαια'!C12</f>
        <v>γονική ΨΙΛΗΣ ΚΥΡΙΟΤΗΤΑΣ</v>
      </c>
      <c r="C12" s="491"/>
      <c r="D12" s="492" t="s">
        <v>642</v>
      </c>
      <c r="E12" s="569"/>
      <c r="F12" s="492"/>
      <c r="G12" s="492"/>
      <c r="H12" s="492"/>
      <c r="I12" s="492"/>
      <c r="J12" s="492" t="s">
        <v>648</v>
      </c>
      <c r="K12" s="492"/>
      <c r="L12" s="492"/>
      <c r="M12" s="492"/>
      <c r="N12" s="492"/>
      <c r="O12" s="493"/>
      <c r="P12" s="494">
        <f>O12*('2-δικαιώμ'!N11+'3-φύλλα2α'!F11)</f>
        <v>0</v>
      </c>
      <c r="Q12" s="495"/>
      <c r="R12" s="495"/>
      <c r="S12" s="495"/>
      <c r="T12" s="495"/>
      <c r="U12" s="496"/>
    </row>
    <row r="13" spans="1:21" s="260" customFormat="1" ht="15.75" thickBot="1">
      <c r="A13" s="485" t="str">
        <f>'1-συμβολαια'!A13</f>
        <v>5ο</v>
      </c>
      <c r="B13" s="490" t="str">
        <f>'1-συμβολαια'!C13</f>
        <v>πληρεξούσιο</v>
      </c>
      <c r="C13" s="491"/>
      <c r="D13" s="492" t="s">
        <v>642</v>
      </c>
      <c r="E13" s="492"/>
      <c r="F13" s="492"/>
      <c r="G13" s="492"/>
      <c r="H13" s="492"/>
      <c r="I13" s="492"/>
      <c r="J13" s="384" t="s">
        <v>646</v>
      </c>
      <c r="K13" s="492"/>
      <c r="L13" s="492"/>
      <c r="M13" s="492"/>
      <c r="N13" s="492"/>
      <c r="O13" s="493"/>
      <c r="P13" s="494">
        <f>O13*('2-δικαιώμ'!N12+'3-φύλλα2α'!F12)</f>
        <v>0</v>
      </c>
      <c r="Q13" s="495"/>
      <c r="R13" s="495"/>
      <c r="S13" s="495"/>
      <c r="T13" s="495"/>
      <c r="U13" s="457"/>
    </row>
    <row r="14" spans="1:21" s="260" customFormat="1" ht="15">
      <c r="A14" s="671" t="str">
        <f>'1-συμβολαια'!A14</f>
        <v>6ο</v>
      </c>
      <c r="B14" s="453" t="str">
        <f>'1-συμβολαια'!C14</f>
        <v>μίσθωση αγροτεμαχίων 15 έτη { έως 19/1/2019 }</v>
      </c>
      <c r="C14" s="454">
        <v>2</v>
      </c>
      <c r="D14" s="257" t="s">
        <v>642</v>
      </c>
      <c r="E14" s="384" t="s">
        <v>646</v>
      </c>
      <c r="F14" s="257"/>
      <c r="G14" s="257"/>
      <c r="H14" s="257"/>
      <c r="I14" s="257">
        <v>1</v>
      </c>
      <c r="J14" s="384" t="s">
        <v>648</v>
      </c>
      <c r="K14" s="257"/>
      <c r="L14" s="257"/>
      <c r="M14" s="257"/>
      <c r="N14" s="257"/>
      <c r="O14" s="455"/>
      <c r="P14" s="353">
        <f>O14*('2-δικαιώμ'!N13+'3-φύλλα2α'!F13)</f>
        <v>0</v>
      </c>
      <c r="Q14" s="456"/>
      <c r="R14" s="456"/>
      <c r="S14" s="456"/>
      <c r="T14" s="456"/>
      <c r="U14" s="335"/>
    </row>
    <row r="15" spans="1:21" s="260" customFormat="1" ht="15">
      <c r="A15" s="442">
        <f>'1-συμβολαια'!A15</f>
        <v>0</v>
      </c>
      <c r="B15" s="331" t="str">
        <f>'1-συμβολαια'!C15</f>
        <v>ΧΡΗΣΙΚΤΗΣΙΑ αγροτεμαχίων 2'-3' = 19?? ΑΝΑΔΑΣΜΟΣ</v>
      </c>
      <c r="C15" s="339"/>
      <c r="D15" s="261"/>
      <c r="E15" s="257"/>
      <c r="F15" s="261"/>
      <c r="G15" s="261"/>
      <c r="H15" s="261"/>
      <c r="I15" s="261"/>
      <c r="J15" s="257" t="s">
        <v>642</v>
      </c>
      <c r="K15" s="261"/>
      <c r="L15" s="261"/>
      <c r="M15" s="261"/>
      <c r="N15" s="261"/>
      <c r="O15" s="332"/>
      <c r="P15" s="333">
        <f>O15*('2-δικαιώμ'!N14+'3-φύλλα2α'!F14)</f>
        <v>0</v>
      </c>
      <c r="Q15" s="334"/>
      <c r="R15" s="334"/>
      <c r="S15" s="334"/>
      <c r="T15" s="334"/>
      <c r="U15" s="335"/>
    </row>
    <row r="16" spans="1:21" s="260" customFormat="1" ht="15">
      <c r="A16" s="442">
        <f>'1-συμβολαια'!A16</f>
        <v>0</v>
      </c>
      <c r="B16" s="324" t="str">
        <f>'1-συμβολαια'!C16</f>
        <v>ΧΡΗΣΙΚΤΗΣΙΑ αγροτεμαχίων υπόλοιπων 12 = πατρός 19?? ΔΩΡΕΕΣ &amp; ΚΛΗΡΟΝΟΜΙΕΣ άτυπες</v>
      </c>
      <c r="C16" s="339"/>
      <c r="D16" s="261"/>
      <c r="E16" s="261"/>
      <c r="F16" s="261"/>
      <c r="G16" s="261"/>
      <c r="H16" s="261"/>
      <c r="I16" s="261"/>
      <c r="J16" s="261" t="s">
        <v>642</v>
      </c>
      <c r="K16" s="261"/>
      <c r="L16" s="261"/>
      <c r="M16" s="261"/>
      <c r="N16" s="261"/>
      <c r="O16" s="332"/>
      <c r="P16" s="333">
        <f>O16*('2-δικαιώμ'!N15+'3-φύλλα2α'!F15)</f>
        <v>0</v>
      </c>
      <c r="Q16" s="334"/>
      <c r="R16" s="334"/>
      <c r="S16" s="334"/>
      <c r="T16" s="334"/>
      <c r="U16" s="335"/>
    </row>
    <row r="17" spans="1:25" s="260" customFormat="1" ht="15.75" thickBot="1">
      <c r="A17" s="678">
        <f>'1-συμβολαια'!A17</f>
        <v>0</v>
      </c>
      <c r="B17" s="679" t="str">
        <f>'1-συμβολαια'!C17</f>
        <v>μίσθωση = ΠΑΓΙΑ ως νέος αγρότης</v>
      </c>
      <c r="C17" s="680"/>
      <c r="D17" s="569"/>
      <c r="E17" s="569"/>
      <c r="F17" s="569"/>
      <c r="G17" s="569"/>
      <c r="H17" s="569"/>
      <c r="I17" s="569"/>
      <c r="J17" s="569" t="s">
        <v>648</v>
      </c>
      <c r="K17" s="569"/>
      <c r="L17" s="569"/>
      <c r="M17" s="569"/>
      <c r="N17" s="569"/>
      <c r="O17" s="681"/>
      <c r="P17" s="628">
        <f>O17*('2-δικαιώμ'!N16+'3-φύλλα2α'!F16)</f>
        <v>0</v>
      </c>
      <c r="Q17" s="682"/>
      <c r="R17" s="682"/>
      <c r="S17" s="682"/>
      <c r="T17" s="682"/>
      <c r="U17" s="457"/>
    </row>
    <row r="18" spans="1:25" s="260" customFormat="1" ht="15.75" thickBot="1">
      <c r="A18" s="485" t="str">
        <f>'1-συμβολαια'!A18</f>
        <v>7ο</v>
      </c>
      <c r="B18" s="490" t="str">
        <f>'1-συμβολαια'!C18</f>
        <v>*καθετου συστάσεως 2.539 ΔΙΟΡΘΩΣΗ</v>
      </c>
      <c r="C18" s="491"/>
      <c r="D18" s="492" t="s">
        <v>642</v>
      </c>
      <c r="E18" s="492"/>
      <c r="F18" s="492"/>
      <c r="G18" s="492"/>
      <c r="H18" s="492"/>
      <c r="I18" s="492"/>
      <c r="J18" s="492"/>
      <c r="K18" s="492"/>
      <c r="L18" s="492"/>
      <c r="M18" s="492"/>
      <c r="N18" s="492"/>
      <c r="O18" s="493"/>
      <c r="P18" s="494">
        <f>O18*('2-δικαιώμ'!N17+'3-φύλλα2α'!F17)</f>
        <v>0</v>
      </c>
      <c r="Q18" s="495"/>
      <c r="R18" s="495"/>
      <c r="S18" s="495"/>
      <c r="T18" s="495"/>
      <c r="U18" s="335"/>
    </row>
    <row r="19" spans="1:25" s="260" customFormat="1" ht="15.75" thickBot="1">
      <c r="A19" s="485" t="str">
        <f>'1-συμβολαια'!A19</f>
        <v>8ο</v>
      </c>
      <c r="B19" s="490" t="str">
        <f>'1-συμβολαια'!C19</f>
        <v>*γονικής 2.540 ΔΙΟΡΘΩΣΗ</v>
      </c>
      <c r="C19" s="697"/>
      <c r="D19" s="492" t="s">
        <v>642</v>
      </c>
      <c r="E19" s="492"/>
      <c r="F19" s="492"/>
      <c r="G19" s="492"/>
      <c r="H19" s="492"/>
      <c r="I19" s="492"/>
      <c r="J19" s="492" t="s">
        <v>648</v>
      </c>
      <c r="K19" s="492"/>
      <c r="L19" s="492"/>
      <c r="M19" s="492"/>
      <c r="N19" s="492"/>
      <c r="O19" s="493"/>
      <c r="P19" s="494">
        <f>O19*('2-δικαιώμ'!N18+'3-φύλλα2α'!F18)</f>
        <v>0</v>
      </c>
      <c r="Q19" s="495"/>
      <c r="R19" s="495"/>
      <c r="S19" s="495"/>
      <c r="T19" s="495"/>
      <c r="U19" s="335"/>
    </row>
    <row r="20" spans="1:25" s="260" customFormat="1" ht="15">
      <c r="A20" s="671" t="str">
        <f>'1-συμβολαια'!A20</f>
        <v>9ο</v>
      </c>
      <c r="B20" s="453" t="str">
        <f>'1-συμβολαια'!C20</f>
        <v>γονική</v>
      </c>
      <c r="C20" s="454">
        <v>1</v>
      </c>
      <c r="D20" s="257" t="s">
        <v>642</v>
      </c>
      <c r="E20" s="257"/>
      <c r="F20" s="257"/>
      <c r="G20" s="257"/>
      <c r="H20" s="257"/>
      <c r="I20" s="257">
        <v>2</v>
      </c>
      <c r="J20" s="384" t="s">
        <v>648</v>
      </c>
      <c r="K20" s="257" t="s">
        <v>647</v>
      </c>
      <c r="L20" s="257"/>
      <c r="M20" s="257"/>
      <c r="N20" s="257"/>
      <c r="O20" s="455"/>
      <c r="P20" s="353">
        <f>O20*('2-δικαιώμ'!N19+'3-φύλλα2α'!F19)</f>
        <v>0</v>
      </c>
      <c r="Q20" s="456"/>
      <c r="R20" s="456"/>
      <c r="S20" s="456"/>
      <c r="T20" s="456"/>
      <c r="U20" s="335"/>
    </row>
    <row r="21" spans="1:25" s="260" customFormat="1" ht="15.75" thickBot="1">
      <c r="A21" s="445">
        <f>'1-συμβολαια'!A21</f>
        <v>0</v>
      </c>
      <c r="B21" s="705" t="str">
        <f>'1-συμβολαια'!C21</f>
        <v>ΧΡΗΣΙΚΤΗΣΙΑ οικοπέδου ΄΄κάστρο'' 52,50μ2 = 1970 κυδωνηςΙωαννης ΔΩΡΕΑ άτυπη</v>
      </c>
      <c r="C21" s="459"/>
      <c r="D21" s="387" t="s">
        <v>643</v>
      </c>
      <c r="E21" s="387"/>
      <c r="F21" s="387"/>
      <c r="G21" s="387"/>
      <c r="H21" s="387"/>
      <c r="I21" s="387"/>
      <c r="J21" s="569" t="s">
        <v>642</v>
      </c>
      <c r="K21" s="387"/>
      <c r="L21" s="387"/>
      <c r="M21" s="387"/>
      <c r="N21" s="387"/>
      <c r="O21" s="460"/>
      <c r="P21" s="461">
        <f>O21*('2-δικαιώμ'!N20+'3-φύλλα2α'!F20)</f>
        <v>0</v>
      </c>
      <c r="Q21" s="462"/>
      <c r="R21" s="462"/>
      <c r="S21" s="462"/>
      <c r="T21" s="334"/>
      <c r="U21" s="335"/>
    </row>
    <row r="22" spans="1:25" ht="15.75">
      <c r="A22" s="757" t="s">
        <v>47</v>
      </c>
      <c r="B22" s="758"/>
      <c r="C22" s="758"/>
      <c r="D22" s="758"/>
      <c r="E22" s="758"/>
      <c r="F22" s="758"/>
      <c r="G22" s="758"/>
      <c r="H22" s="758"/>
      <c r="I22" s="758"/>
      <c r="J22" s="758"/>
      <c r="K22" s="758"/>
      <c r="L22" s="758"/>
      <c r="M22" s="758"/>
      <c r="N22" s="758"/>
      <c r="O22" s="758"/>
      <c r="P22" s="400">
        <f>SUM(P3:P21)</f>
        <v>0</v>
      </c>
    </row>
    <row r="24" spans="1:25" ht="15.75">
      <c r="Q24" s="142" t="s">
        <v>147</v>
      </c>
      <c r="R24" s="116"/>
      <c r="S24" s="116"/>
      <c r="T24" s="116"/>
      <c r="U24" s="116"/>
      <c r="V24" s="116"/>
      <c r="W24" s="116"/>
      <c r="X24" s="116"/>
      <c r="Y24" s="107"/>
    </row>
    <row r="25" spans="1:25" ht="15.75">
      <c r="R25" s="126" t="s">
        <v>148</v>
      </c>
      <c r="S25" s="126"/>
      <c r="T25" s="126"/>
      <c r="U25" s="126"/>
      <c r="V25" s="126"/>
      <c r="W25" s="126"/>
      <c r="X25" s="126"/>
    </row>
    <row r="26" spans="1:25" ht="15.75">
      <c r="S26" s="142" t="s">
        <v>149</v>
      </c>
    </row>
  </sheetData>
  <mergeCells count="8">
    <mergeCell ref="Q1:U2"/>
    <mergeCell ref="A22:O22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71"/>
  <sheetViews>
    <sheetView workbookViewId="0">
      <pane ySplit="2" topLeftCell="A3" activePane="bottomLeft" state="frozen"/>
      <selection pane="bottomLeft" activeCell="B42" sqref="B42"/>
    </sheetView>
  </sheetViews>
  <sheetFormatPr defaultRowHeight="11.25"/>
  <cols>
    <col min="1" max="1" width="7.28515625" style="7" bestFit="1" customWidth="1"/>
    <col min="2" max="2" width="68" style="88" bestFit="1" customWidth="1"/>
    <col min="3" max="3" width="11.140625" style="2" customWidth="1"/>
    <col min="4" max="5" width="7.85546875" style="3" customWidth="1"/>
    <col min="6" max="6" width="6.85546875" style="7" customWidth="1"/>
    <col min="7" max="7" width="7.140625" style="7" customWidth="1"/>
    <col min="8" max="8" width="9.42578125" style="2" bestFit="1" customWidth="1"/>
    <col min="9" max="9" width="8.140625" style="2" customWidth="1"/>
    <col min="10" max="10" width="7.85546875" style="2" customWidth="1"/>
    <col min="11" max="11" width="9.5703125" style="2" customWidth="1"/>
    <col min="12" max="12" width="6.85546875" style="2" customWidth="1"/>
    <col min="13" max="13" width="8.140625" style="2" customWidth="1"/>
    <col min="14" max="14" width="10.5703125" style="2" customWidth="1"/>
    <col min="15" max="15" width="7.28515625" style="2" customWidth="1"/>
    <col min="16" max="16" width="10.28515625" style="2" customWidth="1"/>
    <col min="17" max="17" width="10.140625" style="2" customWidth="1"/>
    <col min="18" max="18" width="8.28515625" style="79" customWidth="1"/>
    <col min="19" max="19" width="7.28515625" style="79" customWidth="1"/>
    <col min="20" max="20" width="7.85546875" style="79" customWidth="1"/>
    <col min="21" max="22" width="7.28515625" style="79" customWidth="1"/>
    <col min="23" max="23" width="7.140625" style="79" customWidth="1"/>
    <col min="24" max="24" width="4.85546875" style="79" customWidth="1"/>
    <col min="25" max="25" width="5.85546875" style="79" customWidth="1"/>
    <col min="26" max="26" width="5" style="79" customWidth="1"/>
    <col min="27" max="27" width="6.7109375" style="79" customWidth="1"/>
    <col min="28" max="28" width="5.5703125" style="79" customWidth="1"/>
    <col min="29" max="33" width="6.28515625" style="79" customWidth="1"/>
    <col min="34" max="34" width="8.42578125" style="79" customWidth="1"/>
    <col min="35" max="38" width="6.28515625" style="79" customWidth="1"/>
    <col min="39" max="39" width="8.140625" style="79" customWidth="1"/>
    <col min="40" max="40" width="11.7109375" style="79" customWidth="1"/>
    <col min="41" max="41" width="22.7109375" style="7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715" t="s">
        <v>1</v>
      </c>
      <c r="B1" s="784" t="s">
        <v>0</v>
      </c>
      <c r="C1" s="721" t="s">
        <v>7</v>
      </c>
      <c r="D1" s="786" t="s">
        <v>3</v>
      </c>
      <c r="E1" s="787"/>
      <c r="F1" s="789" t="s">
        <v>480</v>
      </c>
      <c r="G1" s="790"/>
      <c r="H1" s="790"/>
      <c r="I1" s="790"/>
      <c r="J1" s="790"/>
      <c r="K1" s="790"/>
      <c r="L1" s="791"/>
      <c r="M1" s="792" t="s">
        <v>402</v>
      </c>
      <c r="N1" s="793"/>
      <c r="O1" s="794" t="s">
        <v>251</v>
      </c>
      <c r="P1" s="795"/>
      <c r="Q1" s="796" t="s">
        <v>401</v>
      </c>
      <c r="R1" s="782" t="s">
        <v>172</v>
      </c>
      <c r="S1" s="782"/>
      <c r="T1" s="782"/>
      <c r="U1" s="782"/>
      <c r="V1" s="782"/>
      <c r="W1" s="782"/>
      <c r="X1" s="782"/>
      <c r="Y1" s="782"/>
      <c r="Z1" s="782"/>
      <c r="AA1" s="782"/>
      <c r="AB1" s="782"/>
      <c r="AC1" s="782"/>
      <c r="AD1" s="782"/>
      <c r="AE1" s="782"/>
      <c r="AF1" s="782"/>
      <c r="AG1" s="782"/>
      <c r="AH1" s="782"/>
      <c r="AI1" s="782"/>
      <c r="AJ1" s="782"/>
      <c r="AK1" s="782"/>
      <c r="AL1" s="782"/>
      <c r="AM1" s="782"/>
      <c r="AN1" s="782"/>
      <c r="AO1" s="782"/>
    </row>
    <row r="2" spans="1:41" ht="23.25" thickBot="1">
      <c r="A2" s="783"/>
      <c r="B2" s="785"/>
      <c r="C2" s="788"/>
      <c r="D2" s="147" t="s">
        <v>4</v>
      </c>
      <c r="E2" s="134" t="s">
        <v>9</v>
      </c>
      <c r="F2" s="214"/>
      <c r="G2" s="148" t="s">
        <v>9</v>
      </c>
      <c r="H2" s="132" t="s">
        <v>47</v>
      </c>
      <c r="I2" s="213" t="s">
        <v>9</v>
      </c>
      <c r="J2" s="194" t="s">
        <v>357</v>
      </c>
      <c r="K2" s="194" t="s">
        <v>380</v>
      </c>
      <c r="L2" s="196" t="s">
        <v>359</v>
      </c>
      <c r="M2" s="213" t="s">
        <v>23</v>
      </c>
      <c r="N2" s="215" t="s">
        <v>86</v>
      </c>
      <c r="O2" s="213" t="s">
        <v>23</v>
      </c>
      <c r="P2" s="209" t="s">
        <v>9</v>
      </c>
      <c r="Q2" s="797"/>
      <c r="R2" s="150" t="s">
        <v>128</v>
      </c>
      <c r="S2" s="150" t="s">
        <v>170</v>
      </c>
      <c r="T2" s="150" t="s">
        <v>129</v>
      </c>
      <c r="U2" s="150" t="s">
        <v>254</v>
      </c>
      <c r="V2" s="150" t="s">
        <v>130</v>
      </c>
      <c r="W2" s="150" t="s">
        <v>255</v>
      </c>
      <c r="X2" s="150" t="s">
        <v>150</v>
      </c>
      <c r="Y2" s="150" t="s">
        <v>171</v>
      </c>
      <c r="Z2" s="150" t="s">
        <v>151</v>
      </c>
      <c r="AA2" s="150" t="s">
        <v>256</v>
      </c>
      <c r="AB2" s="150" t="s">
        <v>152</v>
      </c>
      <c r="AC2" s="150" t="s">
        <v>257</v>
      </c>
      <c r="AD2" s="150" t="s">
        <v>153</v>
      </c>
      <c r="AE2" s="150" t="s">
        <v>271</v>
      </c>
      <c r="AF2" s="150" t="s">
        <v>272</v>
      </c>
      <c r="AG2" s="253" t="s">
        <v>273</v>
      </c>
      <c r="AH2" s="150" t="s">
        <v>274</v>
      </c>
      <c r="AI2" s="150" t="s">
        <v>275</v>
      </c>
      <c r="AJ2" s="150" t="s">
        <v>453</v>
      </c>
      <c r="AK2" s="150" t="s">
        <v>454</v>
      </c>
      <c r="AL2" s="150"/>
      <c r="AM2" s="237" t="s">
        <v>90</v>
      </c>
      <c r="AN2" s="235" t="s">
        <v>47</v>
      </c>
      <c r="AO2" s="236" t="s">
        <v>29</v>
      </c>
    </row>
    <row r="3" spans="1:41" s="5" customFormat="1">
      <c r="A3" s="464" t="str">
        <f>'1-συμβολαια'!A3</f>
        <v>1ο</v>
      </c>
      <c r="B3" s="381" t="str">
        <f>'1-συμβολαια'!C3</f>
        <v>κληρονομιάς ΑΠΟΔΟΧΗ</v>
      </c>
      <c r="C3" s="382">
        <f>'1-συμβολαια'!D3</f>
        <v>0</v>
      </c>
      <c r="D3" s="383">
        <f>'3-φύλλα2α'!D3</f>
        <v>3</v>
      </c>
      <c r="E3" s="383">
        <f>'3-φύλλα2α'!E3</f>
        <v>3</v>
      </c>
      <c r="F3" s="384">
        <v>2</v>
      </c>
      <c r="G3" s="384">
        <v>2</v>
      </c>
      <c r="H3" s="385">
        <f t="shared" ref="H3" si="0">F3*D3*3.23</f>
        <v>19.38</v>
      </c>
      <c r="I3" s="386">
        <f t="shared" ref="I3" si="1">E3*G3*3.23</f>
        <v>19.38</v>
      </c>
      <c r="J3" s="386">
        <f t="shared" ref="J3" si="2">H3*5%</f>
        <v>0.96899999999999997</v>
      </c>
      <c r="K3" s="386">
        <f t="shared" ref="K3" si="3">H3*5%</f>
        <v>0.96899999999999997</v>
      </c>
      <c r="L3" s="386">
        <f t="shared" ref="L3" si="4">H3*1%</f>
        <v>0.1938</v>
      </c>
      <c r="M3" s="386">
        <f t="shared" ref="M3" si="5">H3-O3</f>
        <v>17.248199999999997</v>
      </c>
      <c r="N3" s="386">
        <f t="shared" ref="N3" si="6">I3-P3</f>
        <v>17.248200000000001</v>
      </c>
      <c r="O3" s="386">
        <f t="shared" ref="O3" si="7">J3+K3+L3</f>
        <v>2.1318000000000001</v>
      </c>
      <c r="P3" s="386">
        <f t="shared" ref="P3" si="8">I3*11%</f>
        <v>2.1317999999999997</v>
      </c>
      <c r="Q3" s="386">
        <f t="shared" ref="Q3" si="9">O3-P3</f>
        <v>0</v>
      </c>
      <c r="R3" s="401"/>
      <c r="S3" s="402"/>
      <c r="T3" s="402">
        <v>12.92</v>
      </c>
      <c r="U3" s="403">
        <v>1.98</v>
      </c>
      <c r="V3" s="402"/>
      <c r="W3" s="402"/>
      <c r="X3" s="402"/>
      <c r="Y3" s="402"/>
      <c r="Z3" s="402"/>
      <c r="AA3" s="402"/>
      <c r="AB3" s="402"/>
      <c r="AC3" s="402"/>
      <c r="AD3" s="402"/>
      <c r="AE3" s="402"/>
      <c r="AF3" s="402"/>
      <c r="AG3" s="583"/>
      <c r="AH3" s="404">
        <v>6.26</v>
      </c>
      <c r="AI3" s="404">
        <v>1.98</v>
      </c>
      <c r="AJ3" s="404"/>
      <c r="AK3" s="404"/>
      <c r="AL3" s="404"/>
      <c r="AM3" s="405">
        <f t="shared" ref="AM3" si="10">U3+Y3+AA3+AI3+AK3</f>
        <v>3.96</v>
      </c>
      <c r="AN3" s="406">
        <f t="shared" ref="AN3" si="11">R3+S3+T3+V3+W3+X3+Z3+AB3+AC3+AD3+AE3+AF3+AG3+AH3+AJ3+AL3</f>
        <v>19.18</v>
      </c>
      <c r="AO3" s="402"/>
    </row>
    <row r="4" spans="1:41" s="5" customFormat="1">
      <c r="A4" s="465">
        <f>'1-συμβολαια'!A4</f>
        <v>0</v>
      </c>
      <c r="B4" s="324" t="str">
        <f>'1-συμβολαια'!C4</f>
        <v>χρησικτησία οικοπεδου = 194? γεωργούδηΝικολαο ΑΓΟΡΑΠΩΛΗΣΙΑ (ως αγροτεμάχιο) άτυπος</v>
      </c>
      <c r="C4" s="311">
        <f>'1-συμβολαια'!D4</f>
        <v>1111.1099999999999</v>
      </c>
      <c r="D4" s="336">
        <f>'3-φύλλα2α'!D4</f>
        <v>3</v>
      </c>
      <c r="E4" s="336">
        <f>'3-φύλλα2α'!E4</f>
        <v>0</v>
      </c>
      <c r="F4" s="261"/>
      <c r="G4" s="261"/>
      <c r="H4" s="312">
        <f t="shared" ref="H4:H15" si="12">F4*D4*3.23</f>
        <v>0</v>
      </c>
      <c r="I4" s="312">
        <f t="shared" ref="I4:I15" si="13">E4*G4*3.23</f>
        <v>0</v>
      </c>
      <c r="J4" s="312">
        <f t="shared" ref="J4:J15" si="14">H4*5%</f>
        <v>0</v>
      </c>
      <c r="K4" s="312">
        <f t="shared" ref="K4:K15" si="15">H4*5%</f>
        <v>0</v>
      </c>
      <c r="L4" s="312">
        <f t="shared" ref="L4:L15" si="16">H4*1%</f>
        <v>0</v>
      </c>
      <c r="M4" s="312">
        <f t="shared" ref="M4:M15" si="17">H4-O4</f>
        <v>0</v>
      </c>
      <c r="N4" s="312">
        <f t="shared" ref="N4:N15" si="18">I4-P4</f>
        <v>0</v>
      </c>
      <c r="O4" s="312">
        <f t="shared" ref="O4:O15" si="19">J4+K4+L4</f>
        <v>0</v>
      </c>
      <c r="P4" s="312">
        <f t="shared" ref="P4:P15" si="20">I4*11%</f>
        <v>0</v>
      </c>
      <c r="Q4" s="312">
        <f t="shared" ref="Q4:Q15" si="21">O4-P4</f>
        <v>0</v>
      </c>
      <c r="R4" s="402"/>
      <c r="S4" s="402"/>
      <c r="T4" s="402"/>
      <c r="U4" s="402"/>
      <c r="V4" s="402"/>
      <c r="W4" s="402"/>
      <c r="X4" s="402"/>
      <c r="Y4" s="402"/>
      <c r="Z4" s="402"/>
      <c r="AA4" s="402"/>
      <c r="AB4" s="402"/>
      <c r="AC4" s="402"/>
      <c r="AD4" s="402"/>
      <c r="AE4" s="402"/>
      <c r="AF4" s="402"/>
      <c r="AG4" s="584"/>
      <c r="AH4" s="402"/>
      <c r="AI4" s="402"/>
      <c r="AJ4" s="402"/>
      <c r="AK4" s="402"/>
      <c r="AL4" s="402"/>
      <c r="AM4" s="402"/>
      <c r="AN4" s="402"/>
      <c r="AO4" s="402"/>
    </row>
    <row r="5" spans="1:41" s="5" customFormat="1">
      <c r="A5" s="465">
        <f>'1-συμβολαια'!A5</f>
        <v>0</v>
      </c>
      <c r="B5" s="324" t="str">
        <f>'1-συμβολαια'!C5</f>
        <v>χρησικτησία αγροτεμάχιο 193 = 1975 ΑΝΑΔΑΣΜΟΣ εκούσιος</v>
      </c>
      <c r="C5" s="311">
        <f>'1-συμβολαια'!D5</f>
        <v>11.11</v>
      </c>
      <c r="D5" s="336">
        <f>'3-φύλλα2α'!D5</f>
        <v>3</v>
      </c>
      <c r="E5" s="336">
        <f>'3-φύλλα2α'!E5</f>
        <v>0</v>
      </c>
      <c r="F5" s="261"/>
      <c r="G5" s="261"/>
      <c r="H5" s="312">
        <f t="shared" si="12"/>
        <v>0</v>
      </c>
      <c r="I5" s="312">
        <f t="shared" si="13"/>
        <v>0</v>
      </c>
      <c r="J5" s="312">
        <f t="shared" si="14"/>
        <v>0</v>
      </c>
      <c r="K5" s="312">
        <f t="shared" si="15"/>
        <v>0</v>
      </c>
      <c r="L5" s="312">
        <f t="shared" si="16"/>
        <v>0</v>
      </c>
      <c r="M5" s="312">
        <f t="shared" si="17"/>
        <v>0</v>
      </c>
      <c r="N5" s="312">
        <f t="shared" si="18"/>
        <v>0</v>
      </c>
      <c r="O5" s="312">
        <f t="shared" si="19"/>
        <v>0</v>
      </c>
      <c r="P5" s="312">
        <f t="shared" si="20"/>
        <v>0</v>
      </c>
      <c r="Q5" s="312">
        <f t="shared" si="21"/>
        <v>0</v>
      </c>
      <c r="R5" s="402"/>
      <c r="S5" s="402"/>
      <c r="T5" s="402"/>
      <c r="U5" s="403"/>
      <c r="V5" s="402"/>
      <c r="W5" s="402"/>
      <c r="X5" s="402"/>
      <c r="Y5" s="402"/>
      <c r="Z5" s="402"/>
      <c r="AA5" s="402"/>
      <c r="AB5" s="402"/>
      <c r="AC5" s="402"/>
      <c r="AD5" s="402"/>
      <c r="AE5" s="402"/>
      <c r="AF5" s="402"/>
      <c r="AG5" s="584"/>
      <c r="AH5" s="402"/>
      <c r="AI5" s="403"/>
      <c r="AJ5" s="402"/>
      <c r="AK5" s="402"/>
      <c r="AL5" s="402"/>
      <c r="AM5" s="424">
        <f t="shared" ref="AM5:AM15" si="22">U5+Y5+AA5+AI5+AK5</f>
        <v>0</v>
      </c>
      <c r="AN5" s="403">
        <f t="shared" ref="AN5:AN15" si="23">R5+S5+T5+V5+W5+X5+Z5+AB5+AC5+AD5+AE5+AF5+AG5+AH5+AJ5+AL5</f>
        <v>0</v>
      </c>
      <c r="AO5" s="402"/>
    </row>
    <row r="6" spans="1:41" s="5" customFormat="1" ht="12" thickBot="1">
      <c r="A6" s="467">
        <f>'1-συμβολαια'!A6</f>
        <v>0</v>
      </c>
      <c r="B6" s="468" t="str">
        <f>'1-συμβολαια'!C6</f>
        <v>χρησικτησία αγροτεμάχιο 279 = 1975 ΑΝΑΔΑΣΜΟΣ εκούσιος</v>
      </c>
      <c r="C6" s="469">
        <f>'1-συμβολαια'!D6</f>
        <v>222.22</v>
      </c>
      <c r="D6" s="470">
        <f>'3-φύλλα2α'!D6</f>
        <v>3</v>
      </c>
      <c r="E6" s="470">
        <f>'3-φύλλα2α'!E6</f>
        <v>0</v>
      </c>
      <c r="F6" s="387"/>
      <c r="G6" s="387"/>
      <c r="H6" s="471">
        <f t="shared" si="12"/>
        <v>0</v>
      </c>
      <c r="I6" s="471">
        <f t="shared" si="13"/>
        <v>0</v>
      </c>
      <c r="J6" s="471">
        <f t="shared" si="14"/>
        <v>0</v>
      </c>
      <c r="K6" s="471">
        <f t="shared" si="15"/>
        <v>0</v>
      </c>
      <c r="L6" s="471">
        <f t="shared" si="16"/>
        <v>0</v>
      </c>
      <c r="M6" s="471">
        <f t="shared" si="17"/>
        <v>0</v>
      </c>
      <c r="N6" s="471">
        <f t="shared" si="18"/>
        <v>0</v>
      </c>
      <c r="O6" s="471">
        <f t="shared" si="19"/>
        <v>0</v>
      </c>
      <c r="P6" s="471">
        <f t="shared" si="20"/>
        <v>0</v>
      </c>
      <c r="Q6" s="471">
        <f t="shared" si="21"/>
        <v>0</v>
      </c>
      <c r="R6" s="547"/>
      <c r="S6" s="547"/>
      <c r="T6" s="547"/>
      <c r="U6" s="544"/>
      <c r="V6" s="547"/>
      <c r="W6" s="547"/>
      <c r="X6" s="547"/>
      <c r="Y6" s="547"/>
      <c r="Z6" s="547"/>
      <c r="AA6" s="547"/>
      <c r="AB6" s="547"/>
      <c r="AC6" s="547"/>
      <c r="AD6" s="547"/>
      <c r="AE6" s="547"/>
      <c r="AF6" s="547"/>
      <c r="AG6" s="585"/>
      <c r="AH6" s="547"/>
      <c r="AI6" s="547"/>
      <c r="AJ6" s="547"/>
      <c r="AK6" s="547"/>
      <c r="AL6" s="547"/>
      <c r="AM6" s="548">
        <f t="shared" si="22"/>
        <v>0</v>
      </c>
      <c r="AN6" s="544">
        <f t="shared" si="23"/>
        <v>0</v>
      </c>
      <c r="AO6" s="547"/>
    </row>
    <row r="7" spans="1:41" s="5" customFormat="1">
      <c r="A7" s="476" t="str">
        <f>'1-συμβολαια'!A7</f>
        <v>2ο</v>
      </c>
      <c r="B7" s="346" t="str">
        <f>'1-συμβολαια'!C7</f>
        <v>κληρονομιάς ΑΠΟΔΟΧΗ</v>
      </c>
      <c r="C7" s="319">
        <f>'1-συμβολαια'!D7</f>
        <v>0</v>
      </c>
      <c r="D7" s="466">
        <f>'3-φύλλα2α'!D7</f>
        <v>3</v>
      </c>
      <c r="E7" s="466">
        <f>'3-φύλλα2α'!E7</f>
        <v>3</v>
      </c>
      <c r="F7" s="257">
        <v>2</v>
      </c>
      <c r="G7" s="257">
        <v>2</v>
      </c>
      <c r="H7" s="313">
        <f t="shared" si="12"/>
        <v>19.38</v>
      </c>
      <c r="I7" s="313">
        <f t="shared" si="13"/>
        <v>19.38</v>
      </c>
      <c r="J7" s="313">
        <f t="shared" si="14"/>
        <v>0.96899999999999997</v>
      </c>
      <c r="K7" s="313">
        <f t="shared" si="15"/>
        <v>0.96899999999999997</v>
      </c>
      <c r="L7" s="313">
        <f t="shared" si="16"/>
        <v>0.1938</v>
      </c>
      <c r="M7" s="313">
        <f t="shared" si="17"/>
        <v>17.248199999999997</v>
      </c>
      <c r="N7" s="313">
        <f t="shared" si="18"/>
        <v>17.248200000000001</v>
      </c>
      <c r="O7" s="313">
        <f t="shared" si="19"/>
        <v>2.1318000000000001</v>
      </c>
      <c r="P7" s="313">
        <f t="shared" si="20"/>
        <v>2.1317999999999997</v>
      </c>
      <c r="Q7" s="313">
        <f t="shared" si="21"/>
        <v>0</v>
      </c>
      <c r="R7" s="404"/>
      <c r="S7" s="404"/>
      <c r="T7" s="404">
        <v>9.69</v>
      </c>
      <c r="U7" s="406">
        <v>1.98</v>
      </c>
      <c r="V7" s="404"/>
      <c r="W7" s="404"/>
      <c r="X7" s="404"/>
      <c r="Y7" s="404"/>
      <c r="Z7" s="404"/>
      <c r="AA7" s="404"/>
      <c r="AB7" s="404"/>
      <c r="AC7" s="404"/>
      <c r="AD7" s="404"/>
      <c r="AE7" s="404"/>
      <c r="AF7" s="404"/>
      <c r="AG7" s="583"/>
      <c r="AH7" s="404">
        <v>6.26</v>
      </c>
      <c r="AI7" s="404">
        <v>1.98</v>
      </c>
      <c r="AJ7" s="404"/>
      <c r="AK7" s="404"/>
      <c r="AL7" s="404"/>
      <c r="AM7" s="405">
        <f t="shared" si="22"/>
        <v>3.96</v>
      </c>
      <c r="AN7" s="406">
        <f t="shared" si="23"/>
        <v>15.95</v>
      </c>
      <c r="AO7" s="404"/>
    </row>
    <row r="8" spans="1:41" s="5" customFormat="1">
      <c r="A8" s="477">
        <f>'1-συμβολαια'!A8</f>
        <v>0</v>
      </c>
      <c r="B8" s="324" t="str">
        <f>'1-συμβολαια'!C8</f>
        <v>χρησικτησία οικοπεδου &amp; οικίας &amp; αποθήκης = 27/7/87 πατρός ΚΛΗΡΟΝΟΜΙΑ άτυπος</v>
      </c>
      <c r="C8" s="311">
        <f>'1-συμβολαια'!D8</f>
        <v>11111.11</v>
      </c>
      <c r="D8" s="336">
        <f>'3-φύλλα2α'!D8</f>
        <v>3</v>
      </c>
      <c r="E8" s="336">
        <f>'3-φύλλα2α'!E8</f>
        <v>0</v>
      </c>
      <c r="F8" s="261"/>
      <c r="G8" s="261"/>
      <c r="H8" s="312">
        <f t="shared" ref="H8" si="24">F8*D8*3.23</f>
        <v>0</v>
      </c>
      <c r="I8" s="312">
        <f t="shared" ref="I8" si="25">E8*G8*3.23</f>
        <v>0</v>
      </c>
      <c r="J8" s="312">
        <f t="shared" ref="J8" si="26">H8*5%</f>
        <v>0</v>
      </c>
      <c r="K8" s="312">
        <f t="shared" ref="K8" si="27">H8*5%</f>
        <v>0</v>
      </c>
      <c r="L8" s="312">
        <f t="shared" ref="L8" si="28">H8*1%</f>
        <v>0</v>
      </c>
      <c r="M8" s="312">
        <f t="shared" ref="M8" si="29">H8-O8</f>
        <v>0</v>
      </c>
      <c r="N8" s="312">
        <f t="shared" ref="N8" si="30">I8-P8</f>
        <v>0</v>
      </c>
      <c r="O8" s="312">
        <f t="shared" ref="O8" si="31">J8+K8+L8</f>
        <v>0</v>
      </c>
      <c r="P8" s="312">
        <f t="shared" ref="P8" si="32">I8*11%</f>
        <v>0</v>
      </c>
      <c r="Q8" s="312">
        <f t="shared" ref="Q8" si="33">O8-P8</f>
        <v>0</v>
      </c>
      <c r="R8" s="402"/>
      <c r="S8" s="402"/>
      <c r="T8" s="402"/>
      <c r="U8" s="403"/>
      <c r="V8" s="402"/>
      <c r="W8" s="402"/>
      <c r="X8" s="402"/>
      <c r="Y8" s="402"/>
      <c r="Z8" s="402"/>
      <c r="AA8" s="402"/>
      <c r="AB8" s="402"/>
      <c r="AC8" s="402"/>
      <c r="AD8" s="402"/>
      <c r="AE8" s="402"/>
      <c r="AF8" s="402"/>
      <c r="AG8" s="584"/>
      <c r="AH8" s="402"/>
      <c r="AI8" s="402"/>
      <c r="AJ8" s="402"/>
      <c r="AK8" s="402"/>
      <c r="AL8" s="402"/>
      <c r="AM8" s="424">
        <f t="shared" ref="AM8" si="34">U8+Y8+AA8+AI8+AK8</f>
        <v>0</v>
      </c>
      <c r="AN8" s="403">
        <f t="shared" ref="AN8" si="35">R8+S8+T8+V8+W8+X8+Z8+AB8+AC8+AD8+AE8+AF8+AG8+AH8+AJ8+AL8</f>
        <v>0</v>
      </c>
      <c r="AO8" s="402"/>
    </row>
    <row r="9" spans="1:41" s="5" customFormat="1">
      <c r="A9" s="477">
        <f>'1-συμβολαια'!A9</f>
        <v>0</v>
      </c>
      <c r="B9" s="324" t="str">
        <f>'1-συμβολαια'!C9</f>
        <v>χρησικτησία αγροτεμάχιο 193 = 27/7/87 πατρός ΚΛΗΡΟΝΟΜΙΑ άτυπος</v>
      </c>
      <c r="C9" s="311">
        <f>'1-συμβολαια'!D9</f>
        <v>11.11</v>
      </c>
      <c r="D9" s="336">
        <f>'3-φύλλα2α'!D9</f>
        <v>3</v>
      </c>
      <c r="E9" s="336">
        <f>'3-φύλλα2α'!E9</f>
        <v>0</v>
      </c>
      <c r="F9" s="261"/>
      <c r="G9" s="261"/>
      <c r="H9" s="312">
        <f t="shared" si="12"/>
        <v>0</v>
      </c>
      <c r="I9" s="312">
        <f t="shared" si="13"/>
        <v>0</v>
      </c>
      <c r="J9" s="312">
        <f t="shared" si="14"/>
        <v>0</v>
      </c>
      <c r="K9" s="312">
        <f t="shared" si="15"/>
        <v>0</v>
      </c>
      <c r="L9" s="312">
        <f t="shared" si="16"/>
        <v>0</v>
      </c>
      <c r="M9" s="312">
        <f t="shared" si="17"/>
        <v>0</v>
      </c>
      <c r="N9" s="312">
        <f t="shared" si="18"/>
        <v>0</v>
      </c>
      <c r="O9" s="312">
        <f t="shared" si="19"/>
        <v>0</v>
      </c>
      <c r="P9" s="312">
        <f t="shared" si="20"/>
        <v>0</v>
      </c>
      <c r="Q9" s="312">
        <f t="shared" si="21"/>
        <v>0</v>
      </c>
      <c r="R9" s="402"/>
      <c r="S9" s="402"/>
      <c r="T9" s="402"/>
      <c r="U9" s="403"/>
      <c r="V9" s="402"/>
      <c r="W9" s="402"/>
      <c r="X9" s="402"/>
      <c r="Y9" s="402"/>
      <c r="Z9" s="402"/>
      <c r="AA9" s="402"/>
      <c r="AB9" s="402"/>
      <c r="AC9" s="402"/>
      <c r="AD9" s="402"/>
      <c r="AE9" s="402"/>
      <c r="AF9" s="402"/>
      <c r="AG9" s="584"/>
      <c r="AH9" s="402"/>
      <c r="AI9" s="402"/>
      <c r="AJ9" s="402"/>
      <c r="AK9" s="402"/>
      <c r="AL9" s="402"/>
      <c r="AM9" s="424">
        <f t="shared" si="22"/>
        <v>0</v>
      </c>
      <c r="AN9" s="403">
        <f t="shared" si="23"/>
        <v>0</v>
      </c>
      <c r="AO9" s="402"/>
    </row>
    <row r="10" spans="1:41" s="5" customFormat="1" ht="12" thickBot="1">
      <c r="A10" s="478">
        <f>'1-συμβολαια'!A10</f>
        <v>0</v>
      </c>
      <c r="B10" s="468" t="str">
        <f>'1-συμβολαια'!C10</f>
        <v>χρησικτησία αγροτεμάχιο 279 = 27/7/87 πατρός ΚΛΗΡΟΝΟΜΙΑ άτυπος</v>
      </c>
      <c r="C10" s="469">
        <f>'1-συμβολαια'!D10</f>
        <v>222.22</v>
      </c>
      <c r="D10" s="470">
        <f>'3-φύλλα2α'!D10</f>
        <v>3</v>
      </c>
      <c r="E10" s="470">
        <f>'3-φύλλα2α'!E10</f>
        <v>0</v>
      </c>
      <c r="F10" s="387"/>
      <c r="G10" s="387"/>
      <c r="H10" s="471">
        <f t="shared" si="12"/>
        <v>0</v>
      </c>
      <c r="I10" s="471">
        <f t="shared" si="13"/>
        <v>0</v>
      </c>
      <c r="J10" s="471">
        <f t="shared" si="14"/>
        <v>0</v>
      </c>
      <c r="K10" s="471">
        <f t="shared" si="15"/>
        <v>0</v>
      </c>
      <c r="L10" s="471">
        <f t="shared" si="16"/>
        <v>0</v>
      </c>
      <c r="M10" s="471">
        <f t="shared" si="17"/>
        <v>0</v>
      </c>
      <c r="N10" s="471">
        <f t="shared" si="18"/>
        <v>0</v>
      </c>
      <c r="O10" s="471">
        <f t="shared" si="19"/>
        <v>0</v>
      </c>
      <c r="P10" s="471">
        <f t="shared" si="20"/>
        <v>0</v>
      </c>
      <c r="Q10" s="471">
        <f t="shared" si="21"/>
        <v>0</v>
      </c>
      <c r="R10" s="547"/>
      <c r="S10" s="547"/>
      <c r="T10" s="547"/>
      <c r="U10" s="544"/>
      <c r="V10" s="547"/>
      <c r="W10" s="547"/>
      <c r="X10" s="547"/>
      <c r="Y10" s="547"/>
      <c r="Z10" s="547"/>
      <c r="AA10" s="547"/>
      <c r="AB10" s="547"/>
      <c r="AC10" s="547"/>
      <c r="AD10" s="547"/>
      <c r="AE10" s="547"/>
      <c r="AF10" s="547"/>
      <c r="AG10" s="585"/>
      <c r="AH10" s="547"/>
      <c r="AI10" s="544"/>
      <c r="AJ10" s="547"/>
      <c r="AK10" s="547"/>
      <c r="AL10" s="547"/>
      <c r="AM10" s="548">
        <f t="shared" si="22"/>
        <v>0</v>
      </c>
      <c r="AN10" s="544">
        <f t="shared" si="23"/>
        <v>0</v>
      </c>
      <c r="AO10" s="547"/>
    </row>
    <row r="11" spans="1:41" s="5" customFormat="1" ht="12" thickBot="1">
      <c r="A11" s="480" t="str">
        <f>'1-συμβολαια'!A11</f>
        <v>3ο</v>
      </c>
      <c r="B11" s="497" t="str">
        <f>'1-συμβολαια'!C11</f>
        <v>κάθετος ΣΥΣΤΑΣΗ</v>
      </c>
      <c r="C11" s="483">
        <f>'1-συμβολαια'!D11</f>
        <v>0</v>
      </c>
      <c r="D11" s="480">
        <f>'3-φύλλα2α'!D11</f>
        <v>4</v>
      </c>
      <c r="E11" s="480">
        <f>'3-φύλλα2α'!E11</f>
        <v>4</v>
      </c>
      <c r="F11" s="492">
        <v>3</v>
      </c>
      <c r="G11" s="492">
        <v>3</v>
      </c>
      <c r="H11" s="484">
        <f t="shared" si="12"/>
        <v>38.76</v>
      </c>
      <c r="I11" s="484">
        <f t="shared" si="13"/>
        <v>38.76</v>
      </c>
      <c r="J11" s="484">
        <f t="shared" si="14"/>
        <v>1.9379999999999999</v>
      </c>
      <c r="K11" s="484">
        <f t="shared" si="15"/>
        <v>1.9379999999999999</v>
      </c>
      <c r="L11" s="484">
        <f t="shared" si="16"/>
        <v>0.3876</v>
      </c>
      <c r="M11" s="484">
        <f t="shared" si="17"/>
        <v>34.496399999999994</v>
      </c>
      <c r="N11" s="484">
        <f t="shared" si="18"/>
        <v>34.496400000000001</v>
      </c>
      <c r="O11" s="484">
        <f t="shared" si="19"/>
        <v>4.2636000000000003</v>
      </c>
      <c r="P11" s="484">
        <f t="shared" si="20"/>
        <v>4.2635999999999994</v>
      </c>
      <c r="Q11" s="484">
        <f t="shared" si="21"/>
        <v>0</v>
      </c>
      <c r="R11" s="579"/>
      <c r="S11" s="579"/>
      <c r="T11" s="579">
        <v>12.92</v>
      </c>
      <c r="U11" s="580">
        <v>1.98</v>
      </c>
      <c r="V11" s="581"/>
      <c r="W11" s="581"/>
      <c r="X11" s="581"/>
      <c r="Y11" s="581"/>
      <c r="Z11" s="581"/>
      <c r="AA11" s="581"/>
      <c r="AB11" s="581"/>
      <c r="AC11" s="581"/>
      <c r="AD11" s="581"/>
      <c r="AE11" s="581"/>
      <c r="AF11" s="581"/>
      <c r="AG11" s="586"/>
      <c r="AH11" s="581">
        <v>6.26</v>
      </c>
      <c r="AI11" s="581">
        <v>1.98</v>
      </c>
      <c r="AJ11" s="581"/>
      <c r="AK11" s="581"/>
      <c r="AL11" s="581"/>
      <c r="AM11" s="588">
        <f t="shared" si="22"/>
        <v>3.96</v>
      </c>
      <c r="AN11" s="589">
        <f t="shared" si="23"/>
        <v>19.18</v>
      </c>
      <c r="AO11" s="581"/>
    </row>
    <row r="12" spans="1:41" s="5" customFormat="1" ht="12" thickBot="1">
      <c r="A12" s="480" t="str">
        <f>'1-συμβολαια'!A12</f>
        <v>4ο</v>
      </c>
      <c r="B12" s="497" t="str">
        <f>'1-συμβολαια'!C12</f>
        <v>γονική ΨΙΛΗΣ ΚΥΡΙΟΤΗΤΑΣ</v>
      </c>
      <c r="C12" s="483">
        <f>'1-συμβολαια'!D12</f>
        <v>19272.79</v>
      </c>
      <c r="D12" s="480">
        <f>'3-φύλλα2α'!D12</f>
        <v>4</v>
      </c>
      <c r="E12" s="480">
        <f>'3-φύλλα2α'!E12</f>
        <v>4</v>
      </c>
      <c r="F12" s="492">
        <v>2</v>
      </c>
      <c r="G12" s="492">
        <v>2</v>
      </c>
      <c r="H12" s="484">
        <f t="shared" si="12"/>
        <v>25.84</v>
      </c>
      <c r="I12" s="484">
        <f t="shared" si="13"/>
        <v>25.84</v>
      </c>
      <c r="J12" s="484">
        <f t="shared" si="14"/>
        <v>1.292</v>
      </c>
      <c r="K12" s="484">
        <f t="shared" si="15"/>
        <v>1.292</v>
      </c>
      <c r="L12" s="484">
        <f t="shared" si="16"/>
        <v>0.25840000000000002</v>
      </c>
      <c r="M12" s="484">
        <f t="shared" si="17"/>
        <v>22.997599999999998</v>
      </c>
      <c r="N12" s="484">
        <f t="shared" si="18"/>
        <v>22.997599999999998</v>
      </c>
      <c r="O12" s="484">
        <f t="shared" si="19"/>
        <v>2.8424</v>
      </c>
      <c r="P12" s="484">
        <f t="shared" si="20"/>
        <v>2.8424</v>
      </c>
      <c r="Q12" s="484">
        <f t="shared" si="21"/>
        <v>0</v>
      </c>
      <c r="R12" s="579">
        <v>12.92</v>
      </c>
      <c r="S12" s="579">
        <v>1.47</v>
      </c>
      <c r="T12" s="579">
        <v>12.92</v>
      </c>
      <c r="U12" s="580">
        <v>1.98</v>
      </c>
      <c r="V12" s="579">
        <v>12.92</v>
      </c>
      <c r="W12" s="579">
        <v>1.47</v>
      </c>
      <c r="X12" s="579"/>
      <c r="Y12" s="579"/>
      <c r="Z12" s="579"/>
      <c r="AA12" s="579"/>
      <c r="AB12" s="579"/>
      <c r="AC12" s="579"/>
      <c r="AD12" s="579">
        <v>3.23</v>
      </c>
      <c r="AE12" s="579">
        <v>6.26</v>
      </c>
      <c r="AF12" s="579">
        <v>1.47</v>
      </c>
      <c r="AG12" s="582"/>
      <c r="AH12" s="579">
        <v>6.46</v>
      </c>
      <c r="AI12" s="579">
        <v>1.98</v>
      </c>
      <c r="AJ12" s="579"/>
      <c r="AK12" s="579"/>
      <c r="AL12" s="579"/>
      <c r="AM12" s="587">
        <f t="shared" si="22"/>
        <v>3.96</v>
      </c>
      <c r="AN12" s="580">
        <f t="shared" si="23"/>
        <v>59.12</v>
      </c>
      <c r="AO12" s="579"/>
    </row>
    <row r="13" spans="1:41" s="5" customFormat="1" ht="12" thickBot="1">
      <c r="A13" s="480" t="str">
        <f>'1-συμβολαια'!A13</f>
        <v>5ο</v>
      </c>
      <c r="B13" s="497" t="str">
        <f>'1-συμβολαια'!C13</f>
        <v>πληρεξούσιο</v>
      </c>
      <c r="C13" s="483">
        <f>'1-συμβολαια'!D13</f>
        <v>0</v>
      </c>
      <c r="D13" s="480">
        <f>'3-φύλλα2α'!D13</f>
        <v>3</v>
      </c>
      <c r="E13" s="480">
        <f>'3-φύλλα2α'!E13</f>
        <v>3</v>
      </c>
      <c r="F13" s="492">
        <v>1</v>
      </c>
      <c r="G13" s="492">
        <v>1</v>
      </c>
      <c r="H13" s="484">
        <f t="shared" si="12"/>
        <v>9.69</v>
      </c>
      <c r="I13" s="484">
        <f t="shared" si="13"/>
        <v>9.69</v>
      </c>
      <c r="J13" s="484">
        <f t="shared" si="14"/>
        <v>0.48449999999999999</v>
      </c>
      <c r="K13" s="484">
        <f t="shared" si="15"/>
        <v>0.48449999999999999</v>
      </c>
      <c r="L13" s="484">
        <f t="shared" si="16"/>
        <v>9.69E-2</v>
      </c>
      <c r="M13" s="484">
        <f t="shared" si="17"/>
        <v>8.6240999999999985</v>
      </c>
      <c r="N13" s="484">
        <f t="shared" si="18"/>
        <v>8.6241000000000003</v>
      </c>
      <c r="O13" s="484">
        <f t="shared" si="19"/>
        <v>1.0659000000000001</v>
      </c>
      <c r="P13" s="484">
        <f t="shared" si="20"/>
        <v>1.0658999999999998</v>
      </c>
      <c r="Q13" s="484">
        <f t="shared" si="21"/>
        <v>0</v>
      </c>
      <c r="R13" s="581"/>
      <c r="S13" s="581"/>
      <c r="T13" s="581"/>
      <c r="U13" s="589"/>
      <c r="V13" s="581"/>
      <c r="W13" s="581"/>
      <c r="X13" s="581"/>
      <c r="Y13" s="581"/>
      <c r="Z13" s="581"/>
      <c r="AA13" s="581"/>
      <c r="AB13" s="581"/>
      <c r="AC13" s="581"/>
      <c r="AD13" s="581"/>
      <c r="AE13" s="581"/>
      <c r="AF13" s="581"/>
      <c r="AG13" s="586"/>
      <c r="AH13" s="581"/>
      <c r="AI13" s="589"/>
      <c r="AJ13" s="581"/>
      <c r="AK13" s="581"/>
      <c r="AL13" s="581"/>
      <c r="AM13" s="588">
        <f t="shared" si="22"/>
        <v>0</v>
      </c>
      <c r="AN13" s="589">
        <f t="shared" si="23"/>
        <v>0</v>
      </c>
      <c r="AO13" s="581"/>
    </row>
    <row r="14" spans="1:41" s="5" customFormat="1">
      <c r="A14" s="672" t="str">
        <f>'1-συμβολαια'!A14</f>
        <v>6ο</v>
      </c>
      <c r="B14" s="346" t="str">
        <f>'1-συμβολαια'!C14</f>
        <v>μίσθωση αγροτεμαχίων 15 έτη { έως 19/1/2019 }</v>
      </c>
      <c r="C14" s="319">
        <f>'1-συμβολαια'!D14</f>
        <v>8109</v>
      </c>
      <c r="D14" s="466">
        <f>'3-φύλλα2α'!D14</f>
        <v>4</v>
      </c>
      <c r="E14" s="466">
        <f>'3-φύλλα2α'!E14</f>
        <v>4</v>
      </c>
      <c r="F14" s="257">
        <v>3</v>
      </c>
      <c r="G14" s="257">
        <v>3</v>
      </c>
      <c r="H14" s="313">
        <f t="shared" si="12"/>
        <v>38.76</v>
      </c>
      <c r="I14" s="313">
        <f t="shared" si="13"/>
        <v>38.76</v>
      </c>
      <c r="J14" s="313">
        <f t="shared" si="14"/>
        <v>1.9379999999999999</v>
      </c>
      <c r="K14" s="313">
        <f t="shared" si="15"/>
        <v>1.9379999999999999</v>
      </c>
      <c r="L14" s="313">
        <f t="shared" si="16"/>
        <v>0.3876</v>
      </c>
      <c r="M14" s="313">
        <f t="shared" si="17"/>
        <v>34.496399999999994</v>
      </c>
      <c r="N14" s="313">
        <f t="shared" si="18"/>
        <v>34.496400000000001</v>
      </c>
      <c r="O14" s="313">
        <f t="shared" si="19"/>
        <v>4.2636000000000003</v>
      </c>
      <c r="P14" s="313">
        <f t="shared" si="20"/>
        <v>4.2635999999999994</v>
      </c>
      <c r="Q14" s="313">
        <f t="shared" si="21"/>
        <v>0</v>
      </c>
      <c r="R14" s="404">
        <f>3*3.23</f>
        <v>9.69</v>
      </c>
      <c r="S14" s="404">
        <v>1.47</v>
      </c>
      <c r="T14" s="404">
        <v>12.92</v>
      </c>
      <c r="U14" s="406">
        <v>1.98</v>
      </c>
      <c r="V14" s="404"/>
      <c r="W14" s="404"/>
      <c r="X14" s="404"/>
      <c r="Y14" s="404"/>
      <c r="Z14" s="404">
        <f>2*12.92</f>
        <v>25.84</v>
      </c>
      <c r="AA14" s="404">
        <f>2*1.98</f>
        <v>3.96</v>
      </c>
      <c r="AB14" s="404"/>
      <c r="AC14" s="404"/>
      <c r="AD14" s="404"/>
      <c r="AE14" s="404"/>
      <c r="AF14" s="404"/>
      <c r="AG14" s="583"/>
      <c r="AH14" s="404"/>
      <c r="AI14" s="404"/>
      <c r="AJ14" s="404"/>
      <c r="AK14" s="404"/>
      <c r="AL14" s="404"/>
      <c r="AM14" s="405">
        <f t="shared" si="22"/>
        <v>5.9399999999999995</v>
      </c>
      <c r="AN14" s="406">
        <f t="shared" si="23"/>
        <v>49.92</v>
      </c>
      <c r="AO14" s="404"/>
    </row>
    <row r="15" spans="1:41" s="5" customFormat="1">
      <c r="A15" s="465">
        <f>'1-συμβολαια'!A15</f>
        <v>0</v>
      </c>
      <c r="B15" s="324" t="str">
        <f>'1-συμβολαια'!C15</f>
        <v>ΧΡΗΣΙΚΤΗΣΙΑ αγροτεμαχίων 2'-3' = 19?? ΑΝΑΔΑΣΜΟΣ</v>
      </c>
      <c r="C15" s="311">
        <f>'1-συμβολαια'!D15</f>
        <v>444.44</v>
      </c>
      <c r="D15" s="336">
        <f>'3-φύλλα2α'!D15</f>
        <v>4</v>
      </c>
      <c r="E15" s="336">
        <f>'3-φύλλα2α'!E15</f>
        <v>0</v>
      </c>
      <c r="F15" s="261"/>
      <c r="G15" s="261"/>
      <c r="H15" s="312">
        <f t="shared" si="12"/>
        <v>0</v>
      </c>
      <c r="I15" s="312">
        <f t="shared" si="13"/>
        <v>0</v>
      </c>
      <c r="J15" s="312">
        <f t="shared" si="14"/>
        <v>0</v>
      </c>
      <c r="K15" s="312">
        <f t="shared" si="15"/>
        <v>0</v>
      </c>
      <c r="L15" s="312">
        <f t="shared" si="16"/>
        <v>0</v>
      </c>
      <c r="M15" s="312">
        <f t="shared" si="17"/>
        <v>0</v>
      </c>
      <c r="N15" s="312">
        <f t="shared" si="18"/>
        <v>0</v>
      </c>
      <c r="O15" s="312">
        <f t="shared" si="19"/>
        <v>0</v>
      </c>
      <c r="P15" s="312">
        <f t="shared" si="20"/>
        <v>0</v>
      </c>
      <c r="Q15" s="312">
        <f t="shared" si="21"/>
        <v>0</v>
      </c>
      <c r="R15" s="402"/>
      <c r="S15" s="402"/>
      <c r="T15" s="402"/>
      <c r="U15" s="403"/>
      <c r="V15" s="402"/>
      <c r="W15" s="402"/>
      <c r="X15" s="402"/>
      <c r="Y15" s="402"/>
      <c r="Z15" s="402"/>
      <c r="AA15" s="402"/>
      <c r="AB15" s="402"/>
      <c r="AC15" s="402"/>
      <c r="AD15" s="402"/>
      <c r="AE15" s="402"/>
      <c r="AF15" s="402"/>
      <c r="AG15" s="584"/>
      <c r="AH15" s="402"/>
      <c r="AI15" s="403"/>
      <c r="AJ15" s="402"/>
      <c r="AK15" s="402"/>
      <c r="AL15" s="402"/>
      <c r="AM15" s="424">
        <f t="shared" si="22"/>
        <v>0</v>
      </c>
      <c r="AN15" s="403">
        <f t="shared" si="23"/>
        <v>0</v>
      </c>
      <c r="AO15" s="402"/>
    </row>
    <row r="16" spans="1:41" s="5" customFormat="1">
      <c r="A16" s="465">
        <f>'1-συμβολαια'!A16</f>
        <v>0</v>
      </c>
      <c r="B16" s="324" t="str">
        <f>'1-συμβολαια'!C16</f>
        <v>ΧΡΗΣΙΚΤΗΣΙΑ αγροτεμαχίων υπόλοιπων 12 = πατρός 19?? ΔΩΡΕΕΣ &amp; ΚΛΗΡΟΝΟΜΙΕΣ άτυπες</v>
      </c>
      <c r="C16" s="311">
        <f>'1-συμβολαια'!D16</f>
        <v>2222.2199999999998</v>
      </c>
      <c r="D16" s="336">
        <f>'3-φύλλα2α'!D16</f>
        <v>4</v>
      </c>
      <c r="E16" s="336">
        <f>'3-φύλλα2α'!E16</f>
        <v>0</v>
      </c>
      <c r="F16" s="261"/>
      <c r="G16" s="261"/>
      <c r="H16" s="312">
        <f t="shared" ref="H16:H21" si="36">F16*D16*3.23</f>
        <v>0</v>
      </c>
      <c r="I16" s="312">
        <f t="shared" ref="I16:I21" si="37">E16*G16*3.23</f>
        <v>0</v>
      </c>
      <c r="J16" s="312">
        <f t="shared" ref="J16:J21" si="38">H16*5%</f>
        <v>0</v>
      </c>
      <c r="K16" s="312">
        <f t="shared" ref="K16:K21" si="39">H16*5%</f>
        <v>0</v>
      </c>
      <c r="L16" s="312">
        <f t="shared" ref="L16:L21" si="40">H16*1%</f>
        <v>0</v>
      </c>
      <c r="M16" s="312">
        <f t="shared" ref="M16:M21" si="41">H16-O16</f>
        <v>0</v>
      </c>
      <c r="N16" s="312">
        <f t="shared" ref="N16:N21" si="42">I16-P16</f>
        <v>0</v>
      </c>
      <c r="O16" s="312">
        <f t="shared" ref="O16:O21" si="43">J16+K16+L16</f>
        <v>0</v>
      </c>
      <c r="P16" s="312">
        <f t="shared" ref="P16:P21" si="44">I16*11%</f>
        <v>0</v>
      </c>
      <c r="Q16" s="312">
        <f t="shared" ref="Q16:Q21" si="45">O16-P16</f>
        <v>0</v>
      </c>
      <c r="R16" s="402"/>
      <c r="S16" s="402"/>
      <c r="T16" s="402"/>
      <c r="U16" s="403"/>
      <c r="V16" s="402"/>
      <c r="W16" s="402"/>
      <c r="X16" s="402"/>
      <c r="Y16" s="402"/>
      <c r="Z16" s="402"/>
      <c r="AA16" s="402"/>
      <c r="AB16" s="402"/>
      <c r="AC16" s="402"/>
      <c r="AD16" s="402"/>
      <c r="AE16" s="402"/>
      <c r="AF16" s="402"/>
      <c r="AG16" s="584"/>
      <c r="AH16" s="402"/>
      <c r="AI16" s="403"/>
      <c r="AJ16" s="402"/>
      <c r="AK16" s="402"/>
      <c r="AL16" s="402"/>
      <c r="AM16" s="424">
        <f t="shared" ref="AM16:AM21" si="46">U16+Y16+AA16+AI16+AK16</f>
        <v>0</v>
      </c>
      <c r="AN16" s="403">
        <f t="shared" ref="AN16:AN21" si="47">R16+S16+T16+V16+W16+X16+Z16+AB16+AC16+AD16+AE16+AF16+AG16+AH16+AJ16+AL16</f>
        <v>0</v>
      </c>
      <c r="AO16" s="402"/>
    </row>
    <row r="17" spans="1:41" s="5" customFormat="1" ht="12" thickBot="1">
      <c r="A17" s="684">
        <f>'1-συμβολαια'!A17</f>
        <v>0</v>
      </c>
      <c r="B17" s="563" t="str">
        <f>'1-συμβολαια'!C17</f>
        <v>μίσθωση = ΠΑΓΙΑ ως νέος αγρότης</v>
      </c>
      <c r="C17" s="529">
        <f>'1-συμβολαια'!D17</f>
        <v>11111.11</v>
      </c>
      <c r="D17" s="562">
        <f>'3-φύλλα2α'!D17</f>
        <v>4</v>
      </c>
      <c r="E17" s="562">
        <f>'3-φύλλα2α'!E17</f>
        <v>0</v>
      </c>
      <c r="F17" s="569"/>
      <c r="G17" s="569"/>
      <c r="H17" s="504">
        <f t="shared" si="36"/>
        <v>0</v>
      </c>
      <c r="I17" s="504">
        <f t="shared" si="37"/>
        <v>0</v>
      </c>
      <c r="J17" s="504">
        <f t="shared" si="38"/>
        <v>0</v>
      </c>
      <c r="K17" s="504">
        <f t="shared" si="39"/>
        <v>0</v>
      </c>
      <c r="L17" s="504">
        <f t="shared" si="40"/>
        <v>0</v>
      </c>
      <c r="M17" s="504">
        <f t="shared" si="41"/>
        <v>0</v>
      </c>
      <c r="N17" s="504">
        <f t="shared" si="42"/>
        <v>0</v>
      </c>
      <c r="O17" s="504">
        <f t="shared" si="43"/>
        <v>0</v>
      </c>
      <c r="P17" s="504">
        <f t="shared" si="44"/>
        <v>0</v>
      </c>
      <c r="Q17" s="504">
        <f t="shared" si="45"/>
        <v>0</v>
      </c>
      <c r="R17" s="579"/>
      <c r="S17" s="579"/>
      <c r="T17" s="579"/>
      <c r="U17" s="580"/>
      <c r="V17" s="579"/>
      <c r="W17" s="579"/>
      <c r="X17" s="579"/>
      <c r="Y17" s="579"/>
      <c r="Z17" s="579"/>
      <c r="AA17" s="579"/>
      <c r="AB17" s="579"/>
      <c r="AC17" s="579"/>
      <c r="AD17" s="579"/>
      <c r="AE17" s="579"/>
      <c r="AF17" s="579"/>
      <c r="AG17" s="683"/>
      <c r="AH17" s="579"/>
      <c r="AI17" s="580"/>
      <c r="AJ17" s="579"/>
      <c r="AK17" s="579"/>
      <c r="AL17" s="579"/>
      <c r="AM17" s="587">
        <f t="shared" si="46"/>
        <v>0</v>
      </c>
      <c r="AN17" s="580">
        <f t="shared" si="47"/>
        <v>0</v>
      </c>
      <c r="AO17" s="579"/>
    </row>
    <row r="18" spans="1:41" s="5" customFormat="1" ht="12" thickBot="1">
      <c r="A18" s="480" t="str">
        <f>'1-συμβολαια'!A18</f>
        <v>7ο</v>
      </c>
      <c r="B18" s="497" t="str">
        <f>'1-συμβολαια'!C18</f>
        <v>*καθετου συστάσεως 2.539 ΔΙΟΡΘΩΣΗ</v>
      </c>
      <c r="C18" s="483">
        <f>'1-συμβολαια'!D18</f>
        <v>0</v>
      </c>
      <c r="D18" s="480">
        <f>'3-φύλλα2α'!D18</f>
        <v>3</v>
      </c>
      <c r="E18" s="480">
        <f>'3-φύλλα2α'!E18</f>
        <v>3</v>
      </c>
      <c r="F18" s="492">
        <v>3</v>
      </c>
      <c r="G18" s="492">
        <v>3</v>
      </c>
      <c r="H18" s="484">
        <f t="shared" si="36"/>
        <v>29.07</v>
      </c>
      <c r="I18" s="484">
        <f t="shared" si="37"/>
        <v>29.07</v>
      </c>
      <c r="J18" s="484">
        <f t="shared" si="38"/>
        <v>1.4535</v>
      </c>
      <c r="K18" s="484">
        <f t="shared" si="39"/>
        <v>1.4535</v>
      </c>
      <c r="L18" s="484">
        <f t="shared" si="40"/>
        <v>0.29070000000000001</v>
      </c>
      <c r="M18" s="484">
        <f t="shared" si="41"/>
        <v>25.872299999999999</v>
      </c>
      <c r="N18" s="484">
        <f t="shared" si="42"/>
        <v>25.872299999999999</v>
      </c>
      <c r="O18" s="484">
        <f t="shared" si="43"/>
        <v>3.1977000000000002</v>
      </c>
      <c r="P18" s="484">
        <f t="shared" si="44"/>
        <v>3.1977000000000002</v>
      </c>
      <c r="Q18" s="484">
        <f t="shared" si="45"/>
        <v>0</v>
      </c>
      <c r="R18" s="581">
        <v>12.92</v>
      </c>
      <c r="S18" s="581">
        <v>1.47</v>
      </c>
      <c r="T18" s="581">
        <v>9.69</v>
      </c>
      <c r="U18" s="589">
        <v>1.98</v>
      </c>
      <c r="V18" s="581"/>
      <c r="W18" s="581"/>
      <c r="X18" s="581"/>
      <c r="Y18" s="581"/>
      <c r="Z18" s="581"/>
      <c r="AA18" s="581"/>
      <c r="AB18" s="581"/>
      <c r="AC18" s="581"/>
      <c r="AD18" s="581">
        <v>3.23</v>
      </c>
      <c r="AE18" s="581">
        <v>6.46</v>
      </c>
      <c r="AF18" s="581">
        <v>1.47</v>
      </c>
      <c r="AG18" s="586"/>
      <c r="AH18" s="581"/>
      <c r="AI18" s="589"/>
      <c r="AJ18" s="581"/>
      <c r="AK18" s="581"/>
      <c r="AL18" s="581"/>
      <c r="AM18" s="588">
        <f t="shared" si="46"/>
        <v>1.98</v>
      </c>
      <c r="AN18" s="589">
        <f t="shared" si="47"/>
        <v>35.239999999999995</v>
      </c>
      <c r="AO18" s="404"/>
    </row>
    <row r="19" spans="1:41" s="5" customFormat="1" ht="12" thickBot="1">
      <c r="A19" s="480" t="str">
        <f>'1-συμβολαια'!A19</f>
        <v>8ο</v>
      </c>
      <c r="B19" s="497" t="str">
        <f>'1-συμβολαια'!C19</f>
        <v>*γονικής 2.540 ΔΙΟΡΘΩΣΗ</v>
      </c>
      <c r="C19" s="483">
        <f>'1-συμβολαια'!D19</f>
        <v>0</v>
      </c>
      <c r="D19" s="480">
        <f>'3-φύλλα2α'!D19</f>
        <v>4</v>
      </c>
      <c r="E19" s="480">
        <f>'3-φύλλα2α'!E19</f>
        <v>4</v>
      </c>
      <c r="F19" s="492">
        <v>3</v>
      </c>
      <c r="G19" s="492">
        <v>3</v>
      </c>
      <c r="H19" s="484">
        <f t="shared" si="36"/>
        <v>38.76</v>
      </c>
      <c r="I19" s="484">
        <f t="shared" si="37"/>
        <v>38.76</v>
      </c>
      <c r="J19" s="484">
        <f t="shared" si="38"/>
        <v>1.9379999999999999</v>
      </c>
      <c r="K19" s="484">
        <f t="shared" si="39"/>
        <v>1.9379999999999999</v>
      </c>
      <c r="L19" s="484">
        <f t="shared" si="40"/>
        <v>0.3876</v>
      </c>
      <c r="M19" s="484">
        <f t="shared" si="41"/>
        <v>34.496399999999994</v>
      </c>
      <c r="N19" s="484">
        <f t="shared" si="42"/>
        <v>34.496400000000001</v>
      </c>
      <c r="O19" s="484">
        <f t="shared" si="43"/>
        <v>4.2636000000000003</v>
      </c>
      <c r="P19" s="484">
        <f t="shared" si="44"/>
        <v>4.2635999999999994</v>
      </c>
      <c r="Q19" s="484">
        <f t="shared" si="45"/>
        <v>0</v>
      </c>
      <c r="R19" s="579">
        <v>25.84</v>
      </c>
      <c r="S19" s="579">
        <v>1.47</v>
      </c>
      <c r="T19" s="579">
        <v>12.92</v>
      </c>
      <c r="U19" s="580">
        <v>1.98</v>
      </c>
      <c r="V19" s="579"/>
      <c r="W19" s="579"/>
      <c r="X19" s="579"/>
      <c r="Y19" s="579"/>
      <c r="Z19" s="579">
        <v>12.92</v>
      </c>
      <c r="AA19" s="579">
        <v>3.96</v>
      </c>
      <c r="AB19" s="579"/>
      <c r="AC19" s="579"/>
      <c r="AD19" s="579">
        <v>3.23</v>
      </c>
      <c r="AE19" s="579">
        <v>6.46</v>
      </c>
      <c r="AF19" s="579">
        <v>1.47</v>
      </c>
      <c r="AG19" s="683"/>
      <c r="AH19" s="579"/>
      <c r="AI19" s="580"/>
      <c r="AJ19" s="579"/>
      <c r="AK19" s="579"/>
      <c r="AL19" s="579"/>
      <c r="AM19" s="587">
        <f t="shared" si="46"/>
        <v>5.9399999999999995</v>
      </c>
      <c r="AN19" s="580">
        <f t="shared" si="47"/>
        <v>64.31</v>
      </c>
      <c r="AO19" s="402"/>
    </row>
    <row r="20" spans="1:41" s="5" customFormat="1">
      <c r="A20" s="672" t="str">
        <f>'1-συμβολαια'!A20</f>
        <v>9ο</v>
      </c>
      <c r="B20" s="346" t="str">
        <f>'1-συμβολαια'!C20</f>
        <v>γονική</v>
      </c>
      <c r="C20" s="319">
        <f>'1-συμβολαια'!D20</f>
        <v>1400</v>
      </c>
      <c r="D20" s="466">
        <f>'3-φύλλα2α'!D20</f>
        <v>5</v>
      </c>
      <c r="E20" s="466">
        <f>'3-φύλλα2α'!E20</f>
        <v>5</v>
      </c>
      <c r="F20" s="257">
        <v>3</v>
      </c>
      <c r="G20" s="257">
        <v>3</v>
      </c>
      <c r="H20" s="313">
        <f t="shared" si="36"/>
        <v>48.45</v>
      </c>
      <c r="I20" s="313">
        <f t="shared" si="37"/>
        <v>48.45</v>
      </c>
      <c r="J20" s="313">
        <f t="shared" si="38"/>
        <v>2.4225000000000003</v>
      </c>
      <c r="K20" s="313">
        <f t="shared" si="39"/>
        <v>2.4225000000000003</v>
      </c>
      <c r="L20" s="313">
        <f t="shared" si="40"/>
        <v>0.48450000000000004</v>
      </c>
      <c r="M20" s="313">
        <f t="shared" si="41"/>
        <v>43.1205</v>
      </c>
      <c r="N20" s="313">
        <f t="shared" si="42"/>
        <v>43.1205</v>
      </c>
      <c r="O20" s="313">
        <f t="shared" si="43"/>
        <v>5.3295000000000003</v>
      </c>
      <c r="P20" s="313">
        <f t="shared" si="44"/>
        <v>5.3295000000000003</v>
      </c>
      <c r="Q20" s="313">
        <f t="shared" si="45"/>
        <v>0</v>
      </c>
      <c r="R20" s="404"/>
      <c r="S20" s="404"/>
      <c r="T20" s="404">
        <v>16.149999999999999</v>
      </c>
      <c r="U20" s="406">
        <v>1.98</v>
      </c>
      <c r="V20" s="404">
        <v>12.92</v>
      </c>
      <c r="W20" s="404">
        <v>1.47</v>
      </c>
      <c r="X20" s="404"/>
      <c r="Y20" s="404"/>
      <c r="Z20" s="404"/>
      <c r="AA20" s="404"/>
      <c r="AB20" s="404"/>
      <c r="AC20" s="404"/>
      <c r="AD20" s="404"/>
      <c r="AE20" s="404"/>
      <c r="AF20" s="404"/>
      <c r="AG20" s="583"/>
      <c r="AH20" s="404">
        <v>6.46</v>
      </c>
      <c r="AI20" s="406">
        <v>1.98</v>
      </c>
      <c r="AJ20" s="404"/>
      <c r="AK20" s="404"/>
      <c r="AL20" s="404"/>
      <c r="AM20" s="405">
        <f t="shared" si="46"/>
        <v>3.96</v>
      </c>
      <c r="AN20" s="406">
        <f t="shared" si="47"/>
        <v>37</v>
      </c>
      <c r="AO20" s="402"/>
    </row>
    <row r="21" spans="1:41" s="5" customFormat="1" ht="12" thickBot="1">
      <c r="A21" s="467">
        <f>'1-συμβολαια'!A21</f>
        <v>0</v>
      </c>
      <c r="B21" s="468" t="str">
        <f>'1-συμβολαια'!C21</f>
        <v>ΧΡΗΣΙΚΤΗΣΙΑ οικοπέδου ΄΄κάστρο'' 52,50μ2 = 1970 κυδωνηςΙωαννης ΔΩΡΕΑ άτυπη</v>
      </c>
      <c r="C21" s="469">
        <f>'1-συμβολαια'!D21</f>
        <v>111.11</v>
      </c>
      <c r="D21" s="470">
        <f>'3-φύλλα2α'!D21</f>
        <v>5</v>
      </c>
      <c r="E21" s="470">
        <f>'3-φύλλα2α'!E21</f>
        <v>0</v>
      </c>
      <c r="F21" s="387"/>
      <c r="G21" s="387"/>
      <c r="H21" s="471">
        <f t="shared" si="36"/>
        <v>0</v>
      </c>
      <c r="I21" s="471">
        <f t="shared" si="37"/>
        <v>0</v>
      </c>
      <c r="J21" s="471">
        <f t="shared" si="38"/>
        <v>0</v>
      </c>
      <c r="K21" s="471">
        <f t="shared" si="39"/>
        <v>0</v>
      </c>
      <c r="L21" s="471">
        <f t="shared" si="40"/>
        <v>0</v>
      </c>
      <c r="M21" s="471">
        <f t="shared" si="41"/>
        <v>0</v>
      </c>
      <c r="N21" s="471">
        <f t="shared" si="42"/>
        <v>0</v>
      </c>
      <c r="O21" s="471">
        <f t="shared" si="43"/>
        <v>0</v>
      </c>
      <c r="P21" s="471">
        <f t="shared" si="44"/>
        <v>0</v>
      </c>
      <c r="Q21" s="471">
        <f t="shared" si="45"/>
        <v>0</v>
      </c>
      <c r="R21" s="547"/>
      <c r="S21" s="547"/>
      <c r="T21" s="547"/>
      <c r="U21" s="544"/>
      <c r="V21" s="547"/>
      <c r="W21" s="547"/>
      <c r="X21" s="547"/>
      <c r="Y21" s="547"/>
      <c r="Z21" s="547"/>
      <c r="AA21" s="547"/>
      <c r="AB21" s="547"/>
      <c r="AC21" s="547"/>
      <c r="AD21" s="547"/>
      <c r="AE21" s="547"/>
      <c r="AF21" s="547"/>
      <c r="AG21" s="585"/>
      <c r="AH21" s="547"/>
      <c r="AI21" s="544"/>
      <c r="AJ21" s="547"/>
      <c r="AK21" s="547"/>
      <c r="AL21" s="547"/>
      <c r="AM21" s="548">
        <f t="shared" si="46"/>
        <v>0</v>
      </c>
      <c r="AN21" s="544">
        <f t="shared" si="47"/>
        <v>0</v>
      </c>
      <c r="AO21" s="547"/>
    </row>
    <row r="22" spans="1:41">
      <c r="A22" s="713" t="s">
        <v>47</v>
      </c>
      <c r="B22" s="714"/>
      <c r="C22" s="714"/>
      <c r="D22" s="714"/>
      <c r="E22" s="714"/>
      <c r="F22" s="714"/>
      <c r="G22" s="781"/>
      <c r="H22" s="395">
        <f t="shared" ref="H22:W22" si="48">SUM(H3:H21)</f>
        <v>268.08999999999997</v>
      </c>
      <c r="I22" s="395">
        <f t="shared" si="48"/>
        <v>268.08999999999997</v>
      </c>
      <c r="J22" s="395">
        <f t="shared" si="48"/>
        <v>13.404500000000002</v>
      </c>
      <c r="K22" s="395">
        <f t="shared" si="48"/>
        <v>13.404500000000002</v>
      </c>
      <c r="L22" s="395">
        <f t="shared" si="48"/>
        <v>2.6809000000000003</v>
      </c>
      <c r="M22" s="395">
        <f t="shared" si="48"/>
        <v>238.60009999999997</v>
      </c>
      <c r="N22" s="395">
        <f t="shared" si="48"/>
        <v>238.60009999999997</v>
      </c>
      <c r="O22" s="395">
        <f t="shared" si="48"/>
        <v>29.489900000000002</v>
      </c>
      <c r="P22" s="395">
        <f t="shared" si="48"/>
        <v>29.489899999999999</v>
      </c>
      <c r="Q22" s="395">
        <f t="shared" si="48"/>
        <v>0</v>
      </c>
      <c r="R22" s="395">
        <f t="shared" si="48"/>
        <v>61.370000000000005</v>
      </c>
      <c r="S22" s="395">
        <f t="shared" si="48"/>
        <v>5.88</v>
      </c>
      <c r="T22" s="395">
        <f t="shared" si="48"/>
        <v>100.13</v>
      </c>
      <c r="U22" s="395">
        <f t="shared" si="48"/>
        <v>15.840000000000002</v>
      </c>
      <c r="V22" s="395">
        <f t="shared" si="48"/>
        <v>25.84</v>
      </c>
      <c r="W22" s="395">
        <f t="shared" si="48"/>
        <v>2.94</v>
      </c>
      <c r="X22" s="395"/>
      <c r="Y22" s="395"/>
      <c r="Z22" s="395"/>
      <c r="AA22" s="395">
        <f t="shared" ref="AA22:AF22" si="49">SUM(AA3:AA21)</f>
        <v>7.92</v>
      </c>
      <c r="AB22" s="395">
        <f t="shared" si="49"/>
        <v>0</v>
      </c>
      <c r="AC22" s="395">
        <f t="shared" si="49"/>
        <v>0</v>
      </c>
      <c r="AD22" s="395">
        <f t="shared" si="49"/>
        <v>9.69</v>
      </c>
      <c r="AE22" s="395">
        <f t="shared" si="49"/>
        <v>19.18</v>
      </c>
      <c r="AF22" s="395">
        <f t="shared" si="49"/>
        <v>4.41</v>
      </c>
      <c r="AG22" s="254"/>
      <c r="AH22" s="395">
        <f>SUM(AH3:AH21)</f>
        <v>31.700000000000003</v>
      </c>
      <c r="AI22" s="395">
        <f>SUM(AI3:AI21)</f>
        <v>9.9</v>
      </c>
      <c r="AJ22" s="395"/>
      <c r="AK22" s="395"/>
      <c r="AL22" s="395">
        <f>SUM(AL3:AL21)</f>
        <v>0</v>
      </c>
      <c r="AM22" s="395">
        <f>SUM(AM3:AM21)</f>
        <v>33.660000000000004</v>
      </c>
      <c r="AN22" s="395">
        <f>SUM(AN3:AN21)</f>
        <v>299.89999999999998</v>
      </c>
    </row>
    <row r="24" spans="1:41">
      <c r="R24" s="144" t="s">
        <v>452</v>
      </c>
      <c r="S24" s="153"/>
      <c r="T24" s="153"/>
      <c r="U24" s="153"/>
      <c r="V24" s="153"/>
      <c r="W24" s="153"/>
      <c r="X24" s="154"/>
      <c r="Y24" s="154"/>
      <c r="Z24" s="154"/>
      <c r="AA24" s="154"/>
      <c r="AB24" s="154"/>
      <c r="AC24" s="154"/>
      <c r="AD24" s="154"/>
      <c r="AE24" s="84"/>
      <c r="AF24" s="84"/>
      <c r="AG24" s="84"/>
      <c r="AH24" s="84"/>
      <c r="AI24" s="84"/>
      <c r="AJ24" s="84"/>
      <c r="AK24" s="84"/>
      <c r="AL24" s="84"/>
      <c r="AM24" s="84"/>
      <c r="AN24" s="84"/>
    </row>
    <row r="25" spans="1:41" ht="15.75">
      <c r="B25" s="297" t="s">
        <v>479</v>
      </c>
      <c r="C25" s="298"/>
      <c r="D25" s="298"/>
      <c r="E25" s="298"/>
      <c r="R25" s="154"/>
      <c r="S25" s="155" t="s">
        <v>513</v>
      </c>
      <c r="T25" s="154"/>
      <c r="U25" s="154"/>
      <c r="V25" s="154"/>
      <c r="W25" s="154"/>
      <c r="X25" s="154"/>
      <c r="Y25" s="154"/>
      <c r="Z25" s="154"/>
      <c r="AA25" s="154"/>
      <c r="AB25" s="154"/>
      <c r="AC25" s="154"/>
      <c r="AD25" s="154"/>
      <c r="AE25" s="84"/>
      <c r="AF25" s="84"/>
      <c r="AG25" s="84"/>
      <c r="AH25" s="84"/>
      <c r="AI25" s="84"/>
      <c r="AJ25" s="84"/>
      <c r="AK25" s="84"/>
      <c r="AL25" s="84"/>
      <c r="AM25" s="84"/>
      <c r="AN25" s="84"/>
    </row>
    <row r="26" spans="1:41">
      <c r="H26" s="7" t="s">
        <v>617</v>
      </c>
      <c r="I26" s="2">
        <f>H3/F3</f>
        <v>9.69</v>
      </c>
      <c r="R26" s="154"/>
      <c r="S26" s="154"/>
      <c r="T26" s="152" t="s">
        <v>227</v>
      </c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84"/>
      <c r="AF26" s="84"/>
      <c r="AG26" s="84"/>
      <c r="AH26" s="84"/>
      <c r="AI26" s="84"/>
      <c r="AJ26" s="84"/>
      <c r="AK26" s="84"/>
      <c r="AL26" s="84"/>
      <c r="AM26" s="84"/>
      <c r="AN26" s="84"/>
    </row>
    <row r="27" spans="1:41">
      <c r="A27" s="357" t="s">
        <v>617</v>
      </c>
      <c r="B27" s="8" t="s">
        <v>618</v>
      </c>
      <c r="H27" s="7"/>
      <c r="I27" s="2" t="s">
        <v>554</v>
      </c>
      <c r="R27" s="154"/>
      <c r="S27" s="154"/>
      <c r="T27" s="154"/>
      <c r="U27" s="155" t="s">
        <v>228</v>
      </c>
      <c r="V27" s="154"/>
      <c r="W27" s="154"/>
      <c r="X27" s="154"/>
      <c r="Y27" s="154"/>
      <c r="Z27" s="154"/>
      <c r="AA27" s="154"/>
      <c r="AB27" s="154"/>
      <c r="AC27" s="154"/>
      <c r="AD27" s="154"/>
      <c r="AE27" s="84"/>
      <c r="AF27" s="84"/>
      <c r="AG27" s="84"/>
      <c r="AH27" s="84"/>
      <c r="AI27" s="84"/>
      <c r="AJ27" s="84"/>
      <c r="AK27" s="84"/>
      <c r="AL27" s="84"/>
      <c r="AM27" s="84"/>
      <c r="AN27" s="84"/>
    </row>
    <row r="28" spans="1:41">
      <c r="A28" s="357"/>
      <c r="B28" s="88" t="s">
        <v>550</v>
      </c>
      <c r="H28" s="7" t="s">
        <v>621</v>
      </c>
      <c r="I28" s="2">
        <f>H7/F7</f>
        <v>9.69</v>
      </c>
      <c r="R28" s="154"/>
      <c r="S28" s="154"/>
      <c r="T28" s="154"/>
      <c r="U28" s="154"/>
      <c r="V28" s="152" t="s">
        <v>514</v>
      </c>
      <c r="W28" s="154"/>
      <c r="X28" s="154"/>
      <c r="Y28" s="154"/>
      <c r="Z28" s="154"/>
      <c r="AA28" s="154"/>
      <c r="AB28" s="154"/>
      <c r="AC28" s="154"/>
      <c r="AD28" s="154"/>
      <c r="AE28" s="154"/>
      <c r="AF28" s="154"/>
      <c r="AG28" s="154"/>
      <c r="AH28" s="154"/>
      <c r="AI28" s="154"/>
      <c r="AJ28" s="154"/>
      <c r="AK28" s="154"/>
      <c r="AL28" s="154"/>
      <c r="AM28" s="84"/>
      <c r="AN28" s="84"/>
    </row>
    <row r="29" spans="1:41">
      <c r="A29" s="357"/>
      <c r="B29" s="435" t="s">
        <v>551</v>
      </c>
      <c r="H29" s="7"/>
      <c r="I29" s="2" t="s">
        <v>554</v>
      </c>
      <c r="R29" s="154"/>
      <c r="S29" s="154"/>
      <c r="T29" s="154"/>
      <c r="U29" s="154"/>
      <c r="V29" s="154"/>
      <c r="W29" s="155" t="s">
        <v>229</v>
      </c>
      <c r="X29" s="154"/>
      <c r="Y29" s="154"/>
      <c r="Z29" s="154"/>
      <c r="AA29" s="154"/>
      <c r="AB29" s="154"/>
      <c r="AC29" s="154"/>
      <c r="AD29" s="154"/>
      <c r="AE29" s="154"/>
      <c r="AF29" s="154"/>
      <c r="AG29" s="154"/>
      <c r="AH29" s="154"/>
      <c r="AI29" s="154"/>
      <c r="AJ29" s="154"/>
      <c r="AK29" s="154"/>
      <c r="AL29" s="154"/>
      <c r="AM29" s="84"/>
      <c r="AN29" s="84"/>
    </row>
    <row r="30" spans="1:41">
      <c r="A30" s="357"/>
      <c r="B30" s="435" t="s">
        <v>552</v>
      </c>
      <c r="H30" s="7" t="s">
        <v>623</v>
      </c>
      <c r="I30" s="2">
        <f>H11/F11</f>
        <v>12.92</v>
      </c>
      <c r="R30" s="154"/>
      <c r="S30" s="154"/>
      <c r="T30" s="154"/>
      <c r="U30" s="154"/>
      <c r="V30" s="154"/>
      <c r="W30" s="154"/>
      <c r="X30" s="152" t="s">
        <v>230</v>
      </c>
      <c r="Y30" s="152"/>
      <c r="Z30" s="154"/>
      <c r="AA30" s="154"/>
      <c r="AB30" s="154"/>
      <c r="AC30" s="154"/>
      <c r="AD30" s="154"/>
      <c r="AE30" s="154"/>
      <c r="AF30" s="154"/>
      <c r="AG30" s="154"/>
      <c r="AH30" s="154"/>
      <c r="AI30" s="154"/>
      <c r="AJ30" s="154"/>
      <c r="AK30" s="154"/>
      <c r="AL30" s="154"/>
      <c r="AM30" s="84"/>
      <c r="AN30" s="84"/>
    </row>
    <row r="31" spans="1:41">
      <c r="A31" s="357"/>
      <c r="B31" s="88" t="s">
        <v>619</v>
      </c>
      <c r="H31" s="7"/>
      <c r="I31" s="2" t="s">
        <v>554</v>
      </c>
      <c r="R31" s="154"/>
      <c r="S31" s="154"/>
      <c r="T31" s="154"/>
      <c r="U31" s="154"/>
      <c r="V31" s="154"/>
      <c r="W31" s="154"/>
      <c r="X31" s="154"/>
      <c r="Y31" s="155" t="s">
        <v>258</v>
      </c>
      <c r="Z31" s="154"/>
      <c r="AA31" s="154"/>
      <c r="AB31" s="154"/>
      <c r="AC31" s="154"/>
      <c r="AD31" s="154"/>
      <c r="AE31" s="154"/>
      <c r="AF31" s="154"/>
      <c r="AG31" s="154"/>
      <c r="AH31" s="154"/>
      <c r="AI31" s="154"/>
      <c r="AJ31" s="154"/>
      <c r="AK31" s="154"/>
      <c r="AL31" s="154"/>
      <c r="AM31" s="84"/>
      <c r="AN31" s="84"/>
    </row>
    <row r="32" spans="1:41">
      <c r="A32" s="363"/>
      <c r="B32" s="88" t="s">
        <v>620</v>
      </c>
      <c r="H32" s="7" t="s">
        <v>624</v>
      </c>
      <c r="I32" s="2" t="s">
        <v>567</v>
      </c>
      <c r="Q32" s="2" t="s">
        <v>571</v>
      </c>
      <c r="R32" s="154">
        <v>2739</v>
      </c>
      <c r="S32" s="154"/>
      <c r="T32" s="154"/>
      <c r="U32" s="154"/>
      <c r="V32" s="154"/>
      <c r="W32" s="154"/>
      <c r="X32" s="154"/>
      <c r="Y32" s="154"/>
      <c r="Z32" s="152" t="s">
        <v>231</v>
      </c>
      <c r="AA32" s="155"/>
      <c r="AB32" s="154"/>
      <c r="AC32" s="154"/>
      <c r="AD32" s="154"/>
      <c r="AE32" s="154"/>
      <c r="AF32" s="154"/>
      <c r="AG32" s="154"/>
      <c r="AH32" s="154"/>
      <c r="AI32" s="154"/>
      <c r="AJ32" s="154"/>
      <c r="AK32" s="154"/>
      <c r="AL32" s="154"/>
      <c r="AM32" s="84"/>
      <c r="AN32" s="84"/>
      <c r="AO32" s="151"/>
    </row>
    <row r="33" spans="1:41">
      <c r="A33" s="276"/>
      <c r="H33" s="7"/>
      <c r="I33" s="73">
        <f>H12/F12</f>
        <v>12.92</v>
      </c>
      <c r="R33" s="154"/>
      <c r="S33" s="154"/>
      <c r="T33" s="154"/>
      <c r="U33" s="154"/>
      <c r="V33" s="154"/>
      <c r="W33" s="154"/>
      <c r="X33" s="154"/>
      <c r="Y33" s="154"/>
      <c r="Z33" s="155"/>
      <c r="AA33" s="155" t="s">
        <v>259</v>
      </c>
      <c r="AB33" s="154"/>
      <c r="AC33" s="154"/>
      <c r="AD33" s="154"/>
      <c r="AE33" s="154"/>
      <c r="AF33" s="154"/>
      <c r="AG33" s="154"/>
      <c r="AH33" s="154"/>
      <c r="AI33" s="154"/>
      <c r="AJ33" s="154"/>
      <c r="AK33" s="154"/>
      <c r="AL33" s="154"/>
      <c r="AM33" s="84"/>
      <c r="AN33" s="84"/>
      <c r="AO33" s="151"/>
    </row>
    <row r="34" spans="1:41">
      <c r="A34" s="357" t="s">
        <v>621</v>
      </c>
      <c r="B34" s="8" t="s">
        <v>622</v>
      </c>
      <c r="H34" s="7" t="s">
        <v>641</v>
      </c>
      <c r="I34" s="2" t="s">
        <v>567</v>
      </c>
      <c r="R34" s="154"/>
      <c r="S34" s="154"/>
      <c r="T34" s="154"/>
      <c r="U34" s="154"/>
      <c r="V34" s="154"/>
      <c r="W34" s="154"/>
      <c r="X34" s="154"/>
      <c r="Y34" s="154"/>
      <c r="Z34" s="154"/>
      <c r="AA34" s="154"/>
      <c r="AB34" s="152" t="s">
        <v>232</v>
      </c>
      <c r="AC34" s="154"/>
      <c r="AD34" s="154"/>
      <c r="AE34" s="154"/>
      <c r="AF34" s="154"/>
      <c r="AG34" s="154"/>
      <c r="AH34" s="154"/>
      <c r="AI34" s="154"/>
      <c r="AJ34" s="154"/>
      <c r="AK34" s="154"/>
      <c r="AL34" s="154"/>
      <c r="AM34" s="84"/>
      <c r="AN34" s="155"/>
    </row>
    <row r="35" spans="1:41">
      <c r="A35" s="357"/>
      <c r="B35" s="88" t="s">
        <v>550</v>
      </c>
      <c r="H35" s="7"/>
      <c r="I35" s="2">
        <f>H13/F13</f>
        <v>9.69</v>
      </c>
      <c r="R35" s="154"/>
      <c r="S35" s="154"/>
      <c r="T35" s="154"/>
      <c r="U35" s="154"/>
      <c r="V35" s="154"/>
      <c r="W35" s="154"/>
      <c r="X35" s="154"/>
      <c r="Y35" s="154"/>
      <c r="Z35" s="154"/>
      <c r="AA35" s="154"/>
      <c r="AB35" s="154"/>
      <c r="AC35" s="155" t="s">
        <v>233</v>
      </c>
      <c r="AD35" s="154"/>
      <c r="AE35" s="154"/>
      <c r="AF35" s="154"/>
      <c r="AG35" s="154"/>
      <c r="AH35" s="154"/>
      <c r="AI35" s="154"/>
      <c r="AJ35" s="154"/>
      <c r="AK35" s="154"/>
      <c r="AL35" s="154"/>
      <c r="AM35" s="84"/>
      <c r="AN35" s="84"/>
    </row>
    <row r="36" spans="1:41">
      <c r="A36" s="357"/>
      <c r="B36" s="435" t="s">
        <v>551</v>
      </c>
      <c r="H36" s="7" t="s">
        <v>625</v>
      </c>
      <c r="I36" s="2" t="s">
        <v>567</v>
      </c>
      <c r="Q36" s="2" t="s">
        <v>601</v>
      </c>
      <c r="R36" s="154">
        <v>3302</v>
      </c>
      <c r="S36" s="154"/>
      <c r="T36" s="154"/>
      <c r="U36" s="154"/>
      <c r="V36" s="154"/>
      <c r="W36" s="154"/>
      <c r="X36" s="154"/>
      <c r="Y36" s="154"/>
      <c r="Z36" s="154"/>
      <c r="AA36" s="154"/>
      <c r="AB36" s="154"/>
      <c r="AC36" s="154"/>
      <c r="AD36" s="152" t="s">
        <v>276</v>
      </c>
      <c r="AE36" s="156"/>
      <c r="AF36" s="156"/>
      <c r="AG36" s="156"/>
      <c r="AH36" s="156"/>
      <c r="AI36" s="156"/>
      <c r="AJ36" s="156"/>
      <c r="AK36" s="156"/>
      <c r="AL36" s="156"/>
      <c r="AM36" s="155"/>
    </row>
    <row r="37" spans="1:41">
      <c r="A37" s="357"/>
      <c r="B37" s="435" t="s">
        <v>552</v>
      </c>
      <c r="H37" s="7"/>
      <c r="I37" s="2">
        <f>H14/F14</f>
        <v>12.92</v>
      </c>
      <c r="R37" s="84"/>
      <c r="S37" s="84"/>
      <c r="T37" s="84"/>
      <c r="U37" s="84"/>
      <c r="V37" s="154"/>
      <c r="W37" s="154"/>
      <c r="X37" s="154"/>
      <c r="Y37" s="154"/>
      <c r="Z37" s="154"/>
      <c r="AA37" s="154"/>
      <c r="AB37" s="154"/>
      <c r="AC37" s="154"/>
      <c r="AD37" s="154"/>
      <c r="AE37" s="152" t="s">
        <v>277</v>
      </c>
      <c r="AF37" s="155"/>
      <c r="AG37" s="155"/>
      <c r="AH37" s="155"/>
      <c r="AI37" s="155"/>
      <c r="AJ37" s="155"/>
      <c r="AK37" s="155"/>
      <c r="AL37" s="155"/>
      <c r="AM37" s="84"/>
    </row>
    <row r="38" spans="1:41">
      <c r="A38" s="276"/>
      <c r="B38" s="88" t="s">
        <v>619</v>
      </c>
      <c r="H38" s="7" t="s">
        <v>638</v>
      </c>
      <c r="I38" s="2" t="s">
        <v>554</v>
      </c>
      <c r="R38" s="7">
        <v>2539</v>
      </c>
      <c r="S38" s="2"/>
      <c r="T38" s="2"/>
      <c r="U38" s="2"/>
      <c r="AF38" s="155" t="s">
        <v>278</v>
      </c>
      <c r="AG38" s="156"/>
      <c r="AH38" s="156"/>
      <c r="AI38" s="156"/>
      <c r="AJ38" s="156"/>
      <c r="AK38" s="156"/>
    </row>
    <row r="39" spans="1:41">
      <c r="A39" s="276"/>
      <c r="B39" s="88" t="s">
        <v>620</v>
      </c>
      <c r="H39" s="7"/>
      <c r="I39" s="2">
        <f>H18/F18</f>
        <v>9.69</v>
      </c>
      <c r="AF39" s="154"/>
      <c r="AG39" s="255" t="s">
        <v>279</v>
      </c>
      <c r="AH39" s="255"/>
      <c r="AI39" s="255"/>
      <c r="AJ39" s="255"/>
      <c r="AK39" s="255"/>
      <c r="AL39" s="255"/>
    </row>
    <row r="40" spans="1:41">
      <c r="A40" s="276"/>
      <c r="B40" s="8"/>
      <c r="H40" s="7" t="s">
        <v>639</v>
      </c>
      <c r="I40" s="2" t="s">
        <v>567</v>
      </c>
      <c r="R40" s="79">
        <v>2540</v>
      </c>
      <c r="AG40" s="154"/>
      <c r="AH40" s="152" t="s">
        <v>458</v>
      </c>
      <c r="AI40" s="154"/>
      <c r="AJ40" s="154"/>
      <c r="AK40" s="154"/>
      <c r="AL40" s="155"/>
    </row>
    <row r="41" spans="1:41">
      <c r="A41" s="357" t="s">
        <v>623</v>
      </c>
      <c r="B41" s="3" t="s">
        <v>561</v>
      </c>
      <c r="H41" s="7"/>
      <c r="I41" s="2">
        <f>H19/F19</f>
        <v>12.92</v>
      </c>
      <c r="AI41" s="155" t="s">
        <v>455</v>
      </c>
      <c r="AJ41" s="155"/>
      <c r="AK41" s="155"/>
    </row>
    <row r="42" spans="1:41">
      <c r="A42" s="357"/>
      <c r="B42" s="435" t="s">
        <v>562</v>
      </c>
      <c r="H42" s="7" t="s">
        <v>640</v>
      </c>
      <c r="I42" s="2" t="s">
        <v>613</v>
      </c>
      <c r="AJ42" s="152" t="s">
        <v>456</v>
      </c>
      <c r="AK42" s="154"/>
    </row>
    <row r="43" spans="1:41">
      <c r="A43" s="357"/>
      <c r="B43" s="435" t="s">
        <v>563</v>
      </c>
      <c r="H43" s="7"/>
      <c r="I43" s="73">
        <f>H20/F20</f>
        <v>16.150000000000002</v>
      </c>
      <c r="AK43" s="155" t="s">
        <v>457</v>
      </c>
    </row>
    <row r="44" spans="1:41">
      <c r="A44" s="276"/>
      <c r="B44" s="435" t="s">
        <v>564</v>
      </c>
      <c r="H44" s="7"/>
    </row>
    <row r="45" spans="1:41">
      <c r="A45" s="276"/>
      <c r="H45" s="7"/>
    </row>
    <row r="46" spans="1:41">
      <c r="A46" s="276"/>
      <c r="B46" s="3"/>
    </row>
    <row r="47" spans="1:41">
      <c r="A47" s="357" t="s">
        <v>624</v>
      </c>
      <c r="B47" s="3" t="s">
        <v>566</v>
      </c>
    </row>
    <row r="48" spans="1:41">
      <c r="A48" s="79"/>
      <c r="B48" s="435" t="s">
        <v>562</v>
      </c>
    </row>
    <row r="49" spans="1:2">
      <c r="A49" s="79"/>
      <c r="B49" s="129"/>
    </row>
    <row r="50" spans="1:2">
      <c r="A50" s="357" t="s">
        <v>625</v>
      </c>
      <c r="B50" s="655" t="s">
        <v>626</v>
      </c>
    </row>
    <row r="51" spans="1:2">
      <c r="B51" s="655" t="s">
        <v>594</v>
      </c>
    </row>
    <row r="52" spans="1:2">
      <c r="B52" s="655" t="s">
        <v>595</v>
      </c>
    </row>
    <row r="53" spans="1:2">
      <c r="B53" s="655" t="s">
        <v>627</v>
      </c>
    </row>
    <row r="54" spans="1:2">
      <c r="B54" s="655" t="s">
        <v>628</v>
      </c>
    </row>
    <row r="55" spans="1:2">
      <c r="B55" s="655" t="s">
        <v>629</v>
      </c>
    </row>
    <row r="56" spans="1:2">
      <c r="B56" s="655" t="s">
        <v>630</v>
      </c>
    </row>
    <row r="57" spans="1:2">
      <c r="B57" s="655" t="s">
        <v>631</v>
      </c>
    </row>
    <row r="58" spans="1:2">
      <c r="B58" s="655" t="s">
        <v>632</v>
      </c>
    </row>
    <row r="59" spans="1:2">
      <c r="B59" s="655" t="s">
        <v>633</v>
      </c>
    </row>
    <row r="60" spans="1:2">
      <c r="B60" s="655" t="s">
        <v>634</v>
      </c>
    </row>
    <row r="61" spans="1:2">
      <c r="B61" s="655" t="s">
        <v>635</v>
      </c>
    </row>
    <row r="62" spans="1:2">
      <c r="B62" s="655" t="s">
        <v>636</v>
      </c>
    </row>
    <row r="63" spans="1:2">
      <c r="B63" s="655" t="s">
        <v>637</v>
      </c>
    </row>
    <row r="64" spans="1:2">
      <c r="B64" s="3"/>
    </row>
    <row r="65" spans="2:2">
      <c r="B65" s="3"/>
    </row>
    <row r="66" spans="2:2">
      <c r="B66" s="3"/>
    </row>
    <row r="67" spans="2:2">
      <c r="B67" s="3"/>
    </row>
    <row r="68" spans="2:2">
      <c r="B68" s="3"/>
    </row>
    <row r="69" spans="2:2">
      <c r="B69" s="3"/>
    </row>
    <row r="70" spans="2:2">
      <c r="B70" s="435"/>
    </row>
    <row r="71" spans="2:2">
      <c r="B71" s="3"/>
    </row>
  </sheetData>
  <mergeCells count="10">
    <mergeCell ref="A22:G22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78"/>
  <sheetViews>
    <sheetView workbookViewId="0">
      <pane ySplit="2" topLeftCell="A24" activePane="bottomLeft" state="frozen"/>
      <selection pane="bottomLeft" activeCell="B57" sqref="B57"/>
    </sheetView>
  </sheetViews>
  <sheetFormatPr defaultRowHeight="11.25"/>
  <cols>
    <col min="1" max="1" width="7.5703125" style="7" bestFit="1" customWidth="1"/>
    <col min="2" max="2" width="72.5703125" style="86" customWidth="1"/>
    <col min="3" max="3" width="7.5703125" style="3" customWidth="1"/>
    <col min="4" max="4" width="7" style="3" customWidth="1"/>
    <col min="5" max="5" width="10.28515625" style="3" customWidth="1"/>
    <col min="6" max="6" width="9.7109375" style="2" bestFit="1" customWidth="1"/>
    <col min="7" max="11" width="9.5703125" style="2" customWidth="1"/>
    <col min="12" max="13" width="11.140625" style="2" bestFit="1" customWidth="1"/>
    <col min="14" max="14" width="7.7109375" style="2" customWidth="1"/>
    <col min="15" max="15" width="6.85546875" style="2" customWidth="1"/>
    <col min="16" max="16" width="11.1406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27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5.8554687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27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3.5703125" style="3" bestFit="1" customWidth="1"/>
    <col min="36" max="37" width="10.5703125" style="7" customWidth="1"/>
    <col min="38" max="38" width="6.85546875" style="7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27" bestFit="1" customWidth="1"/>
    <col min="61" max="62" width="8.85546875" style="3" bestFit="1" customWidth="1"/>
    <col min="63" max="16384" width="9.140625" style="3"/>
  </cols>
  <sheetData>
    <row r="1" spans="1:62" s="63" customFormat="1" ht="15.75" customHeight="1">
      <c r="A1" s="801" t="s">
        <v>31</v>
      </c>
      <c r="B1" s="802"/>
      <c r="C1" s="802"/>
      <c r="D1" s="803"/>
      <c r="E1" s="805" t="s">
        <v>481</v>
      </c>
      <c r="F1" s="806"/>
      <c r="G1" s="806"/>
      <c r="H1" s="806"/>
      <c r="I1" s="806"/>
      <c r="J1" s="806"/>
      <c r="K1" s="806"/>
      <c r="L1" s="806"/>
      <c r="M1" s="806"/>
      <c r="N1" s="806"/>
      <c r="O1" s="806"/>
      <c r="P1" s="806"/>
      <c r="Q1" s="806"/>
      <c r="R1" s="806"/>
      <c r="S1" s="807" t="s">
        <v>69</v>
      </c>
      <c r="T1" s="816" t="s">
        <v>162</v>
      </c>
      <c r="U1" s="801" t="s">
        <v>13</v>
      </c>
      <c r="V1" s="802"/>
      <c r="W1" s="802"/>
      <c r="X1" s="802"/>
      <c r="Y1" s="802"/>
      <c r="Z1" s="802"/>
      <c r="AA1" s="802"/>
      <c r="AB1" s="802"/>
      <c r="AC1" s="802"/>
      <c r="AD1" s="803"/>
      <c r="AE1" s="804" t="s">
        <v>14</v>
      </c>
      <c r="AF1" s="804"/>
      <c r="AG1" s="804"/>
      <c r="AH1" s="804"/>
      <c r="AI1" s="804"/>
      <c r="AJ1" s="804"/>
      <c r="AK1" s="804"/>
      <c r="AL1" s="804"/>
      <c r="AM1" s="804"/>
      <c r="AN1" s="801" t="s">
        <v>15</v>
      </c>
      <c r="AO1" s="802"/>
      <c r="AP1" s="802"/>
      <c r="AQ1" s="802"/>
      <c r="AR1" s="802"/>
      <c r="AS1" s="802"/>
      <c r="AT1" s="802"/>
      <c r="AU1" s="802"/>
      <c r="AV1" s="802"/>
      <c r="AW1" s="803"/>
      <c r="AX1" s="818" t="s">
        <v>16</v>
      </c>
      <c r="AY1" s="818"/>
      <c r="AZ1" s="818"/>
      <c r="BA1" s="818"/>
      <c r="BB1" s="818"/>
      <c r="BC1" s="818"/>
      <c r="BD1" s="818"/>
      <c r="BE1" s="818"/>
      <c r="BF1" s="819" t="s">
        <v>17</v>
      </c>
      <c r="BG1" s="820"/>
      <c r="BH1" s="820"/>
      <c r="BI1" s="820"/>
      <c r="BJ1" s="821"/>
    </row>
    <row r="2" spans="1:62" s="4" customFormat="1" ht="34.5" thickBot="1">
      <c r="A2" s="76" t="s">
        <v>19</v>
      </c>
      <c r="B2" s="85" t="s">
        <v>0</v>
      </c>
      <c r="C2" s="64" t="s">
        <v>11</v>
      </c>
      <c r="D2" s="65" t="s">
        <v>12</v>
      </c>
      <c r="E2" s="53" t="s">
        <v>70</v>
      </c>
      <c r="F2" s="39" t="s">
        <v>71</v>
      </c>
      <c r="G2" s="39" t="s">
        <v>252</v>
      </c>
      <c r="H2" s="39" t="s">
        <v>72</v>
      </c>
      <c r="I2" s="813" t="s">
        <v>29</v>
      </c>
      <c r="J2" s="814"/>
      <c r="K2" s="815"/>
      <c r="L2" s="39" t="s">
        <v>154</v>
      </c>
      <c r="M2" s="39" t="s">
        <v>155</v>
      </c>
      <c r="N2" s="39" t="s">
        <v>90</v>
      </c>
      <c r="O2" s="39"/>
      <c r="P2" s="39" t="s">
        <v>161</v>
      </c>
      <c r="Q2" s="90" t="s">
        <v>96</v>
      </c>
      <c r="R2" s="106" t="s">
        <v>95</v>
      </c>
      <c r="S2" s="808"/>
      <c r="T2" s="817"/>
      <c r="U2" s="53" t="s">
        <v>32</v>
      </c>
      <c r="V2" s="53" t="s">
        <v>19</v>
      </c>
      <c r="W2" s="39" t="s">
        <v>20</v>
      </c>
      <c r="X2" s="9" t="s">
        <v>21</v>
      </c>
      <c r="Y2" s="9" t="s">
        <v>22</v>
      </c>
      <c r="Z2" s="39" t="s">
        <v>23</v>
      </c>
      <c r="AA2" s="39" t="s">
        <v>24</v>
      </c>
      <c r="AB2" s="39" t="s">
        <v>25</v>
      </c>
      <c r="AC2" s="809" t="s">
        <v>29</v>
      </c>
      <c r="AD2" s="810"/>
      <c r="AE2" s="53" t="s">
        <v>28</v>
      </c>
      <c r="AF2" s="53" t="s">
        <v>19</v>
      </c>
      <c r="AG2" s="39" t="s">
        <v>20</v>
      </c>
      <c r="AH2" s="9" t="s">
        <v>27</v>
      </c>
      <c r="AI2" s="9" t="s">
        <v>19</v>
      </c>
      <c r="AJ2" s="68" t="s">
        <v>73</v>
      </c>
      <c r="AK2" s="68" t="s">
        <v>74</v>
      </c>
      <c r="AL2" s="811" t="s">
        <v>29</v>
      </c>
      <c r="AM2" s="812"/>
      <c r="AN2" s="53" t="s">
        <v>18</v>
      </c>
      <c r="AO2" s="53" t="s">
        <v>19</v>
      </c>
      <c r="AP2" s="39" t="s">
        <v>20</v>
      </c>
      <c r="AQ2" s="9" t="s">
        <v>21</v>
      </c>
      <c r="AR2" s="9" t="s">
        <v>22</v>
      </c>
      <c r="AS2" s="39" t="s">
        <v>23</v>
      </c>
      <c r="AT2" s="39" t="s">
        <v>24</v>
      </c>
      <c r="AU2" s="39" t="s">
        <v>25</v>
      </c>
      <c r="AV2" s="809" t="s">
        <v>29</v>
      </c>
      <c r="AW2" s="810"/>
      <c r="AX2" s="53" t="s">
        <v>18</v>
      </c>
      <c r="AY2" s="39" t="s">
        <v>19</v>
      </c>
      <c r="AZ2" s="39" t="s">
        <v>20</v>
      </c>
      <c r="BA2" s="39" t="s">
        <v>26</v>
      </c>
      <c r="BB2" s="9" t="s">
        <v>27</v>
      </c>
      <c r="BC2" s="9" t="s">
        <v>19</v>
      </c>
      <c r="BD2" s="39" t="s">
        <v>28</v>
      </c>
      <c r="BE2" s="40" t="s">
        <v>29</v>
      </c>
      <c r="BF2" s="54" t="s">
        <v>30</v>
      </c>
      <c r="BG2" s="54" t="s">
        <v>19</v>
      </c>
      <c r="BH2" s="55" t="s">
        <v>18</v>
      </c>
      <c r="BI2" s="809" t="s">
        <v>29</v>
      </c>
      <c r="BJ2" s="810"/>
    </row>
    <row r="3" spans="1:62" s="5" customFormat="1">
      <c r="A3" s="590" t="str">
        <f>'1-συμβολαια'!A3</f>
        <v>1ο</v>
      </c>
      <c r="B3" s="318" t="str">
        <f>'1-συμβολαια'!C3</f>
        <v>κληρονομιάς ΑΠΟΔΟΧΗ</v>
      </c>
      <c r="C3" s="256" t="str">
        <f>'4-πολλυπρ'!D3</f>
        <v>παππούς</v>
      </c>
      <c r="D3" s="256" t="str">
        <f>'4-πολλυπρ'!J3</f>
        <v>πατήρ</v>
      </c>
      <c r="E3" s="256">
        <v>1</v>
      </c>
      <c r="F3" s="319">
        <f t="shared" ref="F3" si="0">E3*3.23</f>
        <v>3.23</v>
      </c>
      <c r="G3" s="319">
        <v>3.23</v>
      </c>
      <c r="H3" s="319">
        <f t="shared" ref="H3" si="1">F3+G3</f>
        <v>6.46</v>
      </c>
      <c r="I3" s="262" t="s">
        <v>495</v>
      </c>
      <c r="J3" s="340" t="s">
        <v>160</v>
      </c>
      <c r="K3" s="340" t="s">
        <v>253</v>
      </c>
      <c r="L3" s="319">
        <v>5.87</v>
      </c>
      <c r="M3" s="319">
        <v>5.87</v>
      </c>
      <c r="N3" s="528">
        <f t="shared" ref="N3:N10" si="2">2*1.98</f>
        <v>3.96</v>
      </c>
      <c r="O3" s="319"/>
      <c r="P3" s="319">
        <f t="shared" ref="P3" si="3">L3+M3</f>
        <v>11.74</v>
      </c>
      <c r="Q3" s="256"/>
      <c r="R3" s="256"/>
      <c r="S3" s="256"/>
      <c r="T3" s="256"/>
      <c r="U3" s="321"/>
      <c r="V3" s="71"/>
      <c r="W3" s="322" t="s">
        <v>403</v>
      </c>
      <c r="X3" s="71"/>
      <c r="Y3" s="322" t="s">
        <v>9</v>
      </c>
      <c r="Z3" s="323"/>
      <c r="AA3" s="71"/>
      <c r="AB3" s="71"/>
      <c r="AC3" s="71"/>
      <c r="AD3" s="71"/>
      <c r="AE3" s="321"/>
      <c r="AF3" s="71"/>
      <c r="AG3" s="71"/>
      <c r="AH3" s="71"/>
      <c r="AI3" s="71"/>
      <c r="AJ3" s="261"/>
      <c r="AK3" s="261"/>
      <c r="AL3" s="261"/>
      <c r="AM3" s="71"/>
      <c r="AN3" s="71"/>
      <c r="AO3" s="71"/>
      <c r="AP3" s="322" t="s">
        <v>403</v>
      </c>
      <c r="AQ3" s="71"/>
      <c r="AR3" s="322" t="s">
        <v>9</v>
      </c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321"/>
      <c r="BI3" s="71"/>
      <c r="BJ3" s="71"/>
    </row>
    <row r="4" spans="1:62" s="5" customFormat="1">
      <c r="A4" s="590">
        <f>'1-συμβολαια'!A4</f>
        <v>0</v>
      </c>
      <c r="B4" s="425" t="str">
        <f>'1-συμβολαια'!C4</f>
        <v>χρησικτησία οικοπεδου = 194? γεωργούδηΝικολαο ΑΓΟΡΑΠΩΛΗΣΙΑ (ως αγροτεμάχιο) άτυπος</v>
      </c>
      <c r="C4" s="256" t="str">
        <f>'4-πολλυπρ'!D4</f>
        <v>;;;???</v>
      </c>
      <c r="D4" s="256" t="str">
        <f>'4-πολλυπρ'!J4</f>
        <v>παππούς</v>
      </c>
      <c r="E4" s="256">
        <v>1</v>
      </c>
      <c r="F4" s="311">
        <f t="shared" ref="F4:F18" si="4">E4*3.23</f>
        <v>3.23</v>
      </c>
      <c r="G4" s="311">
        <v>3.23</v>
      </c>
      <c r="H4" s="311">
        <f t="shared" ref="H4:H14" si="5">F4+G4</f>
        <v>6.46</v>
      </c>
      <c r="I4" s="258" t="s">
        <v>495</v>
      </c>
      <c r="J4" s="337" t="s">
        <v>160</v>
      </c>
      <c r="K4" s="337" t="s">
        <v>253</v>
      </c>
      <c r="L4" s="311"/>
      <c r="M4" s="311"/>
      <c r="N4" s="311">
        <f t="shared" si="2"/>
        <v>3.96</v>
      </c>
      <c r="O4" s="311"/>
      <c r="P4" s="311">
        <f t="shared" ref="P4:P14" si="6">L4+M4</f>
        <v>0</v>
      </c>
      <c r="Q4" s="256"/>
      <c r="R4" s="256"/>
      <c r="S4" s="256"/>
      <c r="T4" s="256"/>
      <c r="U4" s="321"/>
      <c r="V4" s="71"/>
      <c r="W4" s="322" t="s">
        <v>403</v>
      </c>
      <c r="X4" s="71"/>
      <c r="Y4" s="322" t="s">
        <v>9</v>
      </c>
      <c r="Z4" s="323"/>
      <c r="AA4" s="71"/>
      <c r="AB4" s="71"/>
      <c r="AC4" s="71"/>
      <c r="AD4" s="71"/>
      <c r="AE4" s="321"/>
      <c r="AF4" s="71"/>
      <c r="AG4" s="71"/>
      <c r="AH4" s="71"/>
      <c r="AI4" s="71"/>
      <c r="AJ4" s="261"/>
      <c r="AK4" s="261"/>
      <c r="AL4" s="261"/>
      <c r="AM4" s="71"/>
      <c r="AN4" s="71"/>
      <c r="AO4" s="71"/>
      <c r="AP4" s="322" t="s">
        <v>403</v>
      </c>
      <c r="AQ4" s="71"/>
      <c r="AR4" s="322" t="s">
        <v>9</v>
      </c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321"/>
      <c r="BI4" s="71"/>
      <c r="BJ4" s="71"/>
    </row>
    <row r="5" spans="1:62" s="5" customFormat="1">
      <c r="A5" s="590">
        <f>'1-συμβολαια'!A5</f>
        <v>0</v>
      </c>
      <c r="B5" s="425" t="str">
        <f>'1-συμβολαια'!C5</f>
        <v>χρησικτησία αγροτεμάχιο 193 = 1975 ΑΝΑΔΑΣΜΟΣ εκούσιος</v>
      </c>
      <c r="C5" s="256">
        <f>'4-πολλυπρ'!D5</f>
        <v>0</v>
      </c>
      <c r="D5" s="256" t="str">
        <f>'4-πολλυπρ'!J5</f>
        <v>παππούς</v>
      </c>
      <c r="E5" s="256">
        <v>1</v>
      </c>
      <c r="F5" s="311">
        <f t="shared" si="4"/>
        <v>3.23</v>
      </c>
      <c r="G5" s="311">
        <v>3.23</v>
      </c>
      <c r="H5" s="311">
        <f t="shared" si="5"/>
        <v>6.46</v>
      </c>
      <c r="I5" s="258" t="s">
        <v>495</v>
      </c>
      <c r="J5" s="337" t="s">
        <v>160</v>
      </c>
      <c r="K5" s="337" t="s">
        <v>253</v>
      </c>
      <c r="L5" s="311"/>
      <c r="M5" s="311"/>
      <c r="N5" s="311">
        <f t="shared" si="2"/>
        <v>3.96</v>
      </c>
      <c r="O5" s="311"/>
      <c r="P5" s="311">
        <f t="shared" si="6"/>
        <v>0</v>
      </c>
      <c r="Q5" s="256"/>
      <c r="R5" s="256"/>
      <c r="S5" s="256"/>
      <c r="T5" s="256"/>
      <c r="U5" s="321"/>
      <c r="V5" s="71"/>
      <c r="W5" s="322" t="s">
        <v>403</v>
      </c>
      <c r="X5" s="71"/>
      <c r="Y5" s="322" t="s">
        <v>9</v>
      </c>
      <c r="Z5" s="323"/>
      <c r="AA5" s="71"/>
      <c r="AB5" s="71"/>
      <c r="AC5" s="71"/>
      <c r="AD5" s="71"/>
      <c r="AE5" s="321"/>
      <c r="AF5" s="71"/>
      <c r="AG5" s="71"/>
      <c r="AH5" s="71"/>
      <c r="AI5" s="71"/>
      <c r="AJ5" s="261"/>
      <c r="AK5" s="261"/>
      <c r="AL5" s="261"/>
      <c r="AM5" s="71"/>
      <c r="AN5" s="71"/>
      <c r="AO5" s="71"/>
      <c r="AP5" s="322" t="s">
        <v>403</v>
      </c>
      <c r="AQ5" s="71"/>
      <c r="AR5" s="322" t="s">
        <v>9</v>
      </c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321"/>
      <c r="BI5" s="71"/>
      <c r="BJ5" s="71"/>
    </row>
    <row r="6" spans="1:62" s="5" customFormat="1" ht="12" thickBot="1">
      <c r="A6" s="591">
        <f>'1-συμβολαια'!A6</f>
        <v>0</v>
      </c>
      <c r="B6" s="523" t="str">
        <f>'1-συμβολαια'!C6</f>
        <v>χρησικτησία αγροτεμάχιο 279 = 1975 ΑΝΑΔΑΣΜΟΣ εκούσιος</v>
      </c>
      <c r="C6" s="524">
        <f>'4-πολλυπρ'!D6</f>
        <v>0</v>
      </c>
      <c r="D6" s="524" t="str">
        <f>'4-πολλυπρ'!J6</f>
        <v>παππούς</v>
      </c>
      <c r="E6" s="524">
        <v>1</v>
      </c>
      <c r="F6" s="469">
        <f t="shared" si="4"/>
        <v>3.23</v>
      </c>
      <c r="G6" s="469">
        <v>3.23</v>
      </c>
      <c r="H6" s="469">
        <f t="shared" si="5"/>
        <v>6.46</v>
      </c>
      <c r="I6" s="525" t="s">
        <v>495</v>
      </c>
      <c r="J6" s="507" t="s">
        <v>160</v>
      </c>
      <c r="K6" s="507" t="s">
        <v>253</v>
      </c>
      <c r="L6" s="469"/>
      <c r="M6" s="469"/>
      <c r="N6" s="469">
        <f t="shared" si="2"/>
        <v>3.96</v>
      </c>
      <c r="O6" s="469"/>
      <c r="P6" s="469">
        <f t="shared" si="6"/>
        <v>0</v>
      </c>
      <c r="Q6" s="524"/>
      <c r="R6" s="524"/>
      <c r="S6" s="524"/>
      <c r="T6" s="524"/>
      <c r="U6" s="321"/>
      <c r="V6" s="71"/>
      <c r="W6" s="322" t="s">
        <v>403</v>
      </c>
      <c r="X6" s="71"/>
      <c r="Y6" s="322" t="s">
        <v>9</v>
      </c>
      <c r="Z6" s="323"/>
      <c r="AA6" s="71"/>
      <c r="AB6" s="71"/>
      <c r="AC6" s="71"/>
      <c r="AD6" s="71"/>
      <c r="AE6" s="321"/>
      <c r="AF6" s="71"/>
      <c r="AG6" s="71"/>
      <c r="AH6" s="71"/>
      <c r="AI6" s="71"/>
      <c r="AJ6" s="261"/>
      <c r="AK6" s="261"/>
      <c r="AL6" s="261"/>
      <c r="AM6" s="71"/>
      <c r="AN6" s="71"/>
      <c r="AO6" s="71"/>
      <c r="AP6" s="322" t="s">
        <v>403</v>
      </c>
      <c r="AQ6" s="71"/>
      <c r="AR6" s="322" t="s">
        <v>9</v>
      </c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71"/>
      <c r="BH6" s="321"/>
      <c r="BI6" s="71"/>
      <c r="BJ6" s="71"/>
    </row>
    <row r="7" spans="1:62" s="5" customFormat="1">
      <c r="A7" s="593" t="str">
        <f>'1-συμβολαια'!A7</f>
        <v>2ο</v>
      </c>
      <c r="B7" s="318" t="str">
        <f>'1-συμβολαια'!C7</f>
        <v>κληρονομιάς ΑΠΟΔΟΧΗ</v>
      </c>
      <c r="C7" s="320" t="str">
        <f>'4-πολλυπρ'!D7</f>
        <v>θείος</v>
      </c>
      <c r="D7" s="320" t="str">
        <f>'4-πολλυπρ'!J7</f>
        <v>πατήρ</v>
      </c>
      <c r="E7" s="320">
        <v>1</v>
      </c>
      <c r="F7" s="319">
        <f t="shared" si="4"/>
        <v>3.23</v>
      </c>
      <c r="G7" s="319">
        <v>3.23</v>
      </c>
      <c r="H7" s="319">
        <f t="shared" si="5"/>
        <v>6.46</v>
      </c>
      <c r="I7" s="262" t="s">
        <v>495</v>
      </c>
      <c r="J7" s="340" t="s">
        <v>160</v>
      </c>
      <c r="K7" s="340" t="s">
        <v>253</v>
      </c>
      <c r="L7" s="319"/>
      <c r="M7" s="319"/>
      <c r="N7" s="319">
        <f t="shared" si="2"/>
        <v>3.96</v>
      </c>
      <c r="O7" s="319"/>
      <c r="P7" s="319">
        <f t="shared" si="6"/>
        <v>0</v>
      </c>
      <c r="Q7" s="320"/>
      <c r="R7" s="320"/>
      <c r="S7" s="320"/>
      <c r="T7" s="320"/>
      <c r="U7" s="321"/>
      <c r="V7" s="71"/>
      <c r="W7" s="322" t="s">
        <v>403</v>
      </c>
      <c r="X7" s="71"/>
      <c r="Y7" s="322" t="s">
        <v>9</v>
      </c>
      <c r="Z7" s="323"/>
      <c r="AA7" s="71"/>
      <c r="AB7" s="71"/>
      <c r="AC7" s="71"/>
      <c r="AD7" s="71"/>
      <c r="AE7" s="321"/>
      <c r="AF7" s="71"/>
      <c r="AG7" s="71"/>
      <c r="AH7" s="71"/>
      <c r="AI7" s="71"/>
      <c r="AJ7" s="261"/>
      <c r="AK7" s="261"/>
      <c r="AL7" s="261"/>
      <c r="AM7" s="71"/>
      <c r="AN7" s="71"/>
      <c r="AO7" s="71"/>
      <c r="AP7" s="322" t="s">
        <v>403</v>
      </c>
      <c r="AQ7" s="71"/>
      <c r="AR7" s="322" t="s">
        <v>9</v>
      </c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321"/>
      <c r="BI7" s="71"/>
      <c r="BJ7" s="71"/>
    </row>
    <row r="8" spans="1:62" s="5" customFormat="1">
      <c r="A8" s="594">
        <f>'1-συμβολαια'!A8</f>
        <v>0</v>
      </c>
      <c r="B8" s="425" t="str">
        <f>'1-συμβολαια'!C8</f>
        <v>χρησικτησία οικοπεδου &amp; οικίας &amp; αποθήκης = 27/7/87 πατρός ΚΛΗΡΟΝΟΜΙΑ άτυπος</v>
      </c>
      <c r="C8" s="256" t="str">
        <f>'4-πολλυπρ'!D8</f>
        <v>παππούς</v>
      </c>
      <c r="D8" s="256" t="str">
        <f>'4-πολλυπρ'!J8</f>
        <v>θείος</v>
      </c>
      <c r="E8" s="256">
        <v>1</v>
      </c>
      <c r="F8" s="311">
        <f t="shared" si="4"/>
        <v>3.23</v>
      </c>
      <c r="G8" s="311">
        <v>3.23</v>
      </c>
      <c r="H8" s="311">
        <f t="shared" si="5"/>
        <v>6.46</v>
      </c>
      <c r="I8" s="258" t="s">
        <v>495</v>
      </c>
      <c r="J8" s="337" t="s">
        <v>160</v>
      </c>
      <c r="K8" s="337" t="s">
        <v>253</v>
      </c>
      <c r="L8" s="311"/>
      <c r="M8" s="311"/>
      <c r="N8" s="311">
        <f t="shared" si="2"/>
        <v>3.96</v>
      </c>
      <c r="O8" s="311"/>
      <c r="P8" s="311">
        <f t="shared" si="6"/>
        <v>0</v>
      </c>
      <c r="Q8" s="256"/>
      <c r="R8" s="256"/>
      <c r="S8" s="256"/>
      <c r="T8" s="256"/>
      <c r="U8" s="321"/>
      <c r="V8" s="71"/>
      <c r="W8" s="322" t="s">
        <v>403</v>
      </c>
      <c r="X8" s="71"/>
      <c r="Y8" s="322" t="s">
        <v>9</v>
      </c>
      <c r="Z8" s="323"/>
      <c r="AA8" s="71"/>
      <c r="AB8" s="71"/>
      <c r="AC8" s="71"/>
      <c r="AD8" s="71"/>
      <c r="AE8" s="321"/>
      <c r="AF8" s="71"/>
      <c r="AG8" s="71"/>
      <c r="AH8" s="71"/>
      <c r="AI8" s="71"/>
      <c r="AJ8" s="261"/>
      <c r="AK8" s="261"/>
      <c r="AL8" s="261"/>
      <c r="AM8" s="71"/>
      <c r="AN8" s="71"/>
      <c r="AO8" s="71"/>
      <c r="AP8" s="322" t="s">
        <v>403</v>
      </c>
      <c r="AQ8" s="71"/>
      <c r="AR8" s="322" t="s">
        <v>9</v>
      </c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321"/>
      <c r="BI8" s="71"/>
      <c r="BJ8" s="71"/>
    </row>
    <row r="9" spans="1:62" s="5" customFormat="1">
      <c r="A9" s="594">
        <f>'1-συμβολαια'!A9</f>
        <v>0</v>
      </c>
      <c r="B9" s="425" t="str">
        <f>'1-συμβολαια'!C9</f>
        <v>χρησικτησία αγροτεμάχιο 193 = 27/7/87 πατρός ΚΛΗΡΟΝΟΜΙΑ άτυπος</v>
      </c>
      <c r="C9" s="256" t="str">
        <f>'4-πολλυπρ'!D9</f>
        <v>παππούς</v>
      </c>
      <c r="D9" s="256" t="str">
        <f>'4-πολλυπρ'!J9</f>
        <v>θείος</v>
      </c>
      <c r="E9" s="256">
        <v>1</v>
      </c>
      <c r="F9" s="311">
        <f t="shared" si="4"/>
        <v>3.23</v>
      </c>
      <c r="G9" s="311">
        <v>3.23</v>
      </c>
      <c r="H9" s="311">
        <f t="shared" si="5"/>
        <v>6.46</v>
      </c>
      <c r="I9" s="258" t="s">
        <v>495</v>
      </c>
      <c r="J9" s="337" t="s">
        <v>160</v>
      </c>
      <c r="K9" s="337" t="s">
        <v>253</v>
      </c>
      <c r="L9" s="311"/>
      <c r="M9" s="311"/>
      <c r="N9" s="311">
        <f t="shared" si="2"/>
        <v>3.96</v>
      </c>
      <c r="O9" s="311"/>
      <c r="P9" s="311">
        <f t="shared" si="6"/>
        <v>0</v>
      </c>
      <c r="Q9" s="256"/>
      <c r="R9" s="256"/>
      <c r="S9" s="256"/>
      <c r="T9" s="256"/>
      <c r="U9" s="321"/>
      <c r="V9" s="71"/>
      <c r="W9" s="322" t="s">
        <v>403</v>
      </c>
      <c r="X9" s="71"/>
      <c r="Y9" s="322" t="s">
        <v>9</v>
      </c>
      <c r="Z9" s="323"/>
      <c r="AA9" s="71"/>
      <c r="AB9" s="71"/>
      <c r="AC9" s="71"/>
      <c r="AD9" s="71"/>
      <c r="AE9" s="321"/>
      <c r="AF9" s="71"/>
      <c r="AG9" s="71"/>
      <c r="AH9" s="71"/>
      <c r="AI9" s="71"/>
      <c r="AJ9" s="261"/>
      <c r="AK9" s="261"/>
      <c r="AL9" s="261"/>
      <c r="AM9" s="71"/>
      <c r="AN9" s="71"/>
      <c r="AO9" s="71"/>
      <c r="AP9" s="322" t="s">
        <v>403</v>
      </c>
      <c r="AQ9" s="71"/>
      <c r="AR9" s="322" t="s">
        <v>9</v>
      </c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321"/>
      <c r="BI9" s="71"/>
      <c r="BJ9" s="71"/>
    </row>
    <row r="10" spans="1:62" s="5" customFormat="1" ht="12" thickBot="1">
      <c r="A10" s="595">
        <f>'1-συμβολαια'!A10</f>
        <v>0</v>
      </c>
      <c r="B10" s="523" t="str">
        <f>'1-συμβολαια'!C10</f>
        <v>χρησικτησία αγροτεμάχιο 279 = 27/7/87 πατρός ΚΛΗΡΟΝΟΜΙΑ άτυπος</v>
      </c>
      <c r="C10" s="524" t="str">
        <f>'4-πολλυπρ'!D10</f>
        <v>παππούς</v>
      </c>
      <c r="D10" s="524" t="str">
        <f>'4-πολλυπρ'!J10</f>
        <v>θείος</v>
      </c>
      <c r="E10" s="524">
        <v>1</v>
      </c>
      <c r="F10" s="469">
        <f t="shared" si="4"/>
        <v>3.23</v>
      </c>
      <c r="G10" s="469">
        <v>3.23</v>
      </c>
      <c r="H10" s="469">
        <f t="shared" si="5"/>
        <v>6.46</v>
      </c>
      <c r="I10" s="525" t="s">
        <v>495</v>
      </c>
      <c r="J10" s="507" t="s">
        <v>160</v>
      </c>
      <c r="K10" s="507" t="s">
        <v>253</v>
      </c>
      <c r="L10" s="469"/>
      <c r="M10" s="469"/>
      <c r="N10" s="469">
        <f t="shared" si="2"/>
        <v>3.96</v>
      </c>
      <c r="O10" s="469"/>
      <c r="P10" s="469">
        <f t="shared" si="6"/>
        <v>0</v>
      </c>
      <c r="Q10" s="524"/>
      <c r="R10" s="524"/>
      <c r="S10" s="524"/>
      <c r="T10" s="524"/>
      <c r="U10" s="321"/>
      <c r="V10" s="71"/>
      <c r="W10" s="322" t="s">
        <v>403</v>
      </c>
      <c r="X10" s="71"/>
      <c r="Y10" s="322" t="s">
        <v>9</v>
      </c>
      <c r="Z10" s="323"/>
      <c r="AA10" s="71"/>
      <c r="AB10" s="71"/>
      <c r="AC10" s="71"/>
      <c r="AD10" s="71"/>
      <c r="AE10" s="321"/>
      <c r="AF10" s="71"/>
      <c r="AG10" s="71"/>
      <c r="AH10" s="71"/>
      <c r="AI10" s="71"/>
      <c r="AJ10" s="261"/>
      <c r="AK10" s="261"/>
      <c r="AL10" s="261"/>
      <c r="AM10" s="71"/>
      <c r="AN10" s="71"/>
      <c r="AO10" s="71"/>
      <c r="AP10" s="322" t="s">
        <v>403</v>
      </c>
      <c r="AQ10" s="71"/>
      <c r="AR10" s="322" t="s">
        <v>9</v>
      </c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321"/>
      <c r="BI10" s="71"/>
      <c r="BJ10" s="71"/>
    </row>
    <row r="11" spans="1:62" s="5" customFormat="1" ht="12" thickBot="1">
      <c r="A11" s="600" t="str">
        <f>'1-συμβολαια'!A11</f>
        <v>3ο</v>
      </c>
      <c r="B11" s="601" t="str">
        <f>'1-συμβολαια'!C11</f>
        <v>κάθετος ΣΥΣΤΑΣΗ</v>
      </c>
      <c r="C11" s="602" t="str">
        <f>'4-πολλυπρ'!D11</f>
        <v>πατήρ</v>
      </c>
      <c r="D11" s="602">
        <f>'4-πολλυπρ'!J11</f>
        <v>0</v>
      </c>
      <c r="E11" s="602">
        <f>3*2</f>
        <v>6</v>
      </c>
      <c r="F11" s="483">
        <f>E11*4</f>
        <v>24</v>
      </c>
      <c r="G11" s="483">
        <f>3*4</f>
        <v>12</v>
      </c>
      <c r="H11" s="483">
        <f t="shared" si="5"/>
        <v>36</v>
      </c>
      <c r="I11" s="603" t="s">
        <v>495</v>
      </c>
      <c r="J11" s="574" t="s">
        <v>160</v>
      </c>
      <c r="K11" s="574" t="s">
        <v>253</v>
      </c>
      <c r="L11" s="483">
        <v>7.4</v>
      </c>
      <c r="M11" s="483">
        <v>7.4</v>
      </c>
      <c r="N11" s="483">
        <f>3*2*1.98</f>
        <v>11.879999999999999</v>
      </c>
      <c r="O11" s="483"/>
      <c r="P11" s="483">
        <f t="shared" si="6"/>
        <v>14.8</v>
      </c>
      <c r="Q11" s="602" t="s">
        <v>582</v>
      </c>
      <c r="R11" s="602"/>
      <c r="S11" s="602"/>
      <c r="T11" s="602"/>
      <c r="U11" s="321"/>
      <c r="V11" s="71"/>
      <c r="W11" s="322" t="s">
        <v>403</v>
      </c>
      <c r="X11" s="71"/>
      <c r="Y11" s="322" t="s">
        <v>9</v>
      </c>
      <c r="Z11" s="323"/>
      <c r="AA11" s="71"/>
      <c r="AB11" s="71"/>
      <c r="AC11" s="71"/>
      <c r="AD11" s="71"/>
      <c r="AE11" s="321"/>
      <c r="AF11" s="71"/>
      <c r="AG11" s="71"/>
      <c r="AH11" s="71"/>
      <c r="AI11" s="71"/>
      <c r="AJ11" s="261"/>
      <c r="AK11" s="261"/>
      <c r="AL11" s="261"/>
      <c r="AM11" s="71"/>
      <c r="AN11" s="71"/>
      <c r="AO11" s="71"/>
      <c r="AP11" s="322" t="s">
        <v>403</v>
      </c>
      <c r="AQ11" s="71"/>
      <c r="AR11" s="322" t="s">
        <v>9</v>
      </c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321"/>
      <c r="BI11" s="71"/>
      <c r="BJ11" s="71"/>
    </row>
    <row r="12" spans="1:62" s="5" customFormat="1" ht="12" thickBot="1">
      <c r="A12" s="596" t="str">
        <f>'1-συμβολαια'!A12</f>
        <v>4ο</v>
      </c>
      <c r="B12" s="597" t="str">
        <f>'1-συμβολαια'!C12</f>
        <v>γονική ΨΙΛΗΣ ΚΥΡΙΟΤΗΤΑΣ</v>
      </c>
      <c r="C12" s="598" t="str">
        <f>'4-πολλυπρ'!D12</f>
        <v>πατήρ</v>
      </c>
      <c r="D12" s="598" t="str">
        <f>'4-πολλυπρ'!J12</f>
        <v xml:space="preserve">219-104 </v>
      </c>
      <c r="E12" s="598">
        <v>2</v>
      </c>
      <c r="F12" s="529">
        <f>E12*4</f>
        <v>8</v>
      </c>
      <c r="G12" s="529">
        <v>4</v>
      </c>
      <c r="H12" s="529">
        <f t="shared" si="5"/>
        <v>12</v>
      </c>
      <c r="I12" s="599" t="s">
        <v>495</v>
      </c>
      <c r="J12" s="572" t="s">
        <v>160</v>
      </c>
      <c r="K12" s="572" t="s">
        <v>253</v>
      </c>
      <c r="L12" s="529"/>
      <c r="M12" s="529"/>
      <c r="N12" s="529">
        <f>2*1.98</f>
        <v>3.96</v>
      </c>
      <c r="O12" s="529"/>
      <c r="P12" s="529">
        <f t="shared" si="6"/>
        <v>0</v>
      </c>
      <c r="Q12" s="598" t="s">
        <v>582</v>
      </c>
      <c r="R12" s="598"/>
      <c r="S12" s="598"/>
      <c r="T12" s="598"/>
      <c r="U12" s="526"/>
      <c r="V12" s="509"/>
      <c r="W12" s="527" t="s">
        <v>403</v>
      </c>
      <c r="X12" s="71"/>
      <c r="Y12" s="322" t="s">
        <v>9</v>
      </c>
      <c r="Z12" s="323"/>
      <c r="AA12" s="71"/>
      <c r="AB12" s="71"/>
      <c r="AC12" s="71"/>
      <c r="AD12" s="71"/>
      <c r="AE12" s="321"/>
      <c r="AF12" s="71"/>
      <c r="AG12" s="71"/>
      <c r="AH12" s="71"/>
      <c r="AI12" s="71"/>
      <c r="AJ12" s="261"/>
      <c r="AK12" s="261"/>
      <c r="AL12" s="261"/>
      <c r="AM12" s="71"/>
      <c r="AN12" s="71"/>
      <c r="AO12" s="71"/>
      <c r="AP12" s="322" t="s">
        <v>403</v>
      </c>
      <c r="AQ12" s="71"/>
      <c r="AR12" s="322" t="s">
        <v>9</v>
      </c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  <c r="BF12" s="71"/>
      <c r="BG12" s="71"/>
      <c r="BH12" s="321"/>
      <c r="BI12" s="71"/>
      <c r="BJ12" s="71"/>
    </row>
    <row r="13" spans="1:62" s="5" customFormat="1" ht="12" thickBot="1">
      <c r="A13" s="600" t="str">
        <f>'1-συμβολαια'!A13</f>
        <v>5ο</v>
      </c>
      <c r="B13" s="601" t="str">
        <f>'1-συμβολαια'!C13</f>
        <v>πληρεξούσιο</v>
      </c>
      <c r="C13" s="602" t="str">
        <f>'4-πολλυπρ'!D13</f>
        <v>πατήρ</v>
      </c>
      <c r="D13" s="602" t="str">
        <f>'4-πολλυπρ'!J13</f>
        <v>μήτηρ</v>
      </c>
      <c r="E13" s="602"/>
      <c r="F13" s="483"/>
      <c r="G13" s="483"/>
      <c r="H13" s="483"/>
      <c r="I13" s="603"/>
      <c r="J13" s="574"/>
      <c r="K13" s="574"/>
      <c r="L13" s="483"/>
      <c r="M13" s="483"/>
      <c r="N13" s="483"/>
      <c r="O13" s="483"/>
      <c r="P13" s="483">
        <f t="shared" si="6"/>
        <v>0</v>
      </c>
      <c r="Q13" s="602"/>
      <c r="R13" s="602"/>
      <c r="S13" s="602"/>
      <c r="T13" s="602"/>
      <c r="U13" s="521"/>
      <c r="V13" s="503"/>
      <c r="W13" s="522" t="s">
        <v>403</v>
      </c>
      <c r="X13" s="71"/>
      <c r="Y13" s="322" t="s">
        <v>9</v>
      </c>
      <c r="Z13" s="323"/>
      <c r="AA13" s="71"/>
      <c r="AB13" s="71"/>
      <c r="AC13" s="71"/>
      <c r="AD13" s="71"/>
      <c r="AE13" s="321"/>
      <c r="AF13" s="71"/>
      <c r="AG13" s="71"/>
      <c r="AH13" s="71"/>
      <c r="AI13" s="71"/>
      <c r="AJ13" s="261"/>
      <c r="AK13" s="261"/>
      <c r="AL13" s="261"/>
      <c r="AM13" s="71"/>
      <c r="AN13" s="71"/>
      <c r="AO13" s="71"/>
      <c r="AP13" s="322" t="s">
        <v>403</v>
      </c>
      <c r="AQ13" s="71"/>
      <c r="AR13" s="322" t="s">
        <v>9</v>
      </c>
      <c r="AS13" s="71"/>
      <c r="AT13" s="71"/>
      <c r="AU13" s="71"/>
      <c r="AV13" s="71"/>
      <c r="AW13" s="71"/>
      <c r="AX13" s="71"/>
      <c r="AY13" s="71"/>
      <c r="AZ13" s="71"/>
      <c r="BA13" s="71"/>
      <c r="BB13" s="71"/>
      <c r="BC13" s="71"/>
      <c r="BD13" s="71"/>
      <c r="BE13" s="71"/>
      <c r="BF13" s="71"/>
      <c r="BG13" s="71"/>
      <c r="BH13" s="321"/>
      <c r="BI13" s="71"/>
      <c r="BJ13" s="71"/>
    </row>
    <row r="14" spans="1:62" s="5" customFormat="1">
      <c r="A14" s="677" t="str">
        <f>'1-συμβολαια'!A14</f>
        <v>6ο</v>
      </c>
      <c r="B14" s="318" t="str">
        <f>'1-συμβολαια'!C14</f>
        <v>μίσθωση αγροτεμαχίων 15 έτη { έως 19/1/2019 }</v>
      </c>
      <c r="C14" s="320" t="str">
        <f>'4-πολλυπρ'!D14</f>
        <v>πατήρ</v>
      </c>
      <c r="D14" s="320" t="str">
        <f>'4-πολλυπρ'!J14</f>
        <v xml:space="preserve">219-104 </v>
      </c>
      <c r="E14" s="320">
        <v>3</v>
      </c>
      <c r="F14" s="319">
        <f t="shared" si="4"/>
        <v>9.69</v>
      </c>
      <c r="G14" s="319">
        <v>3.23</v>
      </c>
      <c r="H14" s="319">
        <f t="shared" si="5"/>
        <v>12.92</v>
      </c>
      <c r="I14" s="262" t="s">
        <v>495</v>
      </c>
      <c r="J14" s="340" t="s">
        <v>160</v>
      </c>
      <c r="K14" s="340" t="s">
        <v>253</v>
      </c>
      <c r="L14" s="319">
        <v>7.4</v>
      </c>
      <c r="M14" s="319">
        <v>7.4</v>
      </c>
      <c r="N14" s="319">
        <f t="shared" ref="N14:N20" si="7">2*1.98</f>
        <v>3.96</v>
      </c>
      <c r="O14" s="319"/>
      <c r="P14" s="319">
        <f t="shared" si="6"/>
        <v>14.8</v>
      </c>
      <c r="Q14" s="320"/>
      <c r="R14" s="320"/>
      <c r="S14" s="320"/>
      <c r="T14" s="320"/>
      <c r="U14" s="321"/>
      <c r="V14" s="71"/>
      <c r="W14" s="322" t="s">
        <v>403</v>
      </c>
      <c r="X14" s="71"/>
      <c r="Y14" s="322" t="s">
        <v>9</v>
      </c>
      <c r="Z14" s="323"/>
      <c r="AA14" s="71"/>
      <c r="AB14" s="71"/>
      <c r="AC14" s="71"/>
      <c r="AD14" s="71"/>
      <c r="AE14" s="321"/>
      <c r="AF14" s="71"/>
      <c r="AG14" s="71"/>
      <c r="AH14" s="71"/>
      <c r="AI14" s="71"/>
      <c r="AJ14" s="261"/>
      <c r="AK14" s="261"/>
      <c r="AL14" s="261"/>
      <c r="AM14" s="71"/>
      <c r="AN14" s="71"/>
      <c r="AO14" s="71"/>
      <c r="AP14" s="322" t="s">
        <v>403</v>
      </c>
      <c r="AQ14" s="71"/>
      <c r="AR14" s="322" t="s">
        <v>9</v>
      </c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321"/>
      <c r="BI14" s="71"/>
      <c r="BJ14" s="71"/>
    </row>
    <row r="15" spans="1:62" s="5" customFormat="1">
      <c r="A15" s="590">
        <f>'1-συμβολαια'!A15</f>
        <v>0</v>
      </c>
      <c r="B15" s="425" t="str">
        <f>'1-συμβολαια'!C15</f>
        <v>ΧΡΗΣΙΚΤΗΣΙΑ αγροτεμαχίων 2'-3' = 19?? ΑΝΑΔΑΣΜΟΣ</v>
      </c>
      <c r="C15" s="256">
        <f>'4-πολλυπρ'!D15</f>
        <v>0</v>
      </c>
      <c r="D15" s="256" t="str">
        <f>'4-πολλυπρ'!J15</f>
        <v>πατήρ</v>
      </c>
      <c r="E15" s="256"/>
      <c r="F15" s="311">
        <f t="shared" si="4"/>
        <v>0</v>
      </c>
      <c r="G15" s="311"/>
      <c r="H15" s="311">
        <f t="shared" ref="H15" si="8">F15+G15</f>
        <v>0</v>
      </c>
      <c r="I15" s="258"/>
      <c r="J15" s="337"/>
      <c r="K15" s="337"/>
      <c r="L15" s="311"/>
      <c r="M15" s="311"/>
      <c r="N15" s="311"/>
      <c r="O15" s="311"/>
      <c r="P15" s="311">
        <f t="shared" ref="P15" si="9">L15+M15</f>
        <v>0</v>
      </c>
      <c r="Q15" s="256"/>
      <c r="R15" s="256"/>
      <c r="S15" s="256"/>
      <c r="T15" s="256"/>
      <c r="U15" s="321"/>
      <c r="V15" s="71"/>
      <c r="W15" s="322" t="s">
        <v>403</v>
      </c>
      <c r="X15" s="71"/>
      <c r="Y15" s="322" t="s">
        <v>9</v>
      </c>
      <c r="Z15" s="323"/>
      <c r="AA15" s="71"/>
      <c r="AB15" s="71"/>
      <c r="AC15" s="71"/>
      <c r="AD15" s="71"/>
      <c r="AE15" s="321"/>
      <c r="AF15" s="71"/>
      <c r="AG15" s="71"/>
      <c r="AH15" s="71"/>
      <c r="AI15" s="71"/>
      <c r="AJ15" s="261"/>
      <c r="AK15" s="261"/>
      <c r="AL15" s="261"/>
      <c r="AM15" s="71"/>
      <c r="AN15" s="71"/>
      <c r="AO15" s="71"/>
      <c r="AP15" s="322" t="s">
        <v>403</v>
      </c>
      <c r="AQ15" s="71"/>
      <c r="AR15" s="322" t="s">
        <v>9</v>
      </c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321"/>
      <c r="BI15" s="71"/>
      <c r="BJ15" s="71"/>
    </row>
    <row r="16" spans="1:62" s="5" customFormat="1">
      <c r="A16" s="590">
        <f>'1-συμβολαια'!A16</f>
        <v>0</v>
      </c>
      <c r="B16" s="425" t="str">
        <f>'1-συμβολαια'!C16</f>
        <v>ΧΡΗΣΙΚΤΗΣΙΑ αγροτεμαχίων υπόλοιπων 12 = πατρός 19?? ΔΩΡΕΕΣ &amp; ΚΛΗΡΟΝΟΜΙΕΣ άτυπες</v>
      </c>
      <c r="C16" s="256">
        <f>'4-πολλυπρ'!D16</f>
        <v>0</v>
      </c>
      <c r="D16" s="256" t="str">
        <f>'4-πολλυπρ'!J16</f>
        <v>πατήρ</v>
      </c>
      <c r="E16" s="256"/>
      <c r="F16" s="311">
        <f t="shared" si="4"/>
        <v>0</v>
      </c>
      <c r="G16" s="311"/>
      <c r="H16" s="311">
        <f t="shared" ref="H16:H20" si="10">F16+G16</f>
        <v>0</v>
      </c>
      <c r="I16" s="258"/>
      <c r="J16" s="337"/>
      <c r="K16" s="337"/>
      <c r="L16" s="311"/>
      <c r="M16" s="311"/>
      <c r="N16" s="311"/>
      <c r="O16" s="311"/>
      <c r="P16" s="311">
        <f t="shared" ref="P16:P21" si="11">L16+M16</f>
        <v>0</v>
      </c>
      <c r="Q16" s="256"/>
      <c r="R16" s="256"/>
      <c r="S16" s="256"/>
      <c r="T16" s="256"/>
      <c r="U16" s="321"/>
      <c r="V16" s="71"/>
      <c r="W16" s="322" t="s">
        <v>403</v>
      </c>
      <c r="X16" s="71"/>
      <c r="Y16" s="322" t="s">
        <v>9</v>
      </c>
      <c r="Z16" s="323"/>
      <c r="AA16" s="71"/>
      <c r="AB16" s="71"/>
      <c r="AC16" s="71"/>
      <c r="AD16" s="71"/>
      <c r="AE16" s="321"/>
      <c r="AF16" s="71"/>
      <c r="AG16" s="71"/>
      <c r="AH16" s="71"/>
      <c r="AI16" s="71"/>
      <c r="AJ16" s="261"/>
      <c r="AK16" s="261"/>
      <c r="AL16" s="261"/>
      <c r="AM16" s="71"/>
      <c r="AN16" s="71"/>
      <c r="AO16" s="71"/>
      <c r="AP16" s="322" t="s">
        <v>403</v>
      </c>
      <c r="AQ16" s="71"/>
      <c r="AR16" s="322" t="s">
        <v>9</v>
      </c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321"/>
      <c r="BI16" s="71"/>
      <c r="BJ16" s="71"/>
    </row>
    <row r="17" spans="1:62" s="5" customFormat="1" ht="12" thickBot="1">
      <c r="A17" s="591">
        <f>'1-συμβολαια'!A17</f>
        <v>0</v>
      </c>
      <c r="B17" s="523" t="str">
        <f>'1-συμβολαια'!C17</f>
        <v>μίσθωση = ΠΑΓΙΑ ως νέος αγρότης</v>
      </c>
      <c r="C17" s="524">
        <f>'4-πολλυπρ'!D17</f>
        <v>0</v>
      </c>
      <c r="D17" s="524" t="str">
        <f>'4-πολλυπρ'!J17</f>
        <v xml:space="preserve">219-104 </v>
      </c>
      <c r="E17" s="524"/>
      <c r="F17" s="469"/>
      <c r="G17" s="469"/>
      <c r="H17" s="469"/>
      <c r="I17" s="525"/>
      <c r="J17" s="507"/>
      <c r="K17" s="507"/>
      <c r="L17" s="469"/>
      <c r="M17" s="469"/>
      <c r="N17" s="469"/>
      <c r="O17" s="469"/>
      <c r="P17" s="469">
        <f t="shared" si="11"/>
        <v>0</v>
      </c>
      <c r="Q17" s="524"/>
      <c r="R17" s="524"/>
      <c r="S17" s="524"/>
      <c r="T17" s="524"/>
      <c r="U17" s="526"/>
      <c r="V17" s="71"/>
      <c r="W17" s="322" t="s">
        <v>403</v>
      </c>
      <c r="X17" s="71"/>
      <c r="Y17" s="322" t="s">
        <v>9</v>
      </c>
      <c r="Z17" s="323"/>
      <c r="AA17" s="71"/>
      <c r="AB17" s="71"/>
      <c r="AC17" s="71"/>
      <c r="AD17" s="71"/>
      <c r="AE17" s="321"/>
      <c r="AF17" s="71"/>
      <c r="AG17" s="71"/>
      <c r="AH17" s="71"/>
      <c r="AI17" s="71"/>
      <c r="AJ17" s="261"/>
      <c r="AK17" s="261"/>
      <c r="AL17" s="261"/>
      <c r="AM17" s="71"/>
      <c r="AN17" s="71"/>
      <c r="AO17" s="71"/>
      <c r="AP17" s="322" t="s">
        <v>403</v>
      </c>
      <c r="AQ17" s="71"/>
      <c r="AR17" s="322" t="s">
        <v>9</v>
      </c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321"/>
      <c r="BI17" s="71"/>
      <c r="BJ17" s="71"/>
    </row>
    <row r="18" spans="1:62" s="5" customFormat="1" ht="12" thickBot="1">
      <c r="A18" s="600" t="str">
        <f>'1-συμβολαια'!A18</f>
        <v>7ο</v>
      </c>
      <c r="B18" s="601" t="str">
        <f>'1-συμβολαια'!C18</f>
        <v>*καθετου συστάσεως 2.539 ΔΙΟΡΘΩΣΗ</v>
      </c>
      <c r="C18" s="602" t="str">
        <f>'4-πολλυπρ'!D18</f>
        <v>πατήρ</v>
      </c>
      <c r="D18" s="602">
        <f>'4-πολλυπρ'!J18</f>
        <v>0</v>
      </c>
      <c r="E18" s="602">
        <v>2</v>
      </c>
      <c r="F18" s="483">
        <f t="shared" si="4"/>
        <v>6.46</v>
      </c>
      <c r="G18" s="483"/>
      <c r="H18" s="483">
        <f t="shared" si="10"/>
        <v>6.46</v>
      </c>
      <c r="I18" s="603" t="s">
        <v>495</v>
      </c>
      <c r="J18" s="574" t="s">
        <v>160</v>
      </c>
      <c r="K18" s="574" t="s">
        <v>253</v>
      </c>
      <c r="L18" s="483">
        <v>7.4</v>
      </c>
      <c r="M18" s="483">
        <v>7.4</v>
      </c>
      <c r="N18" s="483">
        <f t="shared" si="7"/>
        <v>3.96</v>
      </c>
      <c r="O18" s="483"/>
      <c r="P18" s="483">
        <f t="shared" si="11"/>
        <v>14.8</v>
      </c>
      <c r="Q18" s="602"/>
      <c r="R18" s="602"/>
      <c r="S18" s="602"/>
      <c r="T18" s="602"/>
      <c r="U18" s="521"/>
      <c r="V18" s="71"/>
      <c r="W18" s="322" t="s">
        <v>403</v>
      </c>
      <c r="X18" s="71"/>
      <c r="Y18" s="322" t="s">
        <v>9</v>
      </c>
      <c r="Z18" s="323"/>
      <c r="AA18" s="71"/>
      <c r="AB18" s="71"/>
      <c r="AC18" s="71"/>
      <c r="AD18" s="71"/>
      <c r="AE18" s="321"/>
      <c r="AF18" s="71"/>
      <c r="AG18" s="71"/>
      <c r="AH18" s="71"/>
      <c r="AI18" s="71"/>
      <c r="AJ18" s="261"/>
      <c r="AK18" s="261"/>
      <c r="AL18" s="261"/>
      <c r="AM18" s="71"/>
      <c r="AN18" s="71"/>
      <c r="AO18" s="71"/>
      <c r="AP18" s="322" t="s">
        <v>403</v>
      </c>
      <c r="AQ18" s="71"/>
      <c r="AR18" s="322" t="s">
        <v>9</v>
      </c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321"/>
      <c r="BI18" s="71"/>
      <c r="BJ18" s="71"/>
    </row>
    <row r="19" spans="1:62" s="5" customFormat="1" ht="12" thickBot="1">
      <c r="A19" s="596" t="str">
        <f>'1-συμβολαια'!A19</f>
        <v>8ο</v>
      </c>
      <c r="B19" s="597" t="str">
        <f>'1-συμβολαια'!C19</f>
        <v>*γονικής 2.540 ΔΙΟΡΘΩΣΗ</v>
      </c>
      <c r="C19" s="598" t="str">
        <f>'4-πολλυπρ'!D19</f>
        <v>πατήρ</v>
      </c>
      <c r="D19" s="598" t="str">
        <f>'4-πολλυπρ'!J19</f>
        <v xml:space="preserve">219-104 </v>
      </c>
      <c r="E19" s="598">
        <v>2</v>
      </c>
      <c r="F19" s="529">
        <f t="shared" ref="F19:F21" si="12">E19*3.23</f>
        <v>6.46</v>
      </c>
      <c r="G19" s="529"/>
      <c r="H19" s="529">
        <f t="shared" si="10"/>
        <v>6.46</v>
      </c>
      <c r="I19" s="599" t="s">
        <v>495</v>
      </c>
      <c r="J19" s="572" t="s">
        <v>160</v>
      </c>
      <c r="K19" s="572" t="s">
        <v>253</v>
      </c>
      <c r="L19" s="529"/>
      <c r="M19" s="529"/>
      <c r="N19" s="529">
        <f t="shared" si="7"/>
        <v>3.96</v>
      </c>
      <c r="O19" s="529"/>
      <c r="P19" s="529">
        <f t="shared" si="11"/>
        <v>0</v>
      </c>
      <c r="Q19" s="598"/>
      <c r="R19" s="598"/>
      <c r="S19" s="598"/>
      <c r="T19" s="598"/>
      <c r="U19" s="526"/>
      <c r="V19" s="71"/>
      <c r="W19" s="322" t="s">
        <v>403</v>
      </c>
      <c r="X19" s="71"/>
      <c r="Y19" s="322" t="s">
        <v>9</v>
      </c>
      <c r="Z19" s="323"/>
      <c r="AA19" s="71"/>
      <c r="AB19" s="71"/>
      <c r="AC19" s="71"/>
      <c r="AD19" s="71"/>
      <c r="AE19" s="321"/>
      <c r="AF19" s="71"/>
      <c r="AG19" s="71"/>
      <c r="AH19" s="71"/>
      <c r="AI19" s="71"/>
      <c r="AJ19" s="261"/>
      <c r="AK19" s="261"/>
      <c r="AL19" s="261"/>
      <c r="AM19" s="71"/>
      <c r="AN19" s="71"/>
      <c r="AO19" s="71"/>
      <c r="AP19" s="322" t="s">
        <v>403</v>
      </c>
      <c r="AQ19" s="71"/>
      <c r="AR19" s="322" t="s">
        <v>9</v>
      </c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321"/>
      <c r="BI19" s="71"/>
      <c r="BJ19" s="71"/>
    </row>
    <row r="20" spans="1:62" s="5" customFormat="1">
      <c r="A20" s="677" t="str">
        <f>'1-συμβολαια'!A20</f>
        <v>9ο</v>
      </c>
      <c r="B20" s="318" t="str">
        <f>'1-συμβολαια'!C20</f>
        <v>γονική</v>
      </c>
      <c r="C20" s="320" t="str">
        <f>'4-πολλυπρ'!D20</f>
        <v>πατήρ</v>
      </c>
      <c r="D20" s="320" t="str">
        <f>'4-πολλυπρ'!J20</f>
        <v xml:space="preserve">219-104 </v>
      </c>
      <c r="E20" s="320">
        <v>3</v>
      </c>
      <c r="F20" s="319">
        <f t="shared" si="12"/>
        <v>9.69</v>
      </c>
      <c r="G20" s="319"/>
      <c r="H20" s="319">
        <f t="shared" si="10"/>
        <v>9.69</v>
      </c>
      <c r="I20" s="262" t="s">
        <v>495</v>
      </c>
      <c r="J20" s="340" t="s">
        <v>160</v>
      </c>
      <c r="K20" s="340" t="s">
        <v>253</v>
      </c>
      <c r="L20" s="319"/>
      <c r="M20" s="319"/>
      <c r="N20" s="319">
        <f t="shared" si="7"/>
        <v>3.96</v>
      </c>
      <c r="O20" s="319"/>
      <c r="P20" s="319">
        <f t="shared" si="11"/>
        <v>0</v>
      </c>
      <c r="Q20" s="320"/>
      <c r="R20" s="320"/>
      <c r="S20" s="320"/>
      <c r="T20" s="320"/>
      <c r="U20" s="521"/>
      <c r="V20" s="71"/>
      <c r="W20" s="322" t="s">
        <v>403</v>
      </c>
      <c r="X20" s="71"/>
      <c r="Y20" s="322" t="s">
        <v>9</v>
      </c>
      <c r="Z20" s="323"/>
      <c r="AA20" s="71"/>
      <c r="AB20" s="71"/>
      <c r="AC20" s="71"/>
      <c r="AD20" s="71"/>
      <c r="AE20" s="321"/>
      <c r="AF20" s="71"/>
      <c r="AG20" s="71"/>
      <c r="AH20" s="71"/>
      <c r="AI20" s="71"/>
      <c r="AJ20" s="261"/>
      <c r="AK20" s="261"/>
      <c r="AL20" s="261"/>
      <c r="AM20" s="71"/>
      <c r="AN20" s="71"/>
      <c r="AO20" s="71"/>
      <c r="AP20" s="322" t="s">
        <v>403</v>
      </c>
      <c r="AQ20" s="71"/>
      <c r="AR20" s="322" t="s">
        <v>9</v>
      </c>
      <c r="AS20" s="71"/>
      <c r="AT20" s="71"/>
      <c r="AU20" s="71"/>
      <c r="AV20" s="71"/>
      <c r="AW20" s="71"/>
      <c r="AX20" s="71"/>
      <c r="AY20" s="71"/>
      <c r="AZ20" s="71"/>
      <c r="BA20" s="71"/>
      <c r="BB20" s="71"/>
      <c r="BC20" s="71"/>
      <c r="BD20" s="71"/>
      <c r="BE20" s="71"/>
      <c r="BF20" s="71"/>
      <c r="BG20" s="71"/>
      <c r="BH20" s="321"/>
      <c r="BI20" s="71"/>
      <c r="BJ20" s="71"/>
    </row>
    <row r="21" spans="1:62" s="5" customFormat="1" ht="12" thickBot="1">
      <c r="A21" s="591">
        <f>'1-συμβολαια'!A21</f>
        <v>0</v>
      </c>
      <c r="B21" s="523" t="str">
        <f>'1-συμβολαια'!C21</f>
        <v>ΧΡΗΣΙΚΤΗΣΙΑ οικοπέδου ΄΄κάστρο'' 52,50μ2 = 1970 κυδωνηςΙωαννης ΔΩΡΕΑ άτυπη</v>
      </c>
      <c r="C21" s="524" t="str">
        <f>'4-πολλυπρ'!D21</f>
        <v>παππούς</v>
      </c>
      <c r="D21" s="524" t="str">
        <f>'4-πολλυπρ'!J21</f>
        <v>πατήρ</v>
      </c>
      <c r="E21" s="524"/>
      <c r="F21" s="469">
        <f t="shared" si="12"/>
        <v>0</v>
      </c>
      <c r="G21" s="469"/>
      <c r="H21" s="469"/>
      <c r="I21" s="525"/>
      <c r="J21" s="507"/>
      <c r="K21" s="507"/>
      <c r="L21" s="469"/>
      <c r="M21" s="469"/>
      <c r="N21" s="469"/>
      <c r="O21" s="469"/>
      <c r="P21" s="469">
        <f t="shared" si="11"/>
        <v>0</v>
      </c>
      <c r="Q21" s="524"/>
      <c r="R21" s="524"/>
      <c r="S21" s="524"/>
      <c r="T21" s="524"/>
      <c r="U21" s="321"/>
      <c r="V21" s="71"/>
      <c r="W21" s="322" t="s">
        <v>403</v>
      </c>
      <c r="X21" s="71"/>
      <c r="Y21" s="322" t="s">
        <v>9</v>
      </c>
      <c r="Z21" s="323"/>
      <c r="AA21" s="71"/>
      <c r="AB21" s="71"/>
      <c r="AC21" s="71"/>
      <c r="AD21" s="71"/>
      <c r="AE21" s="321"/>
      <c r="AF21" s="71"/>
      <c r="AG21" s="71"/>
      <c r="AH21" s="71"/>
      <c r="AI21" s="71"/>
      <c r="AJ21" s="261"/>
      <c r="AK21" s="261"/>
      <c r="AL21" s="261"/>
      <c r="AM21" s="71"/>
      <c r="AN21" s="71"/>
      <c r="AO21" s="71"/>
      <c r="AP21" s="322" t="s">
        <v>403</v>
      </c>
      <c r="AQ21" s="71"/>
      <c r="AR21" s="322" t="s">
        <v>9</v>
      </c>
      <c r="AS21" s="71"/>
      <c r="AT21" s="71"/>
      <c r="AU21" s="71"/>
      <c r="AV21" s="71"/>
      <c r="AW21" s="71"/>
      <c r="AX21" s="71"/>
      <c r="AY21" s="71"/>
      <c r="AZ21" s="71"/>
      <c r="BA21" s="71"/>
      <c r="BB21" s="71"/>
      <c r="BC21" s="71"/>
      <c r="BD21" s="71"/>
      <c r="BE21" s="71"/>
      <c r="BF21" s="71"/>
      <c r="BG21" s="71"/>
      <c r="BH21" s="321"/>
      <c r="BI21" s="71"/>
      <c r="BJ21" s="71"/>
    </row>
    <row r="22" spans="1:62">
      <c r="A22" s="798" t="s">
        <v>35</v>
      </c>
      <c r="B22" s="799"/>
      <c r="C22" s="799"/>
      <c r="D22" s="800"/>
      <c r="E22" s="408">
        <f>SUM(E3:E21)</f>
        <v>26</v>
      </c>
      <c r="F22" s="408">
        <f>SUM(F3:F21)</f>
        <v>90.139999999999986</v>
      </c>
      <c r="G22" s="408">
        <f>SUM(G3:G21)</f>
        <v>45.07</v>
      </c>
      <c r="H22" s="408">
        <f>SUM(H3:H21)</f>
        <v>135.21</v>
      </c>
      <c r="I22" s="408"/>
      <c r="J22" s="408"/>
      <c r="K22" s="408"/>
      <c r="L22" s="408">
        <f t="shared" ref="L22:S22" si="13">SUM(L3:L21)</f>
        <v>28.07</v>
      </c>
      <c r="M22" s="408">
        <f t="shared" si="13"/>
        <v>28.07</v>
      </c>
      <c r="N22" s="408">
        <f t="shared" si="13"/>
        <v>63.360000000000007</v>
      </c>
      <c r="O22" s="408">
        <f t="shared" si="13"/>
        <v>0</v>
      </c>
      <c r="P22" s="408">
        <f t="shared" si="13"/>
        <v>56.14</v>
      </c>
      <c r="Q22" s="408">
        <f t="shared" si="13"/>
        <v>0</v>
      </c>
      <c r="R22" s="408">
        <f t="shared" si="13"/>
        <v>0</v>
      </c>
      <c r="S22" s="408">
        <f t="shared" si="13"/>
        <v>0</v>
      </c>
      <c r="T22" s="408"/>
      <c r="U22" s="409"/>
      <c r="V22" s="66">
        <f>SUM(V3:V21)</f>
        <v>0</v>
      </c>
      <c r="W22" s="66"/>
      <c r="X22" s="66">
        <f>SUM(X3:X21)</f>
        <v>0</v>
      </c>
      <c r="Y22" s="66"/>
      <c r="Z22" s="66">
        <f>SUM(Z3:Z21)</f>
        <v>0</v>
      </c>
      <c r="AA22" s="66">
        <f>SUM(AA3:AA21)</f>
        <v>0</v>
      </c>
      <c r="AB22" s="66">
        <f>SUM(AB3:AB21)</f>
        <v>0</v>
      </c>
      <c r="AC22" s="66">
        <f>SUM(AC3:AC21)</f>
        <v>0</v>
      </c>
      <c r="AD22" s="66">
        <f>SUM(AD3:AD21)</f>
        <v>0</v>
      </c>
      <c r="AE22" s="122"/>
      <c r="AF22" s="66"/>
      <c r="AG22" s="66"/>
      <c r="AH22" s="66"/>
      <c r="AI22" s="66"/>
      <c r="AJ22" s="69">
        <f>SUM(AJ3:AJ21)</f>
        <v>0</v>
      </c>
      <c r="AK22" s="69">
        <f>SUM(AK3:AK21)</f>
        <v>0</v>
      </c>
      <c r="AL22" s="69"/>
      <c r="AM22" s="66">
        <f>SUM(AM3:AM21)</f>
        <v>0</v>
      </c>
      <c r="AN22" s="66">
        <f>SUM(AN3:AN21)</f>
        <v>0</v>
      </c>
      <c r="AO22" s="66">
        <f>SUM(AO3:AO21)</f>
        <v>0</v>
      </c>
      <c r="AP22" s="66"/>
      <c r="AQ22" s="66">
        <f t="shared" ref="AQ22:BJ22" si="14">SUM(AQ3:AQ21)</f>
        <v>0</v>
      </c>
      <c r="AR22" s="66">
        <f t="shared" si="14"/>
        <v>0</v>
      </c>
      <c r="AS22" s="66">
        <f t="shared" si="14"/>
        <v>0</v>
      </c>
      <c r="AT22" s="66">
        <f t="shared" si="14"/>
        <v>0</v>
      </c>
      <c r="AU22" s="66">
        <f t="shared" si="14"/>
        <v>0</v>
      </c>
      <c r="AV22" s="66">
        <f t="shared" si="14"/>
        <v>0</v>
      </c>
      <c r="AW22" s="66">
        <f t="shared" si="14"/>
        <v>0</v>
      </c>
      <c r="AX22" s="66">
        <f t="shared" si="14"/>
        <v>0</v>
      </c>
      <c r="AY22" s="66">
        <f t="shared" si="14"/>
        <v>0</v>
      </c>
      <c r="AZ22" s="66">
        <f t="shared" si="14"/>
        <v>0</v>
      </c>
      <c r="BA22" s="66">
        <f t="shared" si="14"/>
        <v>0</v>
      </c>
      <c r="BB22" s="66">
        <f t="shared" si="14"/>
        <v>0</v>
      </c>
      <c r="BC22" s="66">
        <f t="shared" si="14"/>
        <v>0</v>
      </c>
      <c r="BD22" s="66">
        <f t="shared" si="14"/>
        <v>0</v>
      </c>
      <c r="BE22" s="66">
        <f t="shared" si="14"/>
        <v>0</v>
      </c>
      <c r="BF22" s="66">
        <f t="shared" si="14"/>
        <v>0</v>
      </c>
      <c r="BG22" s="66">
        <f t="shared" si="14"/>
        <v>0</v>
      </c>
      <c r="BH22" s="66">
        <f t="shared" si="14"/>
        <v>0</v>
      </c>
      <c r="BI22" s="66">
        <f t="shared" si="14"/>
        <v>0</v>
      </c>
      <c r="BJ22" s="66">
        <f t="shared" si="14"/>
        <v>0</v>
      </c>
    </row>
    <row r="23" spans="1:62">
      <c r="L23" s="124" t="s">
        <v>483</v>
      </c>
    </row>
    <row r="24" spans="1:62">
      <c r="G24" s="124"/>
      <c r="H24" s="299" t="s">
        <v>98</v>
      </c>
      <c r="I24" s="124"/>
      <c r="J24" s="124"/>
      <c r="K24" s="124"/>
      <c r="L24" s="124"/>
      <c r="M24" s="124" t="s">
        <v>483</v>
      </c>
      <c r="N24" s="108"/>
      <c r="O24" s="108"/>
      <c r="T24" s="167" t="s">
        <v>162</v>
      </c>
      <c r="AA24" s="2"/>
      <c r="AC24" s="108" t="s">
        <v>99</v>
      </c>
      <c r="AJ24" s="208" t="s">
        <v>100</v>
      </c>
    </row>
    <row r="25" spans="1:62">
      <c r="F25" s="3"/>
      <c r="G25" s="3"/>
      <c r="H25" s="3"/>
      <c r="I25" s="143" t="s">
        <v>156</v>
      </c>
      <c r="J25" s="110"/>
      <c r="K25" s="110"/>
      <c r="M25" s="124"/>
      <c r="N25" s="3"/>
      <c r="O25" s="3"/>
      <c r="P25" s="3"/>
      <c r="Q25" s="143" t="s">
        <v>163</v>
      </c>
      <c r="T25" s="8"/>
    </row>
    <row r="26" spans="1:62">
      <c r="E26" s="109"/>
      <c r="F26" s="3"/>
      <c r="G26" s="3"/>
      <c r="H26" s="3"/>
      <c r="I26" s="110" t="s">
        <v>157</v>
      </c>
      <c r="J26" s="110"/>
      <c r="K26" s="110"/>
      <c r="M26" s="3"/>
      <c r="N26" s="3"/>
      <c r="O26" s="3"/>
      <c r="P26" s="3"/>
      <c r="R26" s="110" t="s">
        <v>164</v>
      </c>
      <c r="T26" s="8"/>
    </row>
    <row r="27" spans="1:62">
      <c r="A27" s="357" t="s">
        <v>617</v>
      </c>
      <c r="B27" s="8" t="s">
        <v>618</v>
      </c>
      <c r="C27" s="357" t="s">
        <v>617</v>
      </c>
      <c r="D27" s="2" t="s">
        <v>554</v>
      </c>
      <c r="I27" s="110"/>
      <c r="J27" s="143" t="s">
        <v>158</v>
      </c>
      <c r="K27" s="110"/>
      <c r="N27" s="139" t="s">
        <v>482</v>
      </c>
      <c r="O27" s="4"/>
      <c r="T27" s="8"/>
    </row>
    <row r="28" spans="1:62">
      <c r="A28" s="357"/>
      <c r="B28" s="88" t="s">
        <v>550</v>
      </c>
      <c r="C28" s="592" t="s">
        <v>581</v>
      </c>
      <c r="J28" s="110" t="s">
        <v>159</v>
      </c>
      <c r="K28" s="110"/>
      <c r="T28" s="8"/>
    </row>
    <row r="29" spans="1:62">
      <c r="A29" s="357"/>
      <c r="B29" s="435" t="s">
        <v>551</v>
      </c>
      <c r="C29" s="363"/>
      <c r="K29" s="143" t="s">
        <v>260</v>
      </c>
      <c r="T29" s="8"/>
    </row>
    <row r="30" spans="1:62">
      <c r="A30" s="357"/>
      <c r="B30" s="435" t="s">
        <v>552</v>
      </c>
      <c r="C30" s="276"/>
      <c r="K30" s="110" t="s">
        <v>261</v>
      </c>
      <c r="T30" s="8"/>
    </row>
    <row r="31" spans="1:62">
      <c r="A31" s="357"/>
      <c r="B31" s="88" t="s">
        <v>619</v>
      </c>
      <c r="C31" s="276"/>
      <c r="K31" s="110"/>
      <c r="T31" s="8"/>
    </row>
    <row r="32" spans="1:62">
      <c r="A32" s="363"/>
      <c r="B32" s="88" t="s">
        <v>620</v>
      </c>
      <c r="C32" s="276"/>
    </row>
    <row r="33" spans="1:4">
      <c r="A33" s="276"/>
      <c r="B33" s="88"/>
      <c r="C33" s="276"/>
    </row>
    <row r="34" spans="1:4">
      <c r="A34" s="357" t="s">
        <v>621</v>
      </c>
      <c r="B34" s="8" t="s">
        <v>622</v>
      </c>
      <c r="C34" s="357" t="s">
        <v>621</v>
      </c>
      <c r="D34" s="2" t="s">
        <v>554</v>
      </c>
    </row>
    <row r="35" spans="1:4">
      <c r="A35" s="357"/>
      <c r="B35" s="88" t="s">
        <v>550</v>
      </c>
      <c r="C35" s="592" t="s">
        <v>581</v>
      </c>
    </row>
    <row r="36" spans="1:4">
      <c r="A36" s="357"/>
      <c r="B36" s="435" t="s">
        <v>551</v>
      </c>
      <c r="C36" s="363"/>
    </row>
    <row r="37" spans="1:4">
      <c r="A37" s="357"/>
      <c r="B37" s="435" t="s">
        <v>552</v>
      </c>
      <c r="C37" s="276"/>
    </row>
    <row r="38" spans="1:4">
      <c r="A38" s="276"/>
      <c r="B38" s="88" t="s">
        <v>619</v>
      </c>
      <c r="C38" s="276"/>
    </row>
    <row r="39" spans="1:4">
      <c r="A39" s="276"/>
      <c r="B39" s="88" t="s">
        <v>620</v>
      </c>
      <c r="C39" s="276"/>
    </row>
    <row r="40" spans="1:4">
      <c r="A40" s="276"/>
      <c r="B40" s="8"/>
      <c r="C40" s="357"/>
    </row>
    <row r="41" spans="1:4">
      <c r="A41" s="357" t="s">
        <v>623</v>
      </c>
      <c r="B41" s="3" t="s">
        <v>561</v>
      </c>
      <c r="C41" s="357" t="s">
        <v>623</v>
      </c>
      <c r="D41" s="2" t="s">
        <v>554</v>
      </c>
    </row>
    <row r="42" spans="1:4">
      <c r="A42" s="357"/>
      <c r="B42" s="435" t="s">
        <v>562</v>
      </c>
      <c r="C42" s="592" t="s">
        <v>583</v>
      </c>
    </row>
    <row r="43" spans="1:4">
      <c r="A43" s="357"/>
      <c r="B43" s="435" t="s">
        <v>563</v>
      </c>
      <c r="C43" s="363"/>
    </row>
    <row r="44" spans="1:4">
      <c r="A44" s="276"/>
      <c r="B44" s="435" t="s">
        <v>564</v>
      </c>
      <c r="C44" s="276"/>
    </row>
    <row r="45" spans="1:4">
      <c r="A45" s="276"/>
      <c r="B45" s="88"/>
      <c r="C45" s="276"/>
    </row>
    <row r="46" spans="1:4">
      <c r="A46" s="276"/>
      <c r="B46" s="3"/>
      <c r="C46" s="276"/>
    </row>
    <row r="47" spans="1:4">
      <c r="A47" s="357" t="s">
        <v>624</v>
      </c>
      <c r="B47" s="3" t="s">
        <v>566</v>
      </c>
      <c r="C47" s="357" t="s">
        <v>624</v>
      </c>
      <c r="D47" s="2" t="s">
        <v>567</v>
      </c>
    </row>
    <row r="48" spans="1:4">
      <c r="A48" s="79"/>
      <c r="B48" s="435" t="s">
        <v>562</v>
      </c>
      <c r="C48" s="592" t="s">
        <v>583</v>
      </c>
    </row>
    <row r="49" spans="1:4">
      <c r="A49" s="79"/>
      <c r="B49" s="129"/>
      <c r="C49" s="276"/>
    </row>
    <row r="50" spans="1:4">
      <c r="A50" s="357" t="s">
        <v>625</v>
      </c>
      <c r="B50" s="655" t="s">
        <v>626</v>
      </c>
      <c r="C50" s="357" t="s">
        <v>625</v>
      </c>
      <c r="D50" s="2" t="s">
        <v>567</v>
      </c>
    </row>
    <row r="51" spans="1:4">
      <c r="B51" s="655" t="s">
        <v>594</v>
      </c>
      <c r="C51" s="592" t="s">
        <v>583</v>
      </c>
    </row>
    <row r="52" spans="1:4">
      <c r="B52" s="655" t="s">
        <v>595</v>
      </c>
      <c r="C52" s="2"/>
    </row>
    <row r="53" spans="1:4">
      <c r="B53" s="655" t="s">
        <v>627</v>
      </c>
      <c r="C53" s="2"/>
    </row>
    <row r="54" spans="1:4">
      <c r="B54" s="655" t="s">
        <v>628</v>
      </c>
      <c r="C54" s="357"/>
    </row>
    <row r="55" spans="1:4">
      <c r="B55" s="655" t="s">
        <v>629</v>
      </c>
      <c r="C55" s="396"/>
    </row>
    <row r="56" spans="1:4">
      <c r="B56" s="655" t="s">
        <v>630</v>
      </c>
      <c r="C56" s="363"/>
    </row>
    <row r="57" spans="1:4">
      <c r="B57" s="655" t="s">
        <v>631</v>
      </c>
      <c r="C57" s="276"/>
    </row>
    <row r="58" spans="1:4">
      <c r="B58" s="655" t="s">
        <v>632</v>
      </c>
      <c r="C58" s="276"/>
    </row>
    <row r="59" spans="1:4">
      <c r="B59" s="655" t="s">
        <v>633</v>
      </c>
      <c r="C59" s="276"/>
    </row>
    <row r="60" spans="1:4">
      <c r="B60" s="655" t="s">
        <v>634</v>
      </c>
      <c r="C60" s="276"/>
    </row>
    <row r="61" spans="1:4">
      <c r="B61" s="655" t="s">
        <v>635</v>
      </c>
      <c r="C61" s="276"/>
    </row>
    <row r="62" spans="1:4">
      <c r="B62" s="655" t="s">
        <v>636</v>
      </c>
      <c r="C62" s="276"/>
    </row>
    <row r="63" spans="1:4">
      <c r="B63" s="655" t="s">
        <v>637</v>
      </c>
      <c r="C63" s="276"/>
    </row>
    <row r="64" spans="1:4">
      <c r="B64" s="3"/>
      <c r="C64" s="276"/>
    </row>
    <row r="65" spans="2:4">
      <c r="B65" s="3"/>
      <c r="C65" s="357" t="s">
        <v>638</v>
      </c>
      <c r="D65" s="2" t="s">
        <v>554</v>
      </c>
    </row>
    <row r="66" spans="2:4">
      <c r="B66" s="3"/>
      <c r="C66" s="592" t="s">
        <v>581</v>
      </c>
    </row>
    <row r="67" spans="2:4">
      <c r="B67" s="3"/>
      <c r="C67" s="2"/>
    </row>
    <row r="68" spans="2:4">
      <c r="B68" s="3"/>
      <c r="C68" s="357" t="s">
        <v>639</v>
      </c>
      <c r="D68" s="2" t="s">
        <v>567</v>
      </c>
    </row>
    <row r="69" spans="2:4">
      <c r="B69" s="3"/>
      <c r="C69" s="592" t="s">
        <v>583</v>
      </c>
    </row>
    <row r="70" spans="2:4">
      <c r="B70" s="3"/>
      <c r="C70" s="2"/>
    </row>
    <row r="71" spans="2:4">
      <c r="B71" s="3"/>
      <c r="C71" s="357" t="s">
        <v>640</v>
      </c>
      <c r="D71" s="2" t="s">
        <v>613</v>
      </c>
    </row>
    <row r="72" spans="2:4">
      <c r="B72" s="3"/>
      <c r="C72" s="592" t="s">
        <v>616</v>
      </c>
    </row>
    <row r="73" spans="2:4">
      <c r="B73" s="3"/>
      <c r="C73" s="2"/>
    </row>
    <row r="74" spans="2:4">
      <c r="B74" s="3"/>
      <c r="C74" s="357"/>
      <c r="D74" s="2"/>
    </row>
    <row r="75" spans="2:4">
      <c r="B75" s="3"/>
      <c r="C75" s="592"/>
    </row>
    <row r="76" spans="2:4">
      <c r="B76" s="3"/>
    </row>
    <row r="77" spans="2:4">
      <c r="B77" s="3"/>
    </row>
    <row r="78" spans="2:4">
      <c r="B78" s="3"/>
    </row>
  </sheetData>
  <mergeCells count="15">
    <mergeCell ref="AN1:AW1"/>
    <mergeCell ref="AX1:BE1"/>
    <mergeCell ref="BF1:BJ1"/>
    <mergeCell ref="U1:AD1"/>
    <mergeCell ref="BI2:BJ2"/>
    <mergeCell ref="AV2:AW2"/>
    <mergeCell ref="A22:D22"/>
    <mergeCell ref="A1:D1"/>
    <mergeCell ref="AE1:AM1"/>
    <mergeCell ref="E1:R1"/>
    <mergeCell ref="S1:S2"/>
    <mergeCell ref="AC2:AD2"/>
    <mergeCell ref="AL2:AM2"/>
    <mergeCell ref="I2:K2"/>
    <mergeCell ref="T1:T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73"/>
  <sheetViews>
    <sheetView workbookViewId="0">
      <pane ySplit="2" topLeftCell="A3" activePane="bottomLeft" state="frozen"/>
      <selection pane="bottomLeft" activeCell="C66" sqref="C66:D72"/>
    </sheetView>
  </sheetViews>
  <sheetFormatPr defaultRowHeight="11.25"/>
  <cols>
    <col min="1" max="1" width="10.5703125" style="7" bestFit="1" customWidth="1"/>
    <col min="2" max="2" width="69.140625" style="86" customWidth="1"/>
    <col min="3" max="3" width="7.28515625" style="3" customWidth="1"/>
    <col min="4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3" width="8.85546875" style="2" customWidth="1"/>
    <col min="14" max="14" width="10.28515625" style="2" customWidth="1"/>
    <col min="15" max="19" width="8.85546875" style="2" customWidth="1"/>
    <col min="20" max="20" width="9.5703125" style="2" customWidth="1"/>
    <col min="21" max="21" width="8.85546875" style="2" customWidth="1"/>
    <col min="22" max="22" width="12" style="2" customWidth="1"/>
    <col min="23" max="23" width="62.7109375" style="79" customWidth="1"/>
    <col min="24" max="24" width="7.42578125" style="79" customWidth="1"/>
    <col min="25" max="25" width="11.42578125" style="79" bestFit="1" customWidth="1"/>
    <col min="26" max="26" width="13" style="79" customWidth="1"/>
    <col min="27" max="16384" width="9.140625" style="3"/>
  </cols>
  <sheetData>
    <row r="1" spans="1:26" s="4" customFormat="1" ht="15.75" customHeight="1">
      <c r="A1" s="827" t="s">
        <v>31</v>
      </c>
      <c r="B1" s="828"/>
      <c r="C1" s="828"/>
      <c r="D1" s="829"/>
      <c r="E1" s="830" t="s">
        <v>167</v>
      </c>
      <c r="F1" s="831"/>
      <c r="G1" s="831"/>
      <c r="H1" s="831"/>
      <c r="I1" s="822" t="s">
        <v>161</v>
      </c>
      <c r="J1" s="822"/>
      <c r="K1" s="822"/>
      <c r="L1" s="822"/>
      <c r="M1" s="822"/>
      <c r="N1" s="822"/>
      <c r="O1" s="822"/>
      <c r="P1" s="822"/>
      <c r="Q1" s="822"/>
      <c r="R1" s="822"/>
      <c r="S1" s="822"/>
      <c r="T1" s="822"/>
      <c r="U1" s="822"/>
      <c r="V1" s="822"/>
      <c r="W1" s="823" t="s">
        <v>29</v>
      </c>
      <c r="X1" s="824"/>
      <c r="Y1" s="824"/>
      <c r="Z1" s="824"/>
    </row>
    <row r="2" spans="1:26" s="4" customFormat="1" ht="23.25" thickBot="1">
      <c r="A2" s="9" t="s">
        <v>19</v>
      </c>
      <c r="B2" s="136" t="s">
        <v>0</v>
      </c>
      <c r="C2" s="53" t="s">
        <v>11</v>
      </c>
      <c r="D2" s="137" t="s">
        <v>12</v>
      </c>
      <c r="E2" s="39" t="s">
        <v>484</v>
      </c>
      <c r="F2" s="832" t="s">
        <v>29</v>
      </c>
      <c r="G2" s="833"/>
      <c r="H2" s="834"/>
      <c r="I2" s="39" t="s">
        <v>87</v>
      </c>
      <c r="J2" s="53" t="s">
        <v>88</v>
      </c>
      <c r="K2" s="53" t="s">
        <v>90</v>
      </c>
      <c r="L2" s="39" t="s">
        <v>234</v>
      </c>
      <c r="M2" s="39" t="s">
        <v>235</v>
      </c>
      <c r="N2" s="53" t="s">
        <v>236</v>
      </c>
      <c r="O2" s="53" t="s">
        <v>530</v>
      </c>
      <c r="P2" s="53" t="s">
        <v>36</v>
      </c>
      <c r="Q2" s="53" t="s">
        <v>531</v>
      </c>
      <c r="R2" s="53"/>
      <c r="S2" s="53" t="s">
        <v>532</v>
      </c>
      <c r="T2" s="53" t="s">
        <v>533</v>
      </c>
      <c r="U2" s="39"/>
      <c r="V2" s="53" t="s">
        <v>47</v>
      </c>
      <c r="W2" s="825"/>
      <c r="X2" s="826"/>
      <c r="Y2" s="826"/>
      <c r="Z2" s="826"/>
    </row>
    <row r="3" spans="1:26" s="5" customFormat="1">
      <c r="A3" s="590" t="str">
        <f>'1-συμβολαια'!A3</f>
        <v>1ο</v>
      </c>
      <c r="B3" s="318" t="str">
        <f>'1-συμβολαια'!C3</f>
        <v>κληρονομιάς ΑΠΟΔΟΧΗ</v>
      </c>
      <c r="C3" s="256" t="str">
        <f>'4-πολλυπρ'!D3</f>
        <v>παππούς</v>
      </c>
      <c r="D3" s="256">
        <f>'4-πολλυπρ'!I3</f>
        <v>0</v>
      </c>
      <c r="E3" s="319">
        <v>6.46</v>
      </c>
      <c r="F3" s="340" t="s">
        <v>528</v>
      </c>
      <c r="G3" s="340" t="s">
        <v>529</v>
      </c>
      <c r="H3" s="319"/>
      <c r="I3" s="319">
        <v>5.87</v>
      </c>
      <c r="J3" s="319">
        <v>5.87</v>
      </c>
      <c r="K3" s="319">
        <v>1.98</v>
      </c>
      <c r="L3" s="319"/>
      <c r="M3" s="319"/>
      <c r="N3" s="319">
        <f>2*5*3.23</f>
        <v>32.299999999999997</v>
      </c>
      <c r="O3" s="319">
        <f t="shared" ref="O3:Q4" si="0">5*3.23</f>
        <v>16.149999999999999</v>
      </c>
      <c r="P3" s="319">
        <f t="shared" si="0"/>
        <v>16.149999999999999</v>
      </c>
      <c r="Q3" s="319">
        <f t="shared" si="0"/>
        <v>16.149999999999999</v>
      </c>
      <c r="R3" s="319"/>
      <c r="S3" s="319">
        <f>6*1.47</f>
        <v>8.82</v>
      </c>
      <c r="T3" s="528">
        <f>54*3.23</f>
        <v>174.42</v>
      </c>
      <c r="U3" s="319"/>
      <c r="V3" s="319">
        <f>SUM(I3:U3)-K3</f>
        <v>275.72999999999996</v>
      </c>
      <c r="W3" s="325"/>
      <c r="X3" s="325"/>
      <c r="Y3" s="410"/>
      <c r="Z3" s="259"/>
    </row>
    <row r="4" spans="1:26" s="5" customFormat="1">
      <c r="A4" s="590">
        <f>'1-συμβολαια'!A4</f>
        <v>0</v>
      </c>
      <c r="B4" s="425" t="str">
        <f>'1-συμβολαια'!C4</f>
        <v>χρησικτησία οικοπεδου = 194? γεωργούδηΝικολαο ΑΓΟΡΑΠΩΛΗΣΙΑ (ως αγροτεμάχιο) άτυπος</v>
      </c>
      <c r="C4" s="256" t="str">
        <f>'4-πολλυπρ'!D4</f>
        <v>;;;???</v>
      </c>
      <c r="D4" s="256">
        <f>'4-πολλυπρ'!I4</f>
        <v>0</v>
      </c>
      <c r="E4" s="311">
        <v>6.46</v>
      </c>
      <c r="F4" s="340" t="s">
        <v>528</v>
      </c>
      <c r="G4" s="340" t="s">
        <v>529</v>
      </c>
      <c r="H4" s="311"/>
      <c r="I4" s="311"/>
      <c r="J4" s="311"/>
      <c r="K4" s="311">
        <v>1.98</v>
      </c>
      <c r="L4" s="311"/>
      <c r="M4" s="311"/>
      <c r="N4" s="311"/>
      <c r="O4" s="319">
        <f t="shared" si="0"/>
        <v>16.149999999999999</v>
      </c>
      <c r="P4" s="319">
        <f t="shared" si="0"/>
        <v>16.149999999999999</v>
      </c>
      <c r="Q4" s="319">
        <f t="shared" si="0"/>
        <v>16.149999999999999</v>
      </c>
      <c r="R4" s="311"/>
      <c r="S4" s="311">
        <f>4*1.47</f>
        <v>5.88</v>
      </c>
      <c r="T4" s="311">
        <f>34*3.23</f>
        <v>109.82</v>
      </c>
      <c r="U4" s="311"/>
      <c r="V4" s="311">
        <f t="shared" ref="V4:V15" si="1">SUM(I4:U4)-K4</f>
        <v>164.15</v>
      </c>
      <c r="W4" s="325"/>
      <c r="X4" s="325"/>
      <c r="Y4" s="410"/>
      <c r="Z4" s="259"/>
    </row>
    <row r="5" spans="1:26" s="5" customFormat="1">
      <c r="A5" s="590">
        <f>'1-συμβολαια'!A5</f>
        <v>0</v>
      </c>
      <c r="B5" s="425" t="str">
        <f>'1-συμβολαια'!C5</f>
        <v>χρησικτησία αγροτεμάχιο 193 = 1975 ΑΝΑΔΑΣΜΟΣ εκούσιος</v>
      </c>
      <c r="C5" s="256">
        <f>'4-πολλυπρ'!D5</f>
        <v>0</v>
      </c>
      <c r="D5" s="256">
        <f>'4-πολλυπρ'!I5</f>
        <v>0</v>
      </c>
      <c r="E5" s="311">
        <v>6.46</v>
      </c>
      <c r="F5" s="340" t="s">
        <v>528</v>
      </c>
      <c r="G5" s="340" t="s">
        <v>529</v>
      </c>
      <c r="H5" s="311"/>
      <c r="I5" s="311"/>
      <c r="J5" s="311"/>
      <c r="K5" s="311">
        <v>1.98</v>
      </c>
      <c r="L5" s="311"/>
      <c r="M5" s="311"/>
      <c r="N5" s="311">
        <f>5*3.23</f>
        <v>16.149999999999999</v>
      </c>
      <c r="O5" s="311"/>
      <c r="P5" s="311"/>
      <c r="Q5" s="311"/>
      <c r="R5" s="311"/>
      <c r="S5" s="311">
        <f>2*1.47</f>
        <v>2.94</v>
      </c>
      <c r="T5" s="311">
        <f t="shared" ref="T5:T10" si="2">14*3.23</f>
        <v>45.22</v>
      </c>
      <c r="U5" s="311"/>
      <c r="V5" s="311">
        <f t="shared" si="1"/>
        <v>64.309999999999988</v>
      </c>
      <c r="W5" s="325"/>
      <c r="X5" s="325"/>
      <c r="Y5" s="410"/>
      <c r="Z5" s="259"/>
    </row>
    <row r="6" spans="1:26" s="5" customFormat="1" ht="12" thickBot="1">
      <c r="A6" s="591">
        <f>'1-συμβολαια'!A6</f>
        <v>0</v>
      </c>
      <c r="B6" s="523" t="str">
        <f>'1-συμβολαια'!C6</f>
        <v>χρησικτησία αγροτεμάχιο 279 = 1975 ΑΝΑΔΑΣΜΟΣ εκούσιος</v>
      </c>
      <c r="C6" s="524">
        <f>'4-πολλυπρ'!D6</f>
        <v>0</v>
      </c>
      <c r="D6" s="524">
        <f>'4-πολλυπρ'!I6</f>
        <v>0</v>
      </c>
      <c r="E6" s="469">
        <v>6.46</v>
      </c>
      <c r="F6" s="507" t="s">
        <v>528</v>
      </c>
      <c r="G6" s="507" t="s">
        <v>529</v>
      </c>
      <c r="H6" s="469"/>
      <c r="I6" s="469"/>
      <c r="J6" s="469"/>
      <c r="K6" s="469">
        <v>1.98</v>
      </c>
      <c r="L6" s="469"/>
      <c r="M6" s="469"/>
      <c r="N6" s="469">
        <f>5*3.23</f>
        <v>16.149999999999999</v>
      </c>
      <c r="O6" s="469"/>
      <c r="P6" s="469"/>
      <c r="Q6" s="469"/>
      <c r="R6" s="469"/>
      <c r="S6" s="469">
        <f>2*1.47</f>
        <v>2.94</v>
      </c>
      <c r="T6" s="469">
        <f t="shared" si="2"/>
        <v>45.22</v>
      </c>
      <c r="U6" s="469"/>
      <c r="V6" s="469">
        <f t="shared" si="1"/>
        <v>64.309999999999988</v>
      </c>
      <c r="W6" s="518"/>
      <c r="X6" s="518"/>
      <c r="Y6" s="666"/>
      <c r="Z6" s="519"/>
    </row>
    <row r="7" spans="1:26" s="5" customFormat="1">
      <c r="A7" s="593" t="str">
        <f>'1-συμβολαια'!A7</f>
        <v>2ο</v>
      </c>
      <c r="B7" s="318" t="str">
        <f>'1-συμβολαια'!C7</f>
        <v>κληρονομιάς ΑΠΟΔΟΧΗ</v>
      </c>
      <c r="C7" s="320" t="str">
        <f>'4-πολλυπρ'!D7</f>
        <v>θείος</v>
      </c>
      <c r="D7" s="320">
        <f>'4-πολλυπρ'!I7</f>
        <v>0</v>
      </c>
      <c r="E7" s="319">
        <v>6.46</v>
      </c>
      <c r="F7" s="340" t="s">
        <v>528</v>
      </c>
      <c r="G7" s="340" t="s">
        <v>529</v>
      </c>
      <c r="H7" s="319"/>
      <c r="I7" s="319"/>
      <c r="J7" s="319"/>
      <c r="K7" s="319">
        <v>1.98</v>
      </c>
      <c r="L7" s="319"/>
      <c r="M7" s="319"/>
      <c r="N7" s="319">
        <f>2*5*3.23</f>
        <v>32.299999999999997</v>
      </c>
      <c r="O7" s="319">
        <f t="shared" ref="O7:O8" si="3">5*3.23</f>
        <v>16.149999999999999</v>
      </c>
      <c r="P7" s="319">
        <f>5*3.23</f>
        <v>16.149999999999999</v>
      </c>
      <c r="Q7" s="319">
        <f t="shared" ref="Q7:Q8" si="4">5*3.23</f>
        <v>16.149999999999999</v>
      </c>
      <c r="R7" s="319"/>
      <c r="S7" s="319">
        <f>6*1.47</f>
        <v>8.82</v>
      </c>
      <c r="T7" s="319">
        <f>54*3.23</f>
        <v>174.42</v>
      </c>
      <c r="U7" s="319"/>
      <c r="V7" s="319">
        <f t="shared" si="1"/>
        <v>263.98999999999995</v>
      </c>
      <c r="W7" s="516"/>
      <c r="X7" s="516"/>
      <c r="Y7" s="665"/>
      <c r="Z7" s="517"/>
    </row>
    <row r="8" spans="1:26" s="5" customFormat="1">
      <c r="A8" s="594">
        <f>'1-συμβολαια'!A8</f>
        <v>0</v>
      </c>
      <c r="B8" s="425" t="str">
        <f>'1-συμβολαια'!C8</f>
        <v>χρησικτησία οικοπεδου &amp; οικίας &amp; αποθήκης = 27/7/87 πατρός ΚΛΗΡΟΝΟΜΙΑ άτυπος</v>
      </c>
      <c r="C8" s="256" t="str">
        <f>'4-πολλυπρ'!D8</f>
        <v>παππούς</v>
      </c>
      <c r="D8" s="256">
        <f>'4-πολλυπρ'!I8</f>
        <v>0</v>
      </c>
      <c r="E8" s="311">
        <v>6.46</v>
      </c>
      <c r="F8" s="340" t="s">
        <v>528</v>
      </c>
      <c r="G8" s="340" t="s">
        <v>529</v>
      </c>
      <c r="H8" s="311"/>
      <c r="I8" s="311"/>
      <c r="J8" s="311"/>
      <c r="K8" s="311">
        <v>1.98</v>
      </c>
      <c r="L8" s="311"/>
      <c r="M8" s="311"/>
      <c r="N8" s="311"/>
      <c r="O8" s="319">
        <f t="shared" si="3"/>
        <v>16.149999999999999</v>
      </c>
      <c r="P8" s="319">
        <f>5*3.23</f>
        <v>16.149999999999999</v>
      </c>
      <c r="Q8" s="319">
        <f t="shared" si="4"/>
        <v>16.149999999999999</v>
      </c>
      <c r="R8" s="311"/>
      <c r="S8" s="311">
        <f>4*1.47</f>
        <v>5.88</v>
      </c>
      <c r="T8" s="311">
        <f>34*3.23</f>
        <v>109.82</v>
      </c>
      <c r="U8" s="311"/>
      <c r="V8" s="311">
        <f t="shared" si="1"/>
        <v>164.15</v>
      </c>
      <c r="W8" s="325"/>
      <c r="X8" s="325"/>
      <c r="Y8" s="410"/>
      <c r="Z8" s="259"/>
    </row>
    <row r="9" spans="1:26" s="5" customFormat="1">
      <c r="A9" s="594">
        <f>'1-συμβολαια'!A9</f>
        <v>0</v>
      </c>
      <c r="B9" s="425" t="str">
        <f>'1-συμβολαια'!C9</f>
        <v>χρησικτησία αγροτεμάχιο 193 = 27/7/87 πατρός ΚΛΗΡΟΝΟΜΙΑ άτυπος</v>
      </c>
      <c r="C9" s="256" t="str">
        <f>'4-πολλυπρ'!D9</f>
        <v>παππούς</v>
      </c>
      <c r="D9" s="256">
        <f>'4-πολλυπρ'!I9</f>
        <v>0</v>
      </c>
      <c r="E9" s="311">
        <v>6.46</v>
      </c>
      <c r="F9" s="340" t="s">
        <v>528</v>
      </c>
      <c r="G9" s="340" t="s">
        <v>529</v>
      </c>
      <c r="H9" s="311"/>
      <c r="I9" s="311"/>
      <c r="J9" s="311"/>
      <c r="K9" s="311">
        <v>1.98</v>
      </c>
      <c r="L9" s="311"/>
      <c r="M9" s="311"/>
      <c r="N9" s="311">
        <f t="shared" ref="N9:N10" si="5">5*3.23</f>
        <v>16.149999999999999</v>
      </c>
      <c r="O9" s="311"/>
      <c r="P9" s="311"/>
      <c r="Q9" s="311"/>
      <c r="R9" s="311"/>
      <c r="S9" s="311">
        <f t="shared" ref="S9:S10" si="6">2*1.47</f>
        <v>2.94</v>
      </c>
      <c r="T9" s="311">
        <f t="shared" si="2"/>
        <v>45.22</v>
      </c>
      <c r="U9" s="311"/>
      <c r="V9" s="311">
        <f t="shared" si="1"/>
        <v>64.309999999999988</v>
      </c>
      <c r="W9" s="325"/>
      <c r="X9" s="325"/>
      <c r="Y9" s="410"/>
      <c r="Z9" s="259"/>
    </row>
    <row r="10" spans="1:26" s="5" customFormat="1" ht="12" thickBot="1">
      <c r="A10" s="595">
        <f>'1-συμβολαια'!A10</f>
        <v>0</v>
      </c>
      <c r="B10" s="523" t="str">
        <f>'1-συμβολαια'!C10</f>
        <v>χρησικτησία αγροτεμάχιο 279 = 27/7/87 πατρός ΚΛΗΡΟΝΟΜΙΑ άτυπος</v>
      </c>
      <c r="C10" s="524" t="str">
        <f>'4-πολλυπρ'!D10</f>
        <v>παππούς</v>
      </c>
      <c r="D10" s="524">
        <f>'4-πολλυπρ'!I10</f>
        <v>0</v>
      </c>
      <c r="E10" s="469">
        <v>6.46</v>
      </c>
      <c r="F10" s="507" t="s">
        <v>528</v>
      </c>
      <c r="G10" s="507" t="s">
        <v>529</v>
      </c>
      <c r="H10" s="469"/>
      <c r="I10" s="469"/>
      <c r="J10" s="469"/>
      <c r="K10" s="469">
        <v>1.98</v>
      </c>
      <c r="L10" s="469"/>
      <c r="M10" s="469"/>
      <c r="N10" s="469">
        <f t="shared" si="5"/>
        <v>16.149999999999999</v>
      </c>
      <c r="O10" s="469"/>
      <c r="P10" s="469"/>
      <c r="Q10" s="469"/>
      <c r="R10" s="469"/>
      <c r="S10" s="469">
        <f t="shared" si="6"/>
        <v>2.94</v>
      </c>
      <c r="T10" s="469">
        <f t="shared" si="2"/>
        <v>45.22</v>
      </c>
      <c r="U10" s="469"/>
      <c r="V10" s="469">
        <f t="shared" si="1"/>
        <v>64.309999999999988</v>
      </c>
      <c r="W10" s="518"/>
      <c r="X10" s="518"/>
      <c r="Y10" s="666"/>
      <c r="Z10" s="519"/>
    </row>
    <row r="11" spans="1:26" s="5" customFormat="1" ht="12" thickBot="1">
      <c r="A11" s="600" t="str">
        <f>'1-συμβολαια'!A11</f>
        <v>3ο</v>
      </c>
      <c r="B11" s="601" t="str">
        <f>'1-συμβολαια'!C11</f>
        <v>κάθετος ΣΥΣΤΑΣΗ</v>
      </c>
      <c r="C11" s="602" t="str">
        <f>'4-πολλυπρ'!D11</f>
        <v>πατήρ</v>
      </c>
      <c r="D11" s="602">
        <f>'4-πολλυπρ'!I11</f>
        <v>0</v>
      </c>
      <c r="E11" s="483">
        <v>6.46</v>
      </c>
      <c r="F11" s="574" t="s">
        <v>528</v>
      </c>
      <c r="G11" s="574" t="s">
        <v>529</v>
      </c>
      <c r="H11" s="483"/>
      <c r="I11" s="483"/>
      <c r="J11" s="483"/>
      <c r="K11" s="483">
        <v>1.98</v>
      </c>
      <c r="L11" s="483"/>
      <c r="M11" s="483"/>
      <c r="N11" s="483"/>
      <c r="O11" s="483">
        <f>5*3.23</f>
        <v>16.149999999999999</v>
      </c>
      <c r="P11" s="483">
        <f>2*5*3.23</f>
        <v>32.299999999999997</v>
      </c>
      <c r="Q11" s="483">
        <f>5*3.23</f>
        <v>16.149999999999999</v>
      </c>
      <c r="R11" s="483"/>
      <c r="S11" s="483">
        <f>5*1.47</f>
        <v>7.35</v>
      </c>
      <c r="T11" s="529">
        <f>54*3.23</f>
        <v>174.42</v>
      </c>
      <c r="U11" s="529"/>
      <c r="V11" s="529">
        <f t="shared" si="1"/>
        <v>246.36999999999998</v>
      </c>
      <c r="W11" s="576"/>
      <c r="X11" s="576"/>
      <c r="Y11" s="667"/>
      <c r="Z11" s="638"/>
    </row>
    <row r="12" spans="1:26" s="5" customFormat="1" ht="12" thickBot="1">
      <c r="A12" s="596" t="str">
        <f>'1-συμβολαια'!A12</f>
        <v>4ο</v>
      </c>
      <c r="B12" s="597" t="str">
        <f>'1-συμβολαια'!C12</f>
        <v>γονική ΨΙΛΗΣ ΚΥΡΙΟΤΗΤΑΣ</v>
      </c>
      <c r="C12" s="598" t="str">
        <f>'4-πολλυπρ'!D12</f>
        <v>πατήρ</v>
      </c>
      <c r="D12" s="598">
        <f>'4-πολλυπρ'!I12</f>
        <v>0</v>
      </c>
      <c r="E12" s="529">
        <v>6.46</v>
      </c>
      <c r="F12" s="572" t="s">
        <v>528</v>
      </c>
      <c r="G12" s="572" t="s">
        <v>529</v>
      </c>
      <c r="H12" s="529"/>
      <c r="I12" s="529"/>
      <c r="J12" s="529"/>
      <c r="K12" s="529">
        <v>1.98</v>
      </c>
      <c r="L12" s="529"/>
      <c r="M12" s="529"/>
      <c r="N12" s="529"/>
      <c r="O12" s="529">
        <f>5*3.23</f>
        <v>16.149999999999999</v>
      </c>
      <c r="P12" s="529">
        <f>5*3.23</f>
        <v>16.149999999999999</v>
      </c>
      <c r="Q12" s="529"/>
      <c r="R12" s="529"/>
      <c r="S12" s="529">
        <f>4*1.47</f>
        <v>5.88</v>
      </c>
      <c r="T12" s="529">
        <f>24*3.23</f>
        <v>77.52</v>
      </c>
      <c r="U12" s="529"/>
      <c r="V12" s="529">
        <f t="shared" si="1"/>
        <v>115.7</v>
      </c>
      <c r="W12" s="576"/>
      <c r="X12" s="516"/>
      <c r="Y12" s="665"/>
      <c r="Z12" s="517"/>
    </row>
    <row r="13" spans="1:26" s="5" customFormat="1" ht="12" thickBot="1">
      <c r="A13" s="596" t="str">
        <f>'1-συμβολαια'!A13</f>
        <v>5ο</v>
      </c>
      <c r="B13" s="597" t="str">
        <f>'1-συμβολαια'!C13</f>
        <v>πληρεξούσιο</v>
      </c>
      <c r="C13" s="598" t="str">
        <f>'4-πολλυπρ'!D13</f>
        <v>πατήρ</v>
      </c>
      <c r="D13" s="598">
        <f>'4-πολλυπρ'!I13</f>
        <v>0</v>
      </c>
      <c r="E13" s="529"/>
      <c r="F13" s="572"/>
      <c r="G13" s="572"/>
      <c r="H13" s="529"/>
      <c r="I13" s="529"/>
      <c r="J13" s="529"/>
      <c r="K13" s="529"/>
      <c r="L13" s="529"/>
      <c r="M13" s="529"/>
      <c r="N13" s="529"/>
      <c r="O13" s="529"/>
      <c r="P13" s="529"/>
      <c r="Q13" s="529"/>
      <c r="R13" s="529"/>
      <c r="S13" s="529"/>
      <c r="T13" s="529"/>
      <c r="U13" s="529"/>
      <c r="V13" s="529">
        <f t="shared" si="1"/>
        <v>0</v>
      </c>
      <c r="W13" s="576"/>
      <c r="X13" s="518"/>
      <c r="Y13" s="666"/>
      <c r="Z13" s="519"/>
    </row>
    <row r="14" spans="1:26" s="5" customFormat="1">
      <c r="A14" s="677" t="str">
        <f>'1-συμβολαια'!A14</f>
        <v>6ο</v>
      </c>
      <c r="B14" s="318" t="str">
        <f>'1-συμβολαια'!C14</f>
        <v>μίσθωση αγροτεμαχίων 15 έτη { έως 19/1/2019 }</v>
      </c>
      <c r="C14" s="320" t="str">
        <f>'4-πολλυπρ'!D14</f>
        <v>πατήρ</v>
      </c>
      <c r="D14" s="320"/>
      <c r="E14" s="685"/>
      <c r="F14" s="340" t="s">
        <v>528</v>
      </c>
      <c r="G14" s="340" t="s">
        <v>529</v>
      </c>
      <c r="H14" s="685"/>
      <c r="I14" s="685"/>
      <c r="J14" s="685"/>
      <c r="K14" s="685"/>
      <c r="L14" s="685"/>
      <c r="M14" s="685"/>
      <c r="N14" s="685"/>
      <c r="O14" s="685"/>
      <c r="P14" s="685"/>
      <c r="Q14" s="685"/>
      <c r="R14" s="685"/>
      <c r="S14" s="685"/>
      <c r="T14" s="685"/>
      <c r="U14" s="685"/>
      <c r="V14" s="319">
        <f t="shared" si="1"/>
        <v>0</v>
      </c>
      <c r="W14" s="516"/>
      <c r="X14" s="516"/>
      <c r="Y14" s="665"/>
      <c r="Z14" s="517"/>
    </row>
    <row r="15" spans="1:26" s="5" customFormat="1">
      <c r="A15" s="590">
        <f>'1-συμβολαια'!A15</f>
        <v>0</v>
      </c>
      <c r="B15" s="425" t="str">
        <f>'1-συμβολαια'!C15</f>
        <v>ΧΡΗΣΙΚΤΗΣΙΑ αγροτεμαχίων 2'-3' = 19?? ΑΝΑΔΑΣΜΟΣ</v>
      </c>
      <c r="C15" s="256">
        <f>'4-πολλυπρ'!D15</f>
        <v>0</v>
      </c>
      <c r="D15" s="256">
        <f>'4-πολλυπρ'!I15</f>
        <v>0</v>
      </c>
      <c r="E15" s="686"/>
      <c r="F15" s="337" t="s">
        <v>528</v>
      </c>
      <c r="G15" s="337" t="s">
        <v>529</v>
      </c>
      <c r="H15" s="686"/>
      <c r="I15" s="686"/>
      <c r="J15" s="686"/>
      <c r="K15" s="686"/>
      <c r="L15" s="686"/>
      <c r="M15" s="686"/>
      <c r="N15" s="686"/>
      <c r="O15" s="686"/>
      <c r="P15" s="686"/>
      <c r="Q15" s="686"/>
      <c r="R15" s="686"/>
      <c r="S15" s="686"/>
      <c r="T15" s="686"/>
      <c r="U15" s="686"/>
      <c r="V15" s="311">
        <f t="shared" si="1"/>
        <v>0</v>
      </c>
      <c r="W15" s="325"/>
      <c r="X15" s="325"/>
      <c r="Y15" s="410"/>
      <c r="Z15" s="259"/>
    </row>
    <row r="16" spans="1:26" s="5" customFormat="1">
      <c r="A16" s="590">
        <f>'1-συμβολαια'!A16</f>
        <v>0</v>
      </c>
      <c r="B16" s="425" t="str">
        <f>'1-συμβολαια'!C16</f>
        <v>ΧΡΗΣΙΚΤΗΣΙΑ αγροτεμαχίων υπόλοιπων 12 = πατρός 19?? ΔΩΡΕΕΣ &amp; ΚΛΗΡΟΝΟΜΙΕΣ άτυπες</v>
      </c>
      <c r="C16" s="256">
        <f>'4-πολλυπρ'!D16</f>
        <v>0</v>
      </c>
      <c r="D16" s="256">
        <f>'4-πολλυπρ'!I16</f>
        <v>0</v>
      </c>
      <c r="E16" s="686"/>
      <c r="F16" s="337" t="s">
        <v>528</v>
      </c>
      <c r="G16" s="337" t="s">
        <v>529</v>
      </c>
      <c r="H16" s="686"/>
      <c r="I16" s="686"/>
      <c r="J16" s="686"/>
      <c r="K16" s="686"/>
      <c r="L16" s="686"/>
      <c r="M16" s="686"/>
      <c r="N16" s="686"/>
      <c r="O16" s="686"/>
      <c r="P16" s="686"/>
      <c r="Q16" s="686"/>
      <c r="R16" s="686"/>
      <c r="S16" s="686"/>
      <c r="T16" s="686"/>
      <c r="U16" s="686"/>
      <c r="V16" s="311">
        <f t="shared" ref="V16:V21" si="7">SUM(I16:U16)-K16</f>
        <v>0</v>
      </c>
      <c r="W16" s="325"/>
      <c r="X16" s="325"/>
      <c r="Y16" s="410"/>
      <c r="Z16" s="259"/>
    </row>
    <row r="17" spans="1:26" s="5" customFormat="1" ht="12" thickBot="1">
      <c r="A17" s="591">
        <f>'1-συμβολαια'!A17</f>
        <v>0</v>
      </c>
      <c r="B17" s="523" t="str">
        <f>'1-συμβολαια'!C17</f>
        <v>μίσθωση = ΠΑΓΙΑ ως νέος αγρότης</v>
      </c>
      <c r="C17" s="524">
        <f>'4-πολλυπρ'!D17</f>
        <v>0</v>
      </c>
      <c r="D17" s="524">
        <f>'4-πολλυπρ'!I17</f>
        <v>0</v>
      </c>
      <c r="E17" s="687"/>
      <c r="F17" s="507" t="s">
        <v>528</v>
      </c>
      <c r="G17" s="507" t="s">
        <v>529</v>
      </c>
      <c r="H17" s="687"/>
      <c r="I17" s="687"/>
      <c r="J17" s="687"/>
      <c r="K17" s="687"/>
      <c r="L17" s="687"/>
      <c r="M17" s="687"/>
      <c r="N17" s="687"/>
      <c r="O17" s="687"/>
      <c r="P17" s="687"/>
      <c r="Q17" s="687"/>
      <c r="R17" s="687"/>
      <c r="S17" s="687"/>
      <c r="T17" s="687"/>
      <c r="U17" s="687"/>
      <c r="V17" s="469">
        <f t="shared" si="7"/>
        <v>0</v>
      </c>
      <c r="W17" s="518"/>
      <c r="X17" s="518"/>
      <c r="Y17" s="666"/>
      <c r="Z17" s="519"/>
    </row>
    <row r="18" spans="1:26" s="5" customFormat="1">
      <c r="A18" s="520" t="str">
        <f>'1-συμβολαια'!A18</f>
        <v>7ο</v>
      </c>
      <c r="B18" s="318" t="str">
        <f>'1-συμβολαια'!C18</f>
        <v>*καθετου συστάσεως 2.539 ΔΙΟΡΘΩΣΗ</v>
      </c>
      <c r="C18" s="320" t="str">
        <f>'4-πολλυπρ'!D18</f>
        <v>πατήρ</v>
      </c>
      <c r="D18" s="320">
        <f>'4-πολλυπρ'!I18</f>
        <v>0</v>
      </c>
      <c r="E18" s="319"/>
      <c r="F18" s="340" t="s">
        <v>528</v>
      </c>
      <c r="G18" s="340" t="s">
        <v>529</v>
      </c>
      <c r="H18" s="319"/>
      <c r="I18" s="319"/>
      <c r="J18" s="319"/>
      <c r="K18" s="319"/>
      <c r="L18" s="319"/>
      <c r="M18" s="319"/>
      <c r="N18" s="319"/>
      <c r="O18" s="319"/>
      <c r="P18" s="319"/>
      <c r="Q18" s="319"/>
      <c r="R18" s="319"/>
      <c r="S18" s="319"/>
      <c r="T18" s="319"/>
      <c r="U18" s="319"/>
      <c r="V18" s="319">
        <f t="shared" si="7"/>
        <v>0</v>
      </c>
      <c r="W18" s="516"/>
      <c r="X18" s="516"/>
      <c r="Y18" s="665"/>
      <c r="Z18" s="517"/>
    </row>
    <row r="19" spans="1:26" s="5" customFormat="1">
      <c r="A19" s="426" t="str">
        <f>'1-συμβολαια'!A19</f>
        <v>8ο</v>
      </c>
      <c r="B19" s="425" t="str">
        <f>'1-συμβολαια'!C19</f>
        <v>*γονικής 2.540 ΔΙΟΡΘΩΣΗ</v>
      </c>
      <c r="C19" s="256" t="str">
        <f>'4-πολλυπρ'!D19</f>
        <v>πατήρ</v>
      </c>
      <c r="D19" s="256">
        <f>'4-πολλυπρ'!I19</f>
        <v>0</v>
      </c>
      <c r="E19" s="311"/>
      <c r="F19" s="337" t="s">
        <v>528</v>
      </c>
      <c r="G19" s="337" t="s">
        <v>529</v>
      </c>
      <c r="H19" s="311"/>
      <c r="I19" s="311"/>
      <c r="J19" s="311"/>
      <c r="K19" s="311"/>
      <c r="L19" s="311"/>
      <c r="M19" s="311"/>
      <c r="N19" s="311"/>
      <c r="O19" s="311"/>
      <c r="P19" s="311"/>
      <c r="Q19" s="311"/>
      <c r="R19" s="311"/>
      <c r="S19" s="311"/>
      <c r="T19" s="311"/>
      <c r="U19" s="311"/>
      <c r="V19" s="311">
        <f t="shared" si="7"/>
        <v>0</v>
      </c>
      <c r="W19" s="325"/>
      <c r="X19" s="325"/>
      <c r="Y19" s="410"/>
      <c r="Z19" s="259"/>
    </row>
    <row r="20" spans="1:26" s="5" customFormat="1">
      <c r="A20" s="590" t="str">
        <f>'1-συμβολαια'!A20</f>
        <v>9ο</v>
      </c>
      <c r="B20" s="425" t="str">
        <f>'1-συμβολαια'!C20</f>
        <v>γονική</v>
      </c>
      <c r="C20" s="256" t="str">
        <f>'4-πολλυπρ'!D20</f>
        <v>πατήρ</v>
      </c>
      <c r="D20" s="256">
        <f>'4-πολλυπρ'!I20</f>
        <v>2</v>
      </c>
      <c r="E20" s="311">
        <v>6.46</v>
      </c>
      <c r="F20" s="337" t="s">
        <v>528</v>
      </c>
      <c r="G20" s="337" t="s">
        <v>529</v>
      </c>
      <c r="H20" s="311"/>
      <c r="I20" s="311">
        <v>5.87</v>
      </c>
      <c r="J20" s="311">
        <v>5.87</v>
      </c>
      <c r="K20" s="311">
        <v>1.98</v>
      </c>
      <c r="L20" s="311"/>
      <c r="M20" s="311"/>
      <c r="N20" s="311"/>
      <c r="O20" s="311">
        <f t="shared" ref="O20:O21" si="8">2*16.15</f>
        <v>32.299999999999997</v>
      </c>
      <c r="P20" s="311">
        <f>2*16.15</f>
        <v>32.299999999999997</v>
      </c>
      <c r="Q20" s="311"/>
      <c r="R20" s="311"/>
      <c r="S20" s="311">
        <f>5*1.47</f>
        <v>7.35</v>
      </c>
      <c r="T20" s="311">
        <f>24*3.23</f>
        <v>77.52</v>
      </c>
      <c r="U20" s="311"/>
      <c r="V20" s="311">
        <f t="shared" si="7"/>
        <v>161.21</v>
      </c>
      <c r="W20" s="325"/>
      <c r="X20" s="325"/>
      <c r="Y20" s="410"/>
      <c r="Z20" s="259"/>
    </row>
    <row r="21" spans="1:26" s="5" customFormat="1">
      <c r="A21" s="590">
        <f>'1-συμβολαια'!A21</f>
        <v>0</v>
      </c>
      <c r="B21" s="425" t="str">
        <f>'1-συμβολαια'!C21</f>
        <v>ΧΡΗΣΙΚΤΗΣΙΑ οικοπέδου ΄΄κάστρο'' 52,50μ2 = 1970 κυδωνηςΙωαννης ΔΩΡΕΑ άτυπη</v>
      </c>
      <c r="C21" s="256" t="str">
        <f>'4-πολλυπρ'!D21</f>
        <v>παππούς</v>
      </c>
      <c r="D21" s="256">
        <f>'4-πολλυπρ'!I21</f>
        <v>0</v>
      </c>
      <c r="E21" s="311">
        <v>6.46</v>
      </c>
      <c r="F21" s="337" t="s">
        <v>528</v>
      </c>
      <c r="G21" s="337" t="s">
        <v>529</v>
      </c>
      <c r="H21" s="311"/>
      <c r="I21" s="311"/>
      <c r="J21" s="311"/>
      <c r="K21" s="311">
        <v>1.98</v>
      </c>
      <c r="L21" s="311"/>
      <c r="M21" s="311"/>
      <c r="N21" s="311"/>
      <c r="O21" s="311">
        <f t="shared" si="8"/>
        <v>32.299999999999997</v>
      </c>
      <c r="P21" s="311">
        <f>2*16.15</f>
        <v>32.299999999999997</v>
      </c>
      <c r="Q21" s="311"/>
      <c r="R21" s="311"/>
      <c r="S21" s="311">
        <f>5*1.47</f>
        <v>7.35</v>
      </c>
      <c r="T21" s="311">
        <f>24*3.23</f>
        <v>77.52</v>
      </c>
      <c r="U21" s="311"/>
      <c r="V21" s="311">
        <f t="shared" si="7"/>
        <v>149.47</v>
      </c>
      <c r="W21" s="325"/>
      <c r="X21" s="325"/>
      <c r="Y21" s="410"/>
      <c r="Z21" s="259"/>
    </row>
    <row r="22" spans="1:26">
      <c r="A22" s="798" t="s">
        <v>35</v>
      </c>
      <c r="B22" s="799"/>
      <c r="C22" s="799"/>
      <c r="D22" s="800"/>
      <c r="E22" s="408">
        <f>SUM(E3:E21)</f>
        <v>77.519999999999982</v>
      </c>
      <c r="F22" s="408"/>
      <c r="G22" s="408"/>
      <c r="H22" s="408"/>
      <c r="I22" s="408">
        <f t="shared" ref="I22:W22" si="9">SUM(I3:I21)</f>
        <v>11.74</v>
      </c>
      <c r="J22" s="408">
        <f t="shared" si="9"/>
        <v>11.74</v>
      </c>
      <c r="K22" s="408">
        <f t="shared" si="9"/>
        <v>23.76</v>
      </c>
      <c r="L22" s="408">
        <f t="shared" si="9"/>
        <v>0</v>
      </c>
      <c r="M22" s="408">
        <f t="shared" si="9"/>
        <v>0</v>
      </c>
      <c r="N22" s="408">
        <f t="shared" si="9"/>
        <v>129.19999999999999</v>
      </c>
      <c r="O22" s="408">
        <f t="shared" si="9"/>
        <v>161.5</v>
      </c>
      <c r="P22" s="408">
        <f t="shared" si="9"/>
        <v>177.64999999999998</v>
      </c>
      <c r="Q22" s="408">
        <f t="shared" si="9"/>
        <v>80.75</v>
      </c>
      <c r="R22" s="408">
        <f t="shared" si="9"/>
        <v>0</v>
      </c>
      <c r="S22" s="408">
        <f t="shared" si="9"/>
        <v>69.09</v>
      </c>
      <c r="T22" s="408">
        <f t="shared" si="9"/>
        <v>1156.3400000000001</v>
      </c>
      <c r="U22" s="408">
        <f t="shared" si="9"/>
        <v>0</v>
      </c>
      <c r="V22" s="408">
        <f t="shared" si="9"/>
        <v>1798.01</v>
      </c>
      <c r="W22" s="80">
        <f t="shared" si="9"/>
        <v>0</v>
      </c>
      <c r="X22" s="127"/>
      <c r="Y22" s="3"/>
      <c r="Z22" s="3"/>
    </row>
    <row r="24" spans="1:26" ht="15.75" customHeight="1">
      <c r="I24" s="124" t="s">
        <v>483</v>
      </c>
      <c r="L24" s="121" t="s">
        <v>485</v>
      </c>
      <c r="X24" s="138"/>
      <c r="Y24" s="84"/>
      <c r="Z24" s="138"/>
    </row>
    <row r="25" spans="1:26">
      <c r="F25" s="143" t="s">
        <v>165</v>
      </c>
      <c r="G25" s="110"/>
      <c r="H25" s="79"/>
      <c r="L25" s="158" t="s">
        <v>204</v>
      </c>
      <c r="X25" s="2"/>
    </row>
    <row r="26" spans="1:26">
      <c r="F26" s="79"/>
      <c r="G26" s="110" t="s">
        <v>166</v>
      </c>
      <c r="M26" s="157" t="s">
        <v>205</v>
      </c>
      <c r="W26" s="2"/>
      <c r="X26" s="2"/>
    </row>
    <row r="27" spans="1:26" ht="12.75">
      <c r="N27" s="411" t="s">
        <v>206</v>
      </c>
      <c r="O27" s="412"/>
      <c r="P27" s="412"/>
      <c r="Q27" s="412"/>
      <c r="R27" s="412"/>
      <c r="S27" s="412"/>
      <c r="T27" s="412"/>
      <c r="W27" s="2"/>
      <c r="X27" s="2"/>
    </row>
    <row r="28" spans="1:26" ht="12.75">
      <c r="A28" s="357" t="s">
        <v>617</v>
      </c>
      <c r="B28" s="8" t="s">
        <v>618</v>
      </c>
      <c r="C28" s="357" t="s">
        <v>617</v>
      </c>
      <c r="D28" s="2" t="s">
        <v>554</v>
      </c>
      <c r="N28" s="412"/>
      <c r="O28" s="413" t="s">
        <v>534</v>
      </c>
      <c r="P28" s="412"/>
      <c r="Q28" s="412"/>
      <c r="R28" s="412"/>
      <c r="S28" s="412"/>
      <c r="T28" s="412"/>
      <c r="W28" s="2"/>
      <c r="X28" s="2"/>
    </row>
    <row r="29" spans="1:26" ht="12.75">
      <c r="A29" s="357"/>
      <c r="B29" s="88" t="s">
        <v>550</v>
      </c>
      <c r="C29" s="357"/>
      <c r="E29" s="7"/>
      <c r="N29" s="412"/>
      <c r="O29" s="412"/>
      <c r="P29" s="413" t="s">
        <v>535</v>
      </c>
      <c r="Q29" s="412"/>
      <c r="R29" s="412"/>
      <c r="S29" s="412"/>
      <c r="T29" s="412"/>
    </row>
    <row r="30" spans="1:26" ht="12.75">
      <c r="A30" s="357"/>
      <c r="B30" s="435" t="s">
        <v>551</v>
      </c>
      <c r="C30" s="357"/>
      <c r="E30" s="7"/>
      <c r="N30" s="412"/>
      <c r="O30" s="412"/>
      <c r="P30" s="412"/>
      <c r="Q30" s="413" t="s">
        <v>536</v>
      </c>
      <c r="R30" s="412"/>
      <c r="S30" s="412"/>
      <c r="T30" s="412"/>
    </row>
    <row r="31" spans="1:26" ht="12.75">
      <c r="A31" s="357"/>
      <c r="B31" s="435" t="s">
        <v>552</v>
      </c>
      <c r="C31" s="357"/>
      <c r="E31" s="7"/>
      <c r="N31" s="412"/>
      <c r="O31" s="412"/>
      <c r="P31" s="412"/>
      <c r="Q31" s="412"/>
      <c r="R31" s="412"/>
      <c r="S31" s="412" t="s">
        <v>537</v>
      </c>
      <c r="T31" s="412"/>
    </row>
    <row r="32" spans="1:26" ht="12.75">
      <c r="A32" s="357"/>
      <c r="B32" s="88" t="s">
        <v>619</v>
      </c>
      <c r="C32" s="357"/>
      <c r="E32" s="7"/>
      <c r="N32" s="412"/>
      <c r="O32" s="412"/>
      <c r="P32" s="412"/>
      <c r="Q32" s="412"/>
      <c r="R32" s="412"/>
      <c r="S32" s="412"/>
      <c r="T32" s="412" t="s">
        <v>538</v>
      </c>
    </row>
    <row r="33" spans="1:6">
      <c r="A33" s="363"/>
      <c r="B33" s="88" t="s">
        <v>620</v>
      </c>
      <c r="C33" s="363"/>
      <c r="E33" s="7"/>
    </row>
    <row r="34" spans="1:6">
      <c r="A34" s="276"/>
      <c r="B34" s="88"/>
      <c r="C34" s="276"/>
      <c r="E34" s="7"/>
    </row>
    <row r="35" spans="1:6">
      <c r="A35" s="357" t="s">
        <v>621</v>
      </c>
      <c r="B35" s="8" t="s">
        <v>622</v>
      </c>
      <c r="C35" s="357" t="s">
        <v>621</v>
      </c>
      <c r="D35" s="2" t="s">
        <v>554</v>
      </c>
      <c r="E35" s="7"/>
      <c r="F35" s="73"/>
    </row>
    <row r="36" spans="1:6">
      <c r="A36" s="357"/>
      <c r="B36" s="88" t="s">
        <v>550</v>
      </c>
      <c r="C36" s="357"/>
    </row>
    <row r="37" spans="1:6">
      <c r="A37" s="357"/>
      <c r="B37" s="435" t="s">
        <v>551</v>
      </c>
      <c r="C37" s="357"/>
    </row>
    <row r="38" spans="1:6">
      <c r="A38" s="357"/>
      <c r="B38" s="435" t="s">
        <v>552</v>
      </c>
      <c r="C38" s="357"/>
    </row>
    <row r="39" spans="1:6">
      <c r="A39" s="276"/>
      <c r="B39" s="88" t="s">
        <v>619</v>
      </c>
      <c r="C39" s="276"/>
    </row>
    <row r="40" spans="1:6">
      <c r="A40" s="276"/>
      <c r="B40" s="88" t="s">
        <v>620</v>
      </c>
      <c r="C40" s="276"/>
    </row>
    <row r="41" spans="1:6">
      <c r="A41" s="276"/>
      <c r="B41" s="8"/>
      <c r="C41" s="276"/>
    </row>
    <row r="42" spans="1:6">
      <c r="A42" s="357" t="s">
        <v>623</v>
      </c>
      <c r="B42" s="3" t="s">
        <v>561</v>
      </c>
      <c r="C42" s="357" t="s">
        <v>623</v>
      </c>
      <c r="D42" s="2" t="s">
        <v>554</v>
      </c>
    </row>
    <row r="43" spans="1:6">
      <c r="A43" s="357"/>
      <c r="B43" s="435" t="s">
        <v>562</v>
      </c>
      <c r="C43" s="357"/>
    </row>
    <row r="44" spans="1:6">
      <c r="A44" s="357"/>
      <c r="B44" s="435" t="s">
        <v>563</v>
      </c>
      <c r="C44" s="357"/>
    </row>
    <row r="45" spans="1:6">
      <c r="A45" s="276"/>
      <c r="B45" s="435" t="s">
        <v>564</v>
      </c>
      <c r="C45" s="276"/>
    </row>
    <row r="46" spans="1:6">
      <c r="A46" s="276"/>
      <c r="B46" s="88"/>
      <c r="C46" s="276"/>
    </row>
    <row r="47" spans="1:6">
      <c r="A47" s="276"/>
      <c r="B47" s="3"/>
      <c r="C47" s="276"/>
    </row>
    <row r="48" spans="1:6">
      <c r="A48" s="357" t="s">
        <v>624</v>
      </c>
      <c r="B48" s="3" t="s">
        <v>566</v>
      </c>
      <c r="C48" s="357" t="s">
        <v>624</v>
      </c>
      <c r="D48" s="2" t="s">
        <v>567</v>
      </c>
    </row>
    <row r="49" spans="1:4">
      <c r="A49" s="79"/>
      <c r="B49" s="435" t="s">
        <v>562</v>
      </c>
      <c r="C49" s="79"/>
    </row>
    <row r="50" spans="1:4">
      <c r="A50" s="79"/>
      <c r="B50" s="129"/>
      <c r="C50" s="79"/>
    </row>
    <row r="51" spans="1:4">
      <c r="A51" s="357" t="s">
        <v>625</v>
      </c>
      <c r="B51" s="655" t="s">
        <v>626</v>
      </c>
      <c r="C51" s="357" t="s">
        <v>625</v>
      </c>
      <c r="D51" s="2" t="s">
        <v>567</v>
      </c>
    </row>
    <row r="52" spans="1:4">
      <c r="B52" s="655" t="s">
        <v>594</v>
      </c>
      <c r="C52" s="592"/>
    </row>
    <row r="53" spans="1:4">
      <c r="B53" s="655" t="s">
        <v>595</v>
      </c>
      <c r="C53" s="2"/>
    </row>
    <row r="54" spans="1:4">
      <c r="B54" s="655" t="s">
        <v>627</v>
      </c>
      <c r="C54" s="2"/>
    </row>
    <row r="55" spans="1:4">
      <c r="B55" s="655" t="s">
        <v>628</v>
      </c>
      <c r="C55" s="357"/>
    </row>
    <row r="56" spans="1:4">
      <c r="B56" s="655" t="s">
        <v>629</v>
      </c>
      <c r="C56" s="396"/>
    </row>
    <row r="57" spans="1:4">
      <c r="B57" s="655" t="s">
        <v>630</v>
      </c>
      <c r="C57" s="363"/>
    </row>
    <row r="58" spans="1:4">
      <c r="B58" s="655" t="s">
        <v>631</v>
      </c>
      <c r="C58" s="276"/>
    </row>
    <row r="59" spans="1:4">
      <c r="B59" s="655" t="s">
        <v>632</v>
      </c>
      <c r="C59" s="276"/>
    </row>
    <row r="60" spans="1:4">
      <c r="B60" s="655" t="s">
        <v>633</v>
      </c>
      <c r="C60" s="276"/>
    </row>
    <row r="61" spans="1:4">
      <c r="B61" s="655" t="s">
        <v>634</v>
      </c>
      <c r="C61" s="276"/>
    </row>
    <row r="62" spans="1:4">
      <c r="B62" s="655" t="s">
        <v>635</v>
      </c>
      <c r="C62" s="276"/>
    </row>
    <row r="63" spans="1:4">
      <c r="B63" s="655" t="s">
        <v>636</v>
      </c>
      <c r="C63" s="276"/>
    </row>
    <row r="64" spans="1:4">
      <c r="B64" s="655" t="s">
        <v>637</v>
      </c>
      <c r="C64" s="276"/>
    </row>
    <row r="66" spans="3:4">
      <c r="C66" s="357" t="s">
        <v>638</v>
      </c>
      <c r="D66" s="2" t="s">
        <v>554</v>
      </c>
    </row>
    <row r="67" spans="3:4">
      <c r="C67" s="592"/>
    </row>
    <row r="68" spans="3:4">
      <c r="C68" s="2"/>
    </row>
    <row r="69" spans="3:4">
      <c r="C69" s="357" t="s">
        <v>639</v>
      </c>
      <c r="D69" s="2" t="s">
        <v>567</v>
      </c>
    </row>
    <row r="70" spans="3:4">
      <c r="C70" s="592"/>
    </row>
    <row r="71" spans="3:4">
      <c r="C71" s="2"/>
    </row>
    <row r="72" spans="3:4">
      <c r="C72" s="357" t="s">
        <v>640</v>
      </c>
      <c r="D72" s="2" t="s">
        <v>613</v>
      </c>
    </row>
    <row r="73" spans="3:4">
      <c r="C73" s="592"/>
    </row>
  </sheetData>
  <mergeCells count="6">
    <mergeCell ref="I1:V1"/>
    <mergeCell ref="W1:Z2"/>
    <mergeCell ref="A1:D1"/>
    <mergeCell ref="A22:D22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3"/>
  <sheetViews>
    <sheetView workbookViewId="0">
      <pane ySplit="2" topLeftCell="A3" activePane="bottomLeft" state="frozen"/>
      <selection pane="bottomLeft" activeCell="A27" sqref="A27"/>
    </sheetView>
  </sheetViews>
  <sheetFormatPr defaultRowHeight="11.25"/>
  <cols>
    <col min="1" max="1" width="9.42578125" style="3" bestFit="1" customWidth="1"/>
    <col min="2" max="2" width="68" style="3" bestFit="1" customWidth="1"/>
    <col min="3" max="3" width="11.140625" style="3" bestFit="1" customWidth="1"/>
    <col min="4" max="4" width="10.28515625" style="3" bestFit="1" customWidth="1"/>
    <col min="5" max="5" width="10" style="3" customWidth="1"/>
    <col min="6" max="10" width="9.140625" style="3"/>
    <col min="11" max="11" width="8.28515625" style="3" customWidth="1"/>
    <col min="12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2" width="9.140625" style="3"/>
    <col min="33" max="33" width="10.28515625" style="3" customWidth="1"/>
    <col min="34" max="34" width="11.85546875" style="3" customWidth="1"/>
    <col min="35" max="16384" width="9.140625" style="3"/>
  </cols>
  <sheetData>
    <row r="1" spans="1:38" ht="15.75">
      <c r="A1" s="846" t="s">
        <v>326</v>
      </c>
      <c r="B1" s="847"/>
      <c r="C1" s="847"/>
      <c r="D1" s="847"/>
      <c r="E1" s="847"/>
      <c r="F1" s="847"/>
      <c r="G1" s="847"/>
      <c r="H1" s="847"/>
      <c r="I1" s="847"/>
      <c r="J1" s="847"/>
      <c r="K1" s="847"/>
      <c r="L1" s="847"/>
      <c r="M1" s="847"/>
      <c r="N1" s="847"/>
      <c r="O1" s="847"/>
      <c r="P1" s="847"/>
      <c r="Q1" s="847"/>
      <c r="R1" s="847"/>
      <c r="S1" s="847"/>
      <c r="T1" s="847"/>
      <c r="U1" s="847"/>
      <c r="V1" s="847"/>
      <c r="W1" s="847"/>
      <c r="X1" s="847"/>
      <c r="Y1" s="847"/>
      <c r="Z1" s="847"/>
      <c r="AA1" s="847"/>
      <c r="AB1" s="847"/>
      <c r="AC1" s="847"/>
      <c r="AD1" s="847"/>
      <c r="AE1" s="848" t="s">
        <v>47</v>
      </c>
      <c r="AF1" s="850" t="s">
        <v>9</v>
      </c>
      <c r="AG1" s="852" t="s">
        <v>511</v>
      </c>
      <c r="AH1" s="835" t="s">
        <v>336</v>
      </c>
      <c r="AI1" s="837" t="s">
        <v>83</v>
      </c>
      <c r="AJ1" s="838"/>
      <c r="AK1" s="838"/>
      <c r="AL1" s="839"/>
    </row>
    <row r="2" spans="1:38" ht="12" thickBot="1">
      <c r="A2" s="182"/>
      <c r="B2" s="183" t="s">
        <v>335</v>
      </c>
      <c r="C2" s="183" t="s">
        <v>84</v>
      </c>
      <c r="D2" s="184" t="s">
        <v>327</v>
      </c>
      <c r="E2" s="161" t="s">
        <v>31</v>
      </c>
      <c r="F2" s="161" t="s">
        <v>328</v>
      </c>
      <c r="G2" s="161" t="s">
        <v>329</v>
      </c>
      <c r="H2" s="161" t="s">
        <v>330</v>
      </c>
      <c r="I2" s="161" t="s">
        <v>331</v>
      </c>
      <c r="J2" s="161" t="s">
        <v>332</v>
      </c>
      <c r="K2" s="809" t="s">
        <v>29</v>
      </c>
      <c r="L2" s="810"/>
      <c r="M2" s="171" t="s">
        <v>333</v>
      </c>
      <c r="N2" s="171" t="s">
        <v>31</v>
      </c>
      <c r="O2" s="171" t="s">
        <v>328</v>
      </c>
      <c r="P2" s="171" t="s">
        <v>329</v>
      </c>
      <c r="Q2" s="171" t="s">
        <v>330</v>
      </c>
      <c r="R2" s="171" t="s">
        <v>331</v>
      </c>
      <c r="S2" s="171" t="s">
        <v>332</v>
      </c>
      <c r="T2" s="811" t="s">
        <v>29</v>
      </c>
      <c r="U2" s="812"/>
      <c r="V2" s="161" t="s">
        <v>334</v>
      </c>
      <c r="W2" s="161" t="s">
        <v>31</v>
      </c>
      <c r="X2" s="161" t="s">
        <v>328</v>
      </c>
      <c r="Y2" s="161" t="s">
        <v>329</v>
      </c>
      <c r="Z2" s="161" t="s">
        <v>330</v>
      </c>
      <c r="AA2" s="161" t="s">
        <v>331</v>
      </c>
      <c r="AB2" s="161" t="s">
        <v>332</v>
      </c>
      <c r="AC2" s="809" t="s">
        <v>29</v>
      </c>
      <c r="AD2" s="810"/>
      <c r="AE2" s="849"/>
      <c r="AF2" s="851"/>
      <c r="AG2" s="853"/>
      <c r="AH2" s="836"/>
      <c r="AI2" s="840"/>
      <c r="AJ2" s="841"/>
      <c r="AK2" s="841"/>
      <c r="AL2" s="842"/>
    </row>
    <row r="3" spans="1:38" s="5" customFormat="1">
      <c r="A3" s="555" t="str">
        <f>'1-συμβολαια'!A3</f>
        <v>1ο</v>
      </c>
      <c r="B3" s="71" t="str">
        <f>'1-συμβολαια'!C3</f>
        <v>κληρονομιάς ΑΠΟΔΟΧΗ</v>
      </c>
      <c r="C3" s="323">
        <f>'1-συμβολαια'!D3</f>
        <v>0</v>
      </c>
      <c r="D3" s="323"/>
      <c r="E3" s="71"/>
      <c r="F3" s="71"/>
      <c r="G3" s="71"/>
      <c r="H3" s="71"/>
      <c r="I3" s="71"/>
      <c r="J3" s="71"/>
      <c r="K3" s="71"/>
      <c r="L3" s="71"/>
      <c r="M3" s="323">
        <f t="shared" ref="M3" si="0">C3*0.65%</f>
        <v>0</v>
      </c>
      <c r="N3" s="71"/>
      <c r="O3" s="71"/>
      <c r="P3" s="71"/>
      <c r="Q3" s="71"/>
      <c r="R3" s="71"/>
      <c r="S3" s="71"/>
      <c r="T3" s="71"/>
      <c r="U3" s="71"/>
      <c r="V3" s="323">
        <f t="shared" ref="V3" si="1">C3*0.125%</f>
        <v>0</v>
      </c>
      <c r="W3" s="71"/>
      <c r="X3" s="71"/>
      <c r="Y3" s="71"/>
      <c r="Z3" s="71"/>
      <c r="AA3" s="71"/>
      <c r="AB3" s="71"/>
      <c r="AC3" s="71"/>
      <c r="AD3" s="71"/>
      <c r="AE3" s="314">
        <f t="shared" ref="AE3" si="2">D3+M3+V3</f>
        <v>0</v>
      </c>
      <c r="AF3" s="314"/>
      <c r="AG3" s="314">
        <f t="shared" ref="AG3" si="3">AE3-AF3</f>
        <v>0</v>
      </c>
      <c r="AH3" s="71"/>
      <c r="AI3" s="71"/>
      <c r="AJ3" s="71"/>
      <c r="AK3" s="71"/>
      <c r="AL3" s="71"/>
    </row>
    <row r="4" spans="1:38" s="5" customFormat="1">
      <c r="A4" s="555">
        <f>'1-συμβολαια'!A4</f>
        <v>0</v>
      </c>
      <c r="B4" s="71" t="str">
        <f>'1-συμβολαια'!C4</f>
        <v>χρησικτησία οικοπεδου = 194? γεωργούδηΝικολαο ΑΓΟΡΑΠΩΛΗΣΙΑ (ως αγροτεμάχιο) άτυπος</v>
      </c>
      <c r="C4" s="323">
        <f>'1-συμβολαια'!D4</f>
        <v>1111.1099999999999</v>
      </c>
      <c r="D4" s="323"/>
      <c r="E4" s="71"/>
      <c r="F4" s="71"/>
      <c r="G4" s="71"/>
      <c r="H4" s="71"/>
      <c r="I4" s="71"/>
      <c r="J4" s="71"/>
      <c r="K4" s="71"/>
      <c r="L4" s="71"/>
      <c r="M4" s="323">
        <f t="shared" ref="M4:M13" si="4">C4*0.65%</f>
        <v>7.2222150000000003</v>
      </c>
      <c r="N4" s="71"/>
      <c r="O4" s="71"/>
      <c r="P4" s="71"/>
      <c r="Q4" s="71"/>
      <c r="R4" s="71"/>
      <c r="S4" s="71"/>
      <c r="T4" s="71"/>
      <c r="U4" s="71"/>
      <c r="V4" s="323">
        <f t="shared" ref="V4:V13" si="5">C4*0.125%</f>
        <v>1.3888874999999998</v>
      </c>
      <c r="W4" s="71"/>
      <c r="X4" s="71"/>
      <c r="Y4" s="71"/>
      <c r="Z4" s="71"/>
      <c r="AA4" s="71"/>
      <c r="AB4" s="71"/>
      <c r="AC4" s="71"/>
      <c r="AD4" s="71"/>
      <c r="AE4" s="323">
        <f t="shared" ref="AE4:AF13" si="6">D4+M4+V4</f>
        <v>8.6111024999999994</v>
      </c>
      <c r="AF4" s="323"/>
      <c r="AG4" s="323">
        <f t="shared" ref="AG4:AG13" si="7">AE4-AF4</f>
        <v>8.6111024999999994</v>
      </c>
      <c r="AH4" s="71"/>
      <c r="AI4" s="71"/>
      <c r="AJ4" s="71"/>
      <c r="AK4" s="71"/>
      <c r="AL4" s="71"/>
    </row>
    <row r="5" spans="1:38" s="5" customFormat="1">
      <c r="A5" s="555">
        <f>'1-συμβολαια'!A5</f>
        <v>0</v>
      </c>
      <c r="B5" s="71" t="str">
        <f>'1-συμβολαια'!C5</f>
        <v>χρησικτησία αγροτεμάχιο 193 = 1975 ΑΝΑΔΑΣΜΟΣ εκούσιος</v>
      </c>
      <c r="C5" s="323">
        <f>'1-συμβολαια'!D5</f>
        <v>11.11</v>
      </c>
      <c r="D5" s="323"/>
      <c r="E5" s="71"/>
      <c r="F5" s="71"/>
      <c r="G5" s="71"/>
      <c r="H5" s="71"/>
      <c r="I5" s="71"/>
      <c r="J5" s="71"/>
      <c r="K5" s="71"/>
      <c r="L5" s="71"/>
      <c r="M5" s="323">
        <f t="shared" si="4"/>
        <v>7.2215000000000001E-2</v>
      </c>
      <c r="N5" s="71"/>
      <c r="O5" s="71"/>
      <c r="P5" s="71"/>
      <c r="Q5" s="71"/>
      <c r="R5" s="71"/>
      <c r="S5" s="71"/>
      <c r="T5" s="71"/>
      <c r="U5" s="71"/>
      <c r="V5" s="323">
        <f t="shared" si="5"/>
        <v>1.3887499999999999E-2</v>
      </c>
      <c r="W5" s="71"/>
      <c r="X5" s="71"/>
      <c r="Y5" s="71"/>
      <c r="Z5" s="71"/>
      <c r="AA5" s="71"/>
      <c r="AB5" s="71"/>
      <c r="AC5" s="71"/>
      <c r="AD5" s="71"/>
      <c r="AE5" s="323">
        <f t="shared" si="6"/>
        <v>8.6102499999999998E-2</v>
      </c>
      <c r="AF5" s="323"/>
      <c r="AG5" s="323">
        <f t="shared" si="7"/>
        <v>8.6102499999999998E-2</v>
      </c>
      <c r="AH5" s="71"/>
      <c r="AI5" s="71"/>
      <c r="AJ5" s="71"/>
      <c r="AK5" s="71"/>
      <c r="AL5" s="71"/>
    </row>
    <row r="6" spans="1:38" s="5" customFormat="1" ht="12" thickBot="1">
      <c r="A6" s="556">
        <f>'1-συμβολαια'!A6</f>
        <v>0</v>
      </c>
      <c r="B6" s="509" t="str">
        <f>'1-συμβολαια'!C6</f>
        <v>χρησικτησία αγροτεμάχιο 279 = 1975 ΑΝΑΔΑΣΜΟΣ εκούσιος</v>
      </c>
      <c r="C6" s="506">
        <f>'1-συμβολαια'!D6</f>
        <v>222.22</v>
      </c>
      <c r="D6" s="506"/>
      <c r="E6" s="509"/>
      <c r="F6" s="509"/>
      <c r="G6" s="509"/>
      <c r="H6" s="509"/>
      <c r="I6" s="509"/>
      <c r="J6" s="509"/>
      <c r="K6" s="509"/>
      <c r="L6" s="509"/>
      <c r="M6" s="506">
        <f t="shared" si="4"/>
        <v>1.4444300000000001</v>
      </c>
      <c r="N6" s="509"/>
      <c r="O6" s="509"/>
      <c r="P6" s="509"/>
      <c r="Q6" s="509"/>
      <c r="R6" s="509"/>
      <c r="S6" s="509"/>
      <c r="T6" s="509"/>
      <c r="U6" s="509"/>
      <c r="V6" s="506">
        <f t="shared" si="5"/>
        <v>0.27777499999999999</v>
      </c>
      <c r="W6" s="509"/>
      <c r="X6" s="509"/>
      <c r="Y6" s="509"/>
      <c r="Z6" s="509"/>
      <c r="AA6" s="509"/>
      <c r="AB6" s="509"/>
      <c r="AC6" s="509"/>
      <c r="AD6" s="509"/>
      <c r="AE6" s="506">
        <f t="shared" si="6"/>
        <v>1.7222050000000002</v>
      </c>
      <c r="AF6" s="506"/>
      <c r="AG6" s="506">
        <f t="shared" si="7"/>
        <v>1.7222050000000002</v>
      </c>
      <c r="AH6" s="509"/>
      <c r="AI6" s="509"/>
      <c r="AJ6" s="509"/>
      <c r="AK6" s="509"/>
      <c r="AL6" s="509"/>
    </row>
    <row r="7" spans="1:38" s="5" customFormat="1">
      <c r="A7" s="558" t="str">
        <f>'1-συμβολαια'!A7</f>
        <v>2ο</v>
      </c>
      <c r="B7" s="503" t="str">
        <f>'1-συμβολαια'!C7</f>
        <v>κληρονομιάς ΑΠΟΔΟΧΗ</v>
      </c>
      <c r="C7" s="314">
        <f>'1-συμβολαια'!D7</f>
        <v>0</v>
      </c>
      <c r="D7" s="314"/>
      <c r="E7" s="503"/>
      <c r="F7" s="503"/>
      <c r="G7" s="503"/>
      <c r="H7" s="503"/>
      <c r="I7" s="503"/>
      <c r="J7" s="503"/>
      <c r="K7" s="503"/>
      <c r="L7" s="503"/>
      <c r="M7" s="314">
        <f t="shared" si="4"/>
        <v>0</v>
      </c>
      <c r="N7" s="503"/>
      <c r="O7" s="503"/>
      <c r="P7" s="503"/>
      <c r="Q7" s="503"/>
      <c r="R7" s="503"/>
      <c r="S7" s="503"/>
      <c r="T7" s="503"/>
      <c r="U7" s="503"/>
      <c r="V7" s="314">
        <f t="shared" si="5"/>
        <v>0</v>
      </c>
      <c r="W7" s="503"/>
      <c r="X7" s="503"/>
      <c r="Y7" s="503"/>
      <c r="Z7" s="503"/>
      <c r="AA7" s="503"/>
      <c r="AB7" s="503"/>
      <c r="AC7" s="503"/>
      <c r="AD7" s="503"/>
      <c r="AE7" s="314">
        <f t="shared" si="6"/>
        <v>0</v>
      </c>
      <c r="AF7" s="314"/>
      <c r="AG7" s="314">
        <f t="shared" si="7"/>
        <v>0</v>
      </c>
      <c r="AH7" s="503"/>
      <c r="AI7" s="503"/>
      <c r="AJ7" s="503"/>
      <c r="AK7" s="503"/>
      <c r="AL7" s="503"/>
    </row>
    <row r="8" spans="1:38" s="5" customFormat="1">
      <c r="A8" s="559">
        <f>'1-συμβολαια'!A8</f>
        <v>0</v>
      </c>
      <c r="B8" s="71" t="str">
        <f>'1-συμβολαια'!C8</f>
        <v>χρησικτησία οικοπεδου &amp; οικίας &amp; αποθήκης = 27/7/87 πατρός ΚΛΗΡΟΝΟΜΙΑ άτυπος</v>
      </c>
      <c r="C8" s="323">
        <f>'1-συμβολαια'!D8</f>
        <v>11111.11</v>
      </c>
      <c r="D8" s="323"/>
      <c r="E8" s="71"/>
      <c r="F8" s="71"/>
      <c r="G8" s="71"/>
      <c r="H8" s="71"/>
      <c r="I8" s="71"/>
      <c r="J8" s="71"/>
      <c r="K8" s="71"/>
      <c r="L8" s="71"/>
      <c r="M8" s="323">
        <f t="shared" ref="M8" si="8">C8*0.65%</f>
        <v>72.222215000000006</v>
      </c>
      <c r="N8" s="71"/>
      <c r="O8" s="71"/>
      <c r="P8" s="71"/>
      <c r="Q8" s="71"/>
      <c r="R8" s="71"/>
      <c r="S8" s="71"/>
      <c r="T8" s="71"/>
      <c r="U8" s="71"/>
      <c r="V8" s="323">
        <f t="shared" ref="V8" si="9">C8*0.125%</f>
        <v>13.888887500000001</v>
      </c>
      <c r="W8" s="71"/>
      <c r="X8" s="71"/>
      <c r="Y8" s="71"/>
      <c r="Z8" s="71"/>
      <c r="AA8" s="71"/>
      <c r="AB8" s="71"/>
      <c r="AC8" s="71"/>
      <c r="AD8" s="71"/>
      <c r="AE8" s="323">
        <f t="shared" ref="AE8" si="10">D8+M8+V8</f>
        <v>86.111102500000001</v>
      </c>
      <c r="AF8" s="323"/>
      <c r="AG8" s="323">
        <f t="shared" ref="AG8" si="11">AE8-AF8</f>
        <v>86.111102500000001</v>
      </c>
      <c r="AH8" s="71"/>
      <c r="AI8" s="71"/>
      <c r="AJ8" s="71"/>
      <c r="AK8" s="71"/>
      <c r="AL8" s="71"/>
    </row>
    <row r="9" spans="1:38" s="5" customFormat="1">
      <c r="A9" s="559">
        <f>'1-συμβολαια'!A9</f>
        <v>0</v>
      </c>
      <c r="B9" s="71" t="str">
        <f>'1-συμβολαια'!C9</f>
        <v>χρησικτησία αγροτεμάχιο 193 = 27/7/87 πατρός ΚΛΗΡΟΝΟΜΙΑ άτυπος</v>
      </c>
      <c r="C9" s="323">
        <f>'1-συμβολαια'!D9</f>
        <v>11.11</v>
      </c>
      <c r="D9" s="323"/>
      <c r="E9" s="71"/>
      <c r="F9" s="71"/>
      <c r="G9" s="71"/>
      <c r="H9" s="71"/>
      <c r="I9" s="71"/>
      <c r="J9" s="71"/>
      <c r="K9" s="71"/>
      <c r="L9" s="71"/>
      <c r="M9" s="323">
        <f t="shared" si="4"/>
        <v>7.2215000000000001E-2</v>
      </c>
      <c r="N9" s="71"/>
      <c r="O9" s="71"/>
      <c r="P9" s="71"/>
      <c r="Q9" s="71"/>
      <c r="R9" s="71"/>
      <c r="S9" s="71"/>
      <c r="T9" s="71"/>
      <c r="U9" s="71"/>
      <c r="V9" s="323">
        <f t="shared" si="5"/>
        <v>1.3887499999999999E-2</v>
      </c>
      <c r="W9" s="71"/>
      <c r="X9" s="71"/>
      <c r="Y9" s="71"/>
      <c r="Z9" s="71"/>
      <c r="AA9" s="71"/>
      <c r="AB9" s="71"/>
      <c r="AC9" s="71"/>
      <c r="AD9" s="71"/>
      <c r="AE9" s="323">
        <f t="shared" si="6"/>
        <v>8.6102499999999998E-2</v>
      </c>
      <c r="AF9" s="323"/>
      <c r="AG9" s="323">
        <f t="shared" si="7"/>
        <v>8.6102499999999998E-2</v>
      </c>
      <c r="AH9" s="71"/>
      <c r="AI9" s="71"/>
      <c r="AJ9" s="71"/>
      <c r="AK9" s="71"/>
      <c r="AL9" s="71"/>
    </row>
    <row r="10" spans="1:38" s="5" customFormat="1" ht="12" thickBot="1">
      <c r="A10" s="561">
        <f>'1-συμβολαια'!A10</f>
        <v>0</v>
      </c>
      <c r="B10" s="509" t="str">
        <f>'1-συμβολαια'!C10</f>
        <v>χρησικτησία αγροτεμάχιο 279 = 27/7/87 πατρός ΚΛΗΡΟΝΟΜΙΑ άτυπος</v>
      </c>
      <c r="C10" s="506">
        <f>'1-συμβολαια'!D10</f>
        <v>222.22</v>
      </c>
      <c r="D10" s="506"/>
      <c r="E10" s="509"/>
      <c r="F10" s="509"/>
      <c r="G10" s="509"/>
      <c r="H10" s="509"/>
      <c r="I10" s="509"/>
      <c r="J10" s="509"/>
      <c r="K10" s="509"/>
      <c r="L10" s="509"/>
      <c r="M10" s="506">
        <f t="shared" si="4"/>
        <v>1.4444300000000001</v>
      </c>
      <c r="N10" s="509"/>
      <c r="O10" s="509"/>
      <c r="P10" s="509"/>
      <c r="Q10" s="509"/>
      <c r="R10" s="509"/>
      <c r="S10" s="509"/>
      <c r="T10" s="509"/>
      <c r="U10" s="509"/>
      <c r="V10" s="506">
        <f t="shared" si="5"/>
        <v>0.27777499999999999</v>
      </c>
      <c r="W10" s="509"/>
      <c r="X10" s="509"/>
      <c r="Y10" s="509"/>
      <c r="Z10" s="509"/>
      <c r="AA10" s="509"/>
      <c r="AB10" s="509"/>
      <c r="AC10" s="509"/>
      <c r="AD10" s="509"/>
      <c r="AE10" s="506">
        <f t="shared" si="6"/>
        <v>1.7222050000000002</v>
      </c>
      <c r="AF10" s="506"/>
      <c r="AG10" s="506">
        <f t="shared" si="7"/>
        <v>1.7222050000000002</v>
      </c>
      <c r="AH10" s="509"/>
      <c r="AI10" s="509"/>
      <c r="AJ10" s="509"/>
      <c r="AK10" s="509"/>
      <c r="AL10" s="509"/>
    </row>
    <row r="11" spans="1:38" s="5" customFormat="1" ht="12" thickBot="1">
      <c r="A11" s="569" t="str">
        <f>'1-συμβολαια'!A11</f>
        <v>3ο</v>
      </c>
      <c r="B11" s="570" t="str">
        <f>'1-συμβολαια'!C11</f>
        <v>κάθετος ΣΥΣΤΑΣΗ</v>
      </c>
      <c r="C11" s="505">
        <f>'1-συμβολαια'!D11</f>
        <v>0</v>
      </c>
      <c r="D11" s="505"/>
      <c r="E11" s="570"/>
      <c r="F11" s="570"/>
      <c r="G11" s="570"/>
      <c r="H11" s="570"/>
      <c r="I11" s="570"/>
      <c r="J11" s="570"/>
      <c r="K11" s="570"/>
      <c r="L11" s="570"/>
      <c r="M11" s="505">
        <f t="shared" si="4"/>
        <v>0</v>
      </c>
      <c r="N11" s="570"/>
      <c r="O11" s="570"/>
      <c r="P11" s="570"/>
      <c r="Q11" s="570"/>
      <c r="R11" s="570"/>
      <c r="S11" s="570"/>
      <c r="T11" s="570"/>
      <c r="U11" s="570"/>
      <c r="V11" s="505">
        <f t="shared" si="5"/>
        <v>0</v>
      </c>
      <c r="W11" s="570"/>
      <c r="X11" s="570"/>
      <c r="Y11" s="570"/>
      <c r="Z11" s="570"/>
      <c r="AA11" s="570"/>
      <c r="AB11" s="570"/>
      <c r="AC11" s="570"/>
      <c r="AD11" s="570"/>
      <c r="AE11" s="505">
        <f t="shared" si="6"/>
        <v>0</v>
      </c>
      <c r="AF11" s="505"/>
      <c r="AG11" s="505">
        <f t="shared" si="7"/>
        <v>0</v>
      </c>
      <c r="AH11" s="570"/>
      <c r="AI11" s="570"/>
      <c r="AJ11" s="570"/>
      <c r="AK11" s="570"/>
      <c r="AL11" s="570"/>
    </row>
    <row r="12" spans="1:38" s="5" customFormat="1" ht="12" thickBot="1">
      <c r="A12" s="569" t="str">
        <f>'1-συμβολαια'!A12</f>
        <v>4ο</v>
      </c>
      <c r="B12" s="570" t="str">
        <f>'1-συμβολαια'!C12</f>
        <v>γονική ΨΙΛΗΣ ΚΥΡΙΟΤΗΤΑΣ</v>
      </c>
      <c r="C12" s="505">
        <f>'1-συμβολαια'!D12</f>
        <v>19272.79</v>
      </c>
      <c r="D12" s="505"/>
      <c r="E12" s="570"/>
      <c r="F12" s="570"/>
      <c r="G12" s="570"/>
      <c r="H12" s="570"/>
      <c r="I12" s="570"/>
      <c r="J12" s="570"/>
      <c r="K12" s="570"/>
      <c r="L12" s="570"/>
      <c r="M12" s="505">
        <f t="shared" si="4"/>
        <v>125.27313500000001</v>
      </c>
      <c r="N12" s="570">
        <v>125.27</v>
      </c>
      <c r="O12" s="571"/>
      <c r="P12" s="570">
        <v>125.27</v>
      </c>
      <c r="Q12" s="570"/>
      <c r="R12" s="570"/>
      <c r="S12" s="570"/>
      <c r="T12" s="570"/>
      <c r="U12" s="570"/>
      <c r="V12" s="505">
        <f t="shared" si="5"/>
        <v>24.090987500000001</v>
      </c>
      <c r="W12" s="570">
        <v>24.09</v>
      </c>
      <c r="X12" s="571"/>
      <c r="Y12" s="570">
        <v>24.09</v>
      </c>
      <c r="Z12" s="570"/>
      <c r="AA12" s="570"/>
      <c r="AB12" s="570"/>
      <c r="AC12" s="570"/>
      <c r="AD12" s="570"/>
      <c r="AE12" s="505">
        <f t="shared" si="6"/>
        <v>149.36412250000001</v>
      </c>
      <c r="AF12" s="505">
        <f t="shared" si="6"/>
        <v>149.35999999999999</v>
      </c>
      <c r="AG12" s="505">
        <f t="shared" si="7"/>
        <v>4.1225000000224554E-3</v>
      </c>
      <c r="AH12" s="570"/>
      <c r="AI12" s="570"/>
      <c r="AJ12" s="570"/>
      <c r="AK12" s="570"/>
      <c r="AL12" s="570"/>
    </row>
    <row r="13" spans="1:38" s="5" customFormat="1" ht="12" thickBot="1">
      <c r="A13" s="492" t="str">
        <f>'1-συμβολαια'!A13</f>
        <v>5ο</v>
      </c>
      <c r="B13" s="624" t="str">
        <f>'1-συμβολαια'!C13</f>
        <v>πληρεξούσιο</v>
      </c>
      <c r="C13" s="568">
        <f>'1-συμβολαια'!D13</f>
        <v>0</v>
      </c>
      <c r="D13" s="568"/>
      <c r="E13" s="624"/>
      <c r="F13" s="624"/>
      <c r="G13" s="624"/>
      <c r="H13" s="624"/>
      <c r="I13" s="624"/>
      <c r="J13" s="624"/>
      <c r="K13" s="624"/>
      <c r="L13" s="624"/>
      <c r="M13" s="568">
        <f t="shared" si="4"/>
        <v>0</v>
      </c>
      <c r="N13" s="624"/>
      <c r="O13" s="624"/>
      <c r="P13" s="624"/>
      <c r="Q13" s="624"/>
      <c r="R13" s="624"/>
      <c r="S13" s="624"/>
      <c r="T13" s="624"/>
      <c r="U13" s="624"/>
      <c r="V13" s="568">
        <f t="shared" si="5"/>
        <v>0</v>
      </c>
      <c r="W13" s="624"/>
      <c r="X13" s="624"/>
      <c r="Y13" s="624"/>
      <c r="Z13" s="624"/>
      <c r="AA13" s="624"/>
      <c r="AB13" s="624"/>
      <c r="AC13" s="624"/>
      <c r="AD13" s="624"/>
      <c r="AE13" s="568">
        <f t="shared" si="6"/>
        <v>0</v>
      </c>
      <c r="AF13" s="568"/>
      <c r="AG13" s="568">
        <f t="shared" si="7"/>
        <v>0</v>
      </c>
      <c r="AH13" s="624"/>
      <c r="AI13" s="624"/>
      <c r="AJ13" s="624"/>
      <c r="AK13" s="624"/>
      <c r="AL13" s="624"/>
    </row>
    <row r="14" spans="1:38" s="5" customFormat="1">
      <c r="A14" s="673" t="str">
        <f>'1-συμβολαια'!A14</f>
        <v>6ο</v>
      </c>
      <c r="B14" s="503" t="str">
        <f>'1-συμβολαια'!C14</f>
        <v>μίσθωση αγροτεμαχίων 15 έτη { έως 19/1/2019 }</v>
      </c>
      <c r="C14" s="314">
        <f>'1-συμβολαια'!D14</f>
        <v>8109</v>
      </c>
      <c r="D14" s="674">
        <f>C14*1.3%</f>
        <v>105.41700000000002</v>
      </c>
      <c r="E14" s="503"/>
      <c r="F14" s="503"/>
      <c r="G14" s="503"/>
      <c r="H14" s="503"/>
      <c r="I14" s="503"/>
      <c r="J14" s="503"/>
      <c r="K14" s="503"/>
      <c r="L14" s="503"/>
      <c r="M14" s="314"/>
      <c r="N14" s="503"/>
      <c r="O14" s="503"/>
      <c r="P14" s="503"/>
      <c r="Q14" s="503"/>
      <c r="R14" s="503"/>
      <c r="S14" s="503"/>
      <c r="T14" s="503"/>
      <c r="U14" s="503"/>
      <c r="V14" s="314"/>
      <c r="W14" s="503"/>
      <c r="X14" s="503"/>
      <c r="Y14" s="503"/>
      <c r="Z14" s="503"/>
      <c r="AA14" s="503"/>
      <c r="AB14" s="503"/>
      <c r="AC14" s="503"/>
      <c r="AD14" s="503"/>
      <c r="AE14" s="314">
        <f t="shared" ref="AE14:AE21" si="12">D14+M14+V14</f>
        <v>105.41700000000002</v>
      </c>
      <c r="AF14" s="314">
        <v>57.85</v>
      </c>
      <c r="AG14" s="314">
        <f t="shared" ref="AG14:AG21" si="13">AE14-AF14</f>
        <v>47.567000000000014</v>
      </c>
      <c r="AH14" s="503"/>
      <c r="AI14" s="503"/>
      <c r="AJ14" s="503"/>
      <c r="AK14" s="503"/>
      <c r="AL14" s="503"/>
    </row>
    <row r="15" spans="1:38" s="5" customFormat="1">
      <c r="A15" s="555">
        <f>'1-συμβολαια'!A15</f>
        <v>0</v>
      </c>
      <c r="B15" s="71" t="str">
        <f>'1-συμβολαια'!C15</f>
        <v>ΧΡΗΣΙΚΤΗΣΙΑ αγροτεμαχίων 2'-3' = 19?? ΑΝΑΔΑΣΜΟΣ</v>
      </c>
      <c r="C15" s="323">
        <f>'1-συμβολαια'!D15</f>
        <v>444.44</v>
      </c>
      <c r="D15" s="314"/>
      <c r="E15" s="71"/>
      <c r="F15" s="71"/>
      <c r="G15" s="71"/>
      <c r="H15" s="71"/>
      <c r="I15" s="71"/>
      <c r="J15" s="71"/>
      <c r="K15" s="71"/>
      <c r="L15" s="71"/>
      <c r="M15" s="323">
        <f t="shared" ref="M15:M21" si="14">C15*0.65%</f>
        <v>2.8888600000000002</v>
      </c>
      <c r="N15" s="71"/>
      <c r="O15" s="71"/>
      <c r="P15" s="71"/>
      <c r="Q15" s="71"/>
      <c r="R15" s="71"/>
      <c r="S15" s="71"/>
      <c r="T15" s="71"/>
      <c r="U15" s="71"/>
      <c r="V15" s="323">
        <f t="shared" ref="V15:V21" si="15">C15*0.125%</f>
        <v>0.55554999999999999</v>
      </c>
      <c r="W15" s="71"/>
      <c r="X15" s="71"/>
      <c r="Y15" s="71"/>
      <c r="Z15" s="71"/>
      <c r="AA15" s="71"/>
      <c r="AB15" s="71"/>
      <c r="AC15" s="71"/>
      <c r="AD15" s="71"/>
      <c r="AE15" s="323">
        <f t="shared" si="12"/>
        <v>3.4444100000000004</v>
      </c>
      <c r="AF15" s="323"/>
      <c r="AG15" s="323">
        <f t="shared" si="13"/>
        <v>3.4444100000000004</v>
      </c>
      <c r="AH15" s="71"/>
      <c r="AI15" s="71"/>
      <c r="AJ15" s="71"/>
      <c r="AK15" s="71"/>
      <c r="AL15" s="71"/>
    </row>
    <row r="16" spans="1:38" s="5" customFormat="1">
      <c r="A16" s="555">
        <f>'1-συμβολαια'!A16</f>
        <v>0</v>
      </c>
      <c r="B16" s="71" t="str">
        <f>'1-συμβολαια'!C16</f>
        <v>ΧΡΗΣΙΚΤΗΣΙΑ αγροτεμαχίων υπόλοιπων 12 = πατρός 19?? ΔΩΡΕΕΣ &amp; ΚΛΗΡΟΝΟΜΙΕΣ άτυπες</v>
      </c>
      <c r="C16" s="323">
        <f>'1-συμβολαια'!D16</f>
        <v>2222.2199999999998</v>
      </c>
      <c r="D16" s="323"/>
      <c r="E16" s="71"/>
      <c r="F16" s="71"/>
      <c r="G16" s="71"/>
      <c r="H16" s="71"/>
      <c r="I16" s="71"/>
      <c r="J16" s="71"/>
      <c r="K16" s="71"/>
      <c r="L16" s="71"/>
      <c r="M16" s="323">
        <f t="shared" si="14"/>
        <v>14.444430000000001</v>
      </c>
      <c r="N16" s="71"/>
      <c r="O16" s="71"/>
      <c r="P16" s="71"/>
      <c r="Q16" s="71"/>
      <c r="R16" s="71"/>
      <c r="S16" s="71"/>
      <c r="T16" s="71"/>
      <c r="U16" s="71"/>
      <c r="V16" s="323">
        <f t="shared" si="15"/>
        <v>2.7777749999999997</v>
      </c>
      <c r="W16" s="71"/>
      <c r="X16" s="71"/>
      <c r="Y16" s="71"/>
      <c r="Z16" s="71"/>
      <c r="AA16" s="71"/>
      <c r="AB16" s="71"/>
      <c r="AC16" s="71"/>
      <c r="AD16" s="71"/>
      <c r="AE16" s="323">
        <f t="shared" si="12"/>
        <v>17.222204999999999</v>
      </c>
      <c r="AF16" s="323"/>
      <c r="AG16" s="323">
        <f t="shared" si="13"/>
        <v>17.222204999999999</v>
      </c>
      <c r="AH16" s="71"/>
      <c r="AI16" s="71"/>
      <c r="AJ16" s="71"/>
      <c r="AK16" s="71"/>
      <c r="AL16" s="71"/>
    </row>
    <row r="17" spans="1:38" s="5" customFormat="1" ht="12" thickBot="1">
      <c r="A17" s="556">
        <f>'1-συμβολαια'!A17</f>
        <v>0</v>
      </c>
      <c r="B17" s="509" t="str">
        <f>'1-συμβολαια'!C17</f>
        <v>μίσθωση = ΠΑΓΙΑ ως νέος αγρότης</v>
      </c>
      <c r="C17" s="506">
        <f>'1-συμβολαια'!D17</f>
        <v>11111.11</v>
      </c>
      <c r="D17" s="506">
        <f>C17*1.3%</f>
        <v>144.44443000000001</v>
      </c>
      <c r="E17" s="509"/>
      <c r="F17" s="509"/>
      <c r="G17" s="509"/>
      <c r="H17" s="509"/>
      <c r="I17" s="509"/>
      <c r="J17" s="509"/>
      <c r="K17" s="509"/>
      <c r="L17" s="509"/>
      <c r="M17" s="506"/>
      <c r="N17" s="509"/>
      <c r="O17" s="509"/>
      <c r="P17" s="509"/>
      <c r="Q17" s="509"/>
      <c r="R17" s="509"/>
      <c r="S17" s="509"/>
      <c r="T17" s="509"/>
      <c r="U17" s="509"/>
      <c r="V17" s="506"/>
      <c r="W17" s="509"/>
      <c r="X17" s="509"/>
      <c r="Y17" s="509"/>
      <c r="Z17" s="509"/>
      <c r="AA17" s="509"/>
      <c r="AB17" s="509"/>
      <c r="AC17" s="509"/>
      <c r="AD17" s="509"/>
      <c r="AE17" s="506">
        <f t="shared" si="12"/>
        <v>144.44443000000001</v>
      </c>
      <c r="AF17" s="506"/>
      <c r="AG17" s="506">
        <f t="shared" si="13"/>
        <v>144.44443000000001</v>
      </c>
      <c r="AH17" s="509"/>
      <c r="AI17" s="509"/>
      <c r="AJ17" s="509"/>
      <c r="AK17" s="509"/>
      <c r="AL17" s="509"/>
    </row>
    <row r="18" spans="1:38" s="5" customFormat="1" ht="12" thickBot="1">
      <c r="A18" s="492" t="str">
        <f>'1-συμβολαια'!A18</f>
        <v>7ο</v>
      </c>
      <c r="B18" s="624" t="str">
        <f>'1-συμβολαια'!C18</f>
        <v>*καθετου συστάσεως 2.539 ΔΙΟΡΘΩΣΗ</v>
      </c>
      <c r="C18" s="568">
        <f>'1-συμβολαια'!D18</f>
        <v>0</v>
      </c>
      <c r="D18" s="568"/>
      <c r="E18" s="624"/>
      <c r="F18" s="624"/>
      <c r="G18" s="624"/>
      <c r="H18" s="624"/>
      <c r="I18" s="624"/>
      <c r="J18" s="624"/>
      <c r="K18" s="624"/>
      <c r="L18" s="624"/>
      <c r="M18" s="568">
        <f t="shared" si="14"/>
        <v>0</v>
      </c>
      <c r="N18" s="624"/>
      <c r="O18" s="624"/>
      <c r="P18" s="624"/>
      <c r="Q18" s="624"/>
      <c r="R18" s="624"/>
      <c r="S18" s="624"/>
      <c r="T18" s="624"/>
      <c r="U18" s="624"/>
      <c r="V18" s="568">
        <f t="shared" si="15"/>
        <v>0</v>
      </c>
      <c r="W18" s="624"/>
      <c r="X18" s="624"/>
      <c r="Y18" s="624"/>
      <c r="Z18" s="624"/>
      <c r="AA18" s="624"/>
      <c r="AB18" s="624"/>
      <c r="AC18" s="624"/>
      <c r="AD18" s="624"/>
      <c r="AE18" s="568">
        <f t="shared" si="12"/>
        <v>0</v>
      </c>
      <c r="AF18" s="568"/>
      <c r="AG18" s="568">
        <f t="shared" si="13"/>
        <v>0</v>
      </c>
      <c r="AH18" s="503"/>
      <c r="AI18" s="503"/>
      <c r="AJ18" s="503"/>
      <c r="AK18" s="503"/>
      <c r="AL18" s="503"/>
    </row>
    <row r="19" spans="1:38" s="5" customFormat="1" ht="12" thickBot="1">
      <c r="A19" s="492" t="str">
        <f>'1-συμβολαια'!A19</f>
        <v>8ο</v>
      </c>
      <c r="B19" s="624" t="str">
        <f>'1-συμβολαια'!C19</f>
        <v>*γονικής 2.540 ΔΙΟΡΘΩΣΗ</v>
      </c>
      <c r="C19" s="568">
        <f>'1-συμβολαια'!D19</f>
        <v>0</v>
      </c>
      <c r="D19" s="568"/>
      <c r="E19" s="624"/>
      <c r="F19" s="624"/>
      <c r="G19" s="624"/>
      <c r="H19" s="624"/>
      <c r="I19" s="624"/>
      <c r="J19" s="624"/>
      <c r="K19" s="624"/>
      <c r="L19" s="624"/>
      <c r="M19" s="568">
        <f t="shared" si="14"/>
        <v>0</v>
      </c>
      <c r="N19" s="624"/>
      <c r="O19" s="624"/>
      <c r="P19" s="624"/>
      <c r="Q19" s="624"/>
      <c r="R19" s="624"/>
      <c r="S19" s="624"/>
      <c r="T19" s="624"/>
      <c r="U19" s="624"/>
      <c r="V19" s="568">
        <f t="shared" si="15"/>
        <v>0</v>
      </c>
      <c r="W19" s="570"/>
      <c r="X19" s="570"/>
      <c r="Y19" s="570"/>
      <c r="Z19" s="570"/>
      <c r="AA19" s="570"/>
      <c r="AB19" s="570"/>
      <c r="AC19" s="570"/>
      <c r="AD19" s="570"/>
      <c r="AE19" s="505">
        <f t="shared" si="12"/>
        <v>0</v>
      </c>
      <c r="AF19" s="505"/>
      <c r="AG19" s="505">
        <f t="shared" si="13"/>
        <v>0</v>
      </c>
      <c r="AH19" s="509"/>
      <c r="AI19" s="509"/>
      <c r="AJ19" s="71"/>
      <c r="AK19" s="71"/>
      <c r="AL19" s="71"/>
    </row>
    <row r="20" spans="1:38" s="5" customFormat="1">
      <c r="A20" s="673" t="str">
        <f>'1-συμβολαια'!A20</f>
        <v>9ο</v>
      </c>
      <c r="B20" s="503" t="str">
        <f>'1-συμβολαια'!C20</f>
        <v>γονική</v>
      </c>
      <c r="C20" s="314">
        <f>'1-συμβολαια'!D20</f>
        <v>1400</v>
      </c>
      <c r="D20" s="314"/>
      <c r="E20" s="503"/>
      <c r="F20" s="503"/>
      <c r="G20" s="503"/>
      <c r="H20" s="503"/>
      <c r="I20" s="503"/>
      <c r="J20" s="503"/>
      <c r="K20" s="503"/>
      <c r="L20" s="503"/>
      <c r="M20" s="314">
        <f t="shared" si="14"/>
        <v>9.1000000000000014</v>
      </c>
      <c r="N20" s="503"/>
      <c r="O20" s="503"/>
      <c r="P20" s="503"/>
      <c r="Q20" s="503"/>
      <c r="R20" s="503"/>
      <c r="S20" s="503"/>
      <c r="T20" s="503"/>
      <c r="U20" s="503"/>
      <c r="V20" s="314">
        <f t="shared" si="15"/>
        <v>1.75</v>
      </c>
      <c r="W20" s="503"/>
      <c r="X20" s="503"/>
      <c r="Y20" s="503"/>
      <c r="Z20" s="503"/>
      <c r="AA20" s="503"/>
      <c r="AB20" s="503"/>
      <c r="AC20" s="503"/>
      <c r="AD20" s="503"/>
      <c r="AE20" s="314">
        <f t="shared" si="12"/>
        <v>10.850000000000001</v>
      </c>
      <c r="AF20" s="314"/>
      <c r="AG20" s="314">
        <f t="shared" si="13"/>
        <v>10.850000000000001</v>
      </c>
      <c r="AH20" s="503"/>
      <c r="AI20" s="503"/>
      <c r="AJ20" s="71"/>
      <c r="AK20" s="71"/>
      <c r="AL20" s="71"/>
    </row>
    <row r="21" spans="1:38" s="5" customFormat="1" ht="12" thickBot="1">
      <c r="A21" s="556">
        <f>'1-συμβολαια'!A21</f>
        <v>0</v>
      </c>
      <c r="B21" s="509" t="str">
        <f>'1-συμβολαια'!C21</f>
        <v>ΧΡΗΣΙΚΤΗΣΙΑ οικοπέδου ΄΄κάστρο'' 52,50μ2 = 1970 κυδωνηςΙωαννης ΔΩΡΕΑ άτυπη</v>
      </c>
      <c r="C21" s="506">
        <f>'1-συμβολαια'!D21</f>
        <v>111.11</v>
      </c>
      <c r="D21" s="506"/>
      <c r="E21" s="509"/>
      <c r="F21" s="509"/>
      <c r="G21" s="509"/>
      <c r="H21" s="509"/>
      <c r="I21" s="509"/>
      <c r="J21" s="509"/>
      <c r="K21" s="509"/>
      <c r="L21" s="509"/>
      <c r="M21" s="506">
        <f t="shared" si="14"/>
        <v>0.72221500000000005</v>
      </c>
      <c r="N21" s="509"/>
      <c r="O21" s="509"/>
      <c r="P21" s="509"/>
      <c r="Q21" s="509"/>
      <c r="R21" s="509"/>
      <c r="S21" s="509"/>
      <c r="T21" s="509"/>
      <c r="U21" s="509"/>
      <c r="V21" s="506">
        <f t="shared" si="15"/>
        <v>0.1388875</v>
      </c>
      <c r="W21" s="509"/>
      <c r="X21" s="509"/>
      <c r="Y21" s="509"/>
      <c r="Z21" s="509"/>
      <c r="AA21" s="509"/>
      <c r="AB21" s="509"/>
      <c r="AC21" s="509"/>
      <c r="AD21" s="509"/>
      <c r="AE21" s="506">
        <f t="shared" si="12"/>
        <v>0.8611025000000001</v>
      </c>
      <c r="AF21" s="506"/>
      <c r="AG21" s="506">
        <f t="shared" si="13"/>
        <v>0.8611025000000001</v>
      </c>
      <c r="AH21" s="509"/>
      <c r="AI21" s="509"/>
      <c r="AJ21" s="71"/>
      <c r="AK21" s="71"/>
      <c r="AL21" s="71"/>
    </row>
    <row r="22" spans="1:38">
      <c r="A22" s="843" t="str">
        <f>'1-συμβολαια'!A22</f>
        <v>σύνολο</v>
      </c>
      <c r="B22" s="844"/>
      <c r="C22" s="845"/>
      <c r="D22" s="370">
        <f>SUM(D3:D21)</f>
        <v>249.86143000000004</v>
      </c>
      <c r="E22" s="407"/>
      <c r="F22" s="407"/>
      <c r="G22" s="407"/>
      <c r="H22" s="407"/>
      <c r="I22" s="407"/>
      <c r="J22" s="407"/>
      <c r="K22" s="407"/>
      <c r="L22" s="407"/>
      <c r="M22" s="370">
        <f>SUM(M3:M21)</f>
        <v>234.90636000000001</v>
      </c>
      <c r="N22" s="407"/>
      <c r="O22" s="407"/>
      <c r="P22" s="407"/>
      <c r="Q22" s="407"/>
      <c r="R22" s="407"/>
      <c r="S22" s="407"/>
      <c r="T22" s="407"/>
      <c r="U22" s="407"/>
      <c r="V22" s="370">
        <f>SUM(V3:V21)</f>
        <v>45.174300000000002</v>
      </c>
      <c r="W22" s="407"/>
      <c r="X22" s="407"/>
      <c r="Y22" s="407"/>
      <c r="Z22" s="407"/>
      <c r="AA22" s="407"/>
      <c r="AB22" s="407"/>
      <c r="AC22" s="407"/>
      <c r="AD22" s="407"/>
      <c r="AE22" s="370">
        <f>SUM(AE3:AE21)</f>
        <v>529.94209000000012</v>
      </c>
      <c r="AF22" s="370">
        <f>SUM(AF3:AF21)</f>
        <v>207.20999999999998</v>
      </c>
      <c r="AG22" s="370">
        <f>SUM(AG3:AG21)</f>
        <v>322.73209000000008</v>
      </c>
      <c r="AH22" s="407">
        <f>SUM(AH3:AH21)</f>
        <v>0</v>
      </c>
      <c r="AI22" s="407"/>
      <c r="AJ22" s="407"/>
      <c r="AK22" s="407"/>
      <c r="AL22" s="407"/>
    </row>
    <row r="24" spans="1:38">
      <c r="E24" s="2"/>
      <c r="F24" s="2"/>
      <c r="G24" s="2"/>
      <c r="H24" s="151" t="s">
        <v>337</v>
      </c>
      <c r="I24" s="2"/>
      <c r="J24" s="2"/>
      <c r="K24" s="2"/>
      <c r="L24" s="2"/>
      <c r="M24" s="2"/>
      <c r="N24" s="2"/>
      <c r="O24" s="2"/>
      <c r="P24" s="2"/>
      <c r="Q24" s="151" t="s">
        <v>337</v>
      </c>
      <c r="R24" s="2"/>
      <c r="S24" s="2"/>
      <c r="T24" s="2"/>
      <c r="U24" s="2"/>
      <c r="V24" s="2"/>
      <c r="W24" s="2"/>
      <c r="X24" s="2"/>
      <c r="Y24" s="2"/>
      <c r="Z24" s="151" t="s">
        <v>337</v>
      </c>
      <c r="AA24" s="2"/>
      <c r="AB24" s="2"/>
      <c r="AC24" s="2"/>
      <c r="AD24" s="2"/>
      <c r="AE24" s="2"/>
    </row>
    <row r="25" spans="1:38">
      <c r="E25" s="2"/>
      <c r="F25" s="185" t="s">
        <v>338</v>
      </c>
      <c r="G25" s="185"/>
      <c r="H25" s="185"/>
      <c r="I25" s="185"/>
      <c r="J25" s="185"/>
      <c r="K25" s="185"/>
      <c r="L25" s="185"/>
      <c r="M25" s="185"/>
      <c r="N25" s="185"/>
      <c r="O25" s="185" t="s">
        <v>338</v>
      </c>
      <c r="P25" s="2"/>
      <c r="Q25" s="2"/>
      <c r="R25" s="2"/>
      <c r="S25" s="2"/>
      <c r="T25" s="2"/>
      <c r="U25" s="2"/>
      <c r="V25" s="2"/>
      <c r="W25" s="2"/>
      <c r="X25" s="185" t="s">
        <v>338</v>
      </c>
      <c r="Y25" s="2"/>
      <c r="Z25" s="2"/>
      <c r="AA25" s="2"/>
      <c r="AB25" s="2"/>
      <c r="AC25" s="2"/>
      <c r="AD25" s="2"/>
      <c r="AE25" s="2"/>
    </row>
    <row r="26" spans="1:38">
      <c r="E26" s="2"/>
      <c r="F26" s="2"/>
      <c r="G26" s="2"/>
      <c r="H26" s="2"/>
      <c r="I26" s="4"/>
      <c r="J26" s="155" t="s">
        <v>339</v>
      </c>
      <c r="K26" s="151"/>
      <c r="L26" s="2"/>
      <c r="M26" s="2"/>
      <c r="N26" s="2"/>
      <c r="O26" s="2"/>
      <c r="P26" s="2"/>
      <c r="Q26" s="4"/>
      <c r="R26" s="155" t="s">
        <v>340</v>
      </c>
      <c r="S26" s="155"/>
      <c r="T26" s="155"/>
      <c r="U26" s="155"/>
      <c r="V26" s="4"/>
      <c r="W26" s="4"/>
      <c r="X26" s="4"/>
      <c r="Y26" s="4"/>
      <c r="Z26" s="4"/>
      <c r="AA26" s="155" t="s">
        <v>340</v>
      </c>
      <c r="AB26" s="155"/>
      <c r="AC26" s="155"/>
      <c r="AD26" s="151"/>
      <c r="AE26" s="2"/>
    </row>
    <row r="27" spans="1:38">
      <c r="E27" s="2"/>
      <c r="F27" s="2"/>
      <c r="G27" s="2"/>
      <c r="H27" s="2"/>
      <c r="I27" s="155" t="s">
        <v>340</v>
      </c>
      <c r="J27" s="4"/>
      <c r="K27" s="2"/>
      <c r="L27" s="2"/>
      <c r="M27" s="2"/>
      <c r="N27" s="2"/>
      <c r="O27" s="2"/>
      <c r="P27" s="2"/>
      <c r="Q27" s="4"/>
      <c r="R27" s="4"/>
      <c r="S27" s="155" t="s">
        <v>339</v>
      </c>
      <c r="T27" s="155"/>
      <c r="U27" s="4"/>
      <c r="V27" s="4"/>
      <c r="W27" s="4"/>
      <c r="X27" s="4"/>
      <c r="Y27" s="4"/>
      <c r="Z27" s="4"/>
      <c r="AA27" s="4"/>
      <c r="AB27" s="155" t="s">
        <v>339</v>
      </c>
      <c r="AC27" s="155"/>
      <c r="AD27" s="2"/>
      <c r="AE27" s="2"/>
    </row>
    <row r="28" spans="1:38">
      <c r="E28" s="2"/>
      <c r="F28" s="2"/>
      <c r="G28" s="2"/>
      <c r="H28" s="2"/>
      <c r="I28" s="4"/>
      <c r="J28" s="4"/>
      <c r="K28" s="2"/>
      <c r="L28" s="2"/>
      <c r="M28" s="2"/>
      <c r="N28" s="2"/>
      <c r="O28" s="2"/>
      <c r="P28" s="2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2"/>
      <c r="AE28" s="2"/>
    </row>
    <row r="29" spans="1:38">
      <c r="E29" s="186" t="s">
        <v>341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187" t="s">
        <v>342</v>
      </c>
      <c r="R29" s="2"/>
      <c r="S29" s="2"/>
      <c r="T29" s="2"/>
      <c r="U29" s="2"/>
      <c r="V29" s="2"/>
      <c r="W29" s="2"/>
      <c r="X29" s="2"/>
      <c r="Y29" s="2"/>
      <c r="Z29" s="188" t="s">
        <v>343</v>
      </c>
      <c r="AA29" s="2"/>
      <c r="AB29" s="2"/>
      <c r="AC29" s="2"/>
      <c r="AD29" s="2"/>
      <c r="AE29" s="2"/>
    </row>
    <row r="30" spans="1:38">
      <c r="E30" s="189" t="s">
        <v>344</v>
      </c>
      <c r="F30" s="2"/>
      <c r="G30" s="2"/>
      <c r="H30" s="2"/>
      <c r="I30" s="2"/>
      <c r="J30" s="2"/>
      <c r="K30" s="2"/>
      <c r="L30" s="2"/>
      <c r="M30" s="7"/>
      <c r="N30" s="2"/>
      <c r="O30" s="151"/>
      <c r="P30" s="151"/>
      <c r="Q30" s="151"/>
      <c r="R30" s="151"/>
      <c r="S30" s="190" t="s">
        <v>345</v>
      </c>
      <c r="T30" s="151"/>
      <c r="U30" s="151"/>
      <c r="V30" s="151"/>
      <c r="W30" s="2"/>
      <c r="X30" s="2"/>
      <c r="Y30" s="2"/>
      <c r="Z30" s="2"/>
      <c r="AA30" s="191" t="s">
        <v>346</v>
      </c>
      <c r="AB30" s="2"/>
      <c r="AC30" s="2"/>
      <c r="AD30" s="2"/>
      <c r="AE30" s="2"/>
    </row>
    <row r="31" spans="1:38">
      <c r="E31" s="2"/>
      <c r="F31" s="189" t="s">
        <v>347</v>
      </c>
      <c r="G31" s="2"/>
      <c r="H31" s="2"/>
      <c r="I31" s="2"/>
      <c r="J31" s="2"/>
      <c r="K31" s="2"/>
      <c r="L31" s="2"/>
      <c r="M31" s="7"/>
      <c r="N31" s="2"/>
      <c r="O31" s="2"/>
      <c r="P31" s="2"/>
      <c r="Q31" s="2"/>
      <c r="R31" s="2"/>
      <c r="S31" s="192" t="s">
        <v>348</v>
      </c>
      <c r="T31" s="2"/>
      <c r="U31" s="2"/>
      <c r="V31" s="2"/>
      <c r="W31" s="2"/>
      <c r="X31" s="2"/>
      <c r="Y31" s="2"/>
      <c r="Z31" s="2"/>
      <c r="AA31" s="2"/>
      <c r="AB31" s="192" t="s">
        <v>348</v>
      </c>
      <c r="AC31" s="2"/>
      <c r="AD31" s="2"/>
      <c r="AE31" s="2"/>
    </row>
    <row r="32" spans="1:38">
      <c r="E32" s="2"/>
      <c r="F32" s="2"/>
      <c r="G32" s="2"/>
      <c r="H32" s="2"/>
      <c r="I32" s="2"/>
      <c r="J32" s="2"/>
      <c r="K32" s="2"/>
      <c r="L32" s="2"/>
      <c r="M32" s="7"/>
      <c r="N32" s="2"/>
      <c r="O32" s="2"/>
      <c r="P32" s="151"/>
      <c r="Q32" s="151"/>
      <c r="R32" s="151"/>
      <c r="S32" s="151"/>
      <c r="T32" s="151"/>
      <c r="U32" s="151"/>
      <c r="V32" s="151"/>
      <c r="W32" s="151"/>
      <c r="X32" s="151"/>
      <c r="Y32" s="2"/>
      <c r="Z32" s="2"/>
      <c r="AA32" s="2"/>
      <c r="AB32" s="190" t="s">
        <v>345</v>
      </c>
      <c r="AC32" s="2"/>
      <c r="AD32" s="2"/>
      <c r="AE32" s="2"/>
    </row>
    <row r="33" spans="5:31">
      <c r="E33" s="2"/>
      <c r="F33" s="2"/>
      <c r="G33" s="2"/>
      <c r="H33" s="2"/>
      <c r="I33" s="2"/>
      <c r="J33" s="2"/>
      <c r="K33" s="2"/>
      <c r="L33" s="2"/>
      <c r="M33" s="7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</sheetData>
  <mergeCells count="10">
    <mergeCell ref="A22:C22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2026-01-31T19:12:53Z</dcterms:modified>
</cp:coreProperties>
</file>