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 activeTab="1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R9" i="5"/>
  <c r="R8"/>
  <c r="R7"/>
  <c r="R39"/>
  <c r="R38"/>
  <c r="R37"/>
  <c r="R43"/>
  <c r="R42"/>
  <c r="R41"/>
  <c r="P43"/>
  <c r="P42"/>
  <c r="P41"/>
  <c r="P39"/>
  <c r="P38"/>
  <c r="P37"/>
  <c r="R35"/>
  <c r="P35"/>
  <c r="R34"/>
  <c r="R33"/>
  <c r="P34"/>
  <c r="P33"/>
  <c r="H28" i="16" l="1"/>
  <c r="A23" i="13"/>
  <c r="B23"/>
  <c r="C23"/>
  <c r="AE16" i="26"/>
  <c r="AE12"/>
  <c r="N21" i="1"/>
  <c r="N20"/>
  <c r="N19"/>
  <c r="N17"/>
  <c r="N16"/>
  <c r="N15"/>
  <c r="N13"/>
  <c r="N12"/>
  <c r="N11"/>
  <c r="N9"/>
  <c r="N8"/>
  <c r="N7"/>
  <c r="N5"/>
  <c r="N4"/>
  <c r="N3"/>
  <c r="G22" i="5"/>
  <c r="AY3" i="24"/>
  <c r="AW3"/>
  <c r="AJ19"/>
  <c r="AJ15"/>
  <c r="AJ11"/>
  <c r="AJ7"/>
  <c r="AJ3"/>
  <c r="BY24"/>
  <c r="BX3"/>
  <c r="BX4"/>
  <c r="BX5"/>
  <c r="BX7"/>
  <c r="BX8"/>
  <c r="BX9"/>
  <c r="BX11"/>
  <c r="BX12"/>
  <c r="BX13"/>
  <c r="BX15"/>
  <c r="BX16"/>
  <c r="BX17"/>
  <c r="BX19"/>
  <c r="BX20"/>
  <c r="BX21"/>
  <c r="BW24"/>
  <c r="BV24"/>
  <c r="BU24"/>
  <c r="BT24"/>
  <c r="BS24"/>
  <c r="P24" i="20"/>
  <c r="Q24"/>
  <c r="R24"/>
  <c r="S24"/>
  <c r="T24"/>
  <c r="U24"/>
  <c r="W3"/>
  <c r="W4"/>
  <c r="W5"/>
  <c r="W7"/>
  <c r="W8"/>
  <c r="W9"/>
  <c r="W11"/>
  <c r="W12"/>
  <c r="W13"/>
  <c r="W15"/>
  <c r="W16"/>
  <c r="W17"/>
  <c r="W19"/>
  <c r="W20"/>
  <c r="W21"/>
  <c r="BX24" i="24" l="1"/>
  <c r="F3"/>
  <c r="F4"/>
  <c r="F5"/>
  <c r="F7"/>
  <c r="F8"/>
  <c r="F9"/>
  <c r="F11"/>
  <c r="F12"/>
  <c r="F13"/>
  <c r="F15"/>
  <c r="F16"/>
  <c r="F17"/>
  <c r="F19"/>
  <c r="F20"/>
  <c r="F21"/>
  <c r="AN22" i="16" l="1"/>
  <c r="R15"/>
  <c r="R11"/>
  <c r="M90" i="1"/>
  <c r="L90"/>
  <c r="K90"/>
  <c r="I90"/>
  <c r="H90"/>
  <c r="G90"/>
  <c r="M78"/>
  <c r="L78"/>
  <c r="K78"/>
  <c r="I78"/>
  <c r="H78"/>
  <c r="G78"/>
  <c r="M66"/>
  <c r="L66"/>
  <c r="K66"/>
  <c r="I66"/>
  <c r="H66"/>
  <c r="G66"/>
  <c r="M54"/>
  <c r="L54"/>
  <c r="K54"/>
  <c r="I54"/>
  <c r="H54"/>
  <c r="G54"/>
  <c r="M42"/>
  <c r="L42"/>
  <c r="J19"/>
  <c r="N90" l="1"/>
  <c r="N78"/>
  <c r="N54"/>
  <c r="N66"/>
  <c r="K42" l="1"/>
  <c r="N42" s="1"/>
  <c r="G42"/>
  <c r="H42"/>
  <c r="I42"/>
  <c r="I3" i="13"/>
  <c r="I4"/>
  <c r="I5"/>
  <c r="I7"/>
  <c r="I8"/>
  <c r="I9"/>
  <c r="I11"/>
  <c r="I12"/>
  <c r="I13"/>
  <c r="I15"/>
  <c r="I16"/>
  <c r="I17"/>
  <c r="I19"/>
  <c r="I20"/>
  <c r="I21"/>
  <c r="V3" i="5" l="1"/>
  <c r="L3" s="1"/>
  <c r="V4"/>
  <c r="L4" s="1"/>
  <c r="V5"/>
  <c r="L5" s="1"/>
  <c r="V7"/>
  <c r="L7" s="1"/>
  <c r="V8"/>
  <c r="L8" s="1"/>
  <c r="V9"/>
  <c r="L9" s="1"/>
  <c r="V11"/>
  <c r="L11" s="1"/>
  <c r="V12"/>
  <c r="L12" s="1"/>
  <c r="V13"/>
  <c r="L13" s="1"/>
  <c r="V15"/>
  <c r="L15" s="1"/>
  <c r="V16"/>
  <c r="L16" s="1"/>
  <c r="V17"/>
  <c r="L17" s="1"/>
  <c r="V19"/>
  <c r="L19" s="1"/>
  <c r="V20"/>
  <c r="L20" s="1"/>
  <c r="V21"/>
  <c r="L21" s="1"/>
  <c r="V23"/>
  <c r="Y23"/>
  <c r="Y21"/>
  <c r="Y20"/>
  <c r="Y19"/>
  <c r="Y17"/>
  <c r="Y16"/>
  <c r="Y15"/>
  <c r="Y13"/>
  <c r="Y12"/>
  <c r="Y11"/>
  <c r="Y9"/>
  <c r="Y8"/>
  <c r="Y7"/>
  <c r="Y5"/>
  <c r="Y4"/>
  <c r="Y3"/>
  <c r="G19" i="12"/>
  <c r="G15"/>
  <c r="G11"/>
  <c r="G7"/>
  <c r="G3"/>
  <c r="G3" i="15" l="1"/>
  <c r="G4"/>
  <c r="G5"/>
  <c r="G7"/>
  <c r="G8"/>
  <c r="G9"/>
  <c r="G11"/>
  <c r="G12"/>
  <c r="G13"/>
  <c r="G15"/>
  <c r="G16"/>
  <c r="G17"/>
  <c r="G19"/>
  <c r="G20"/>
  <c r="G21"/>
  <c r="G23"/>
  <c r="AY34" i="24" l="1"/>
  <c r="F3" i="4" l="1"/>
  <c r="F7"/>
  <c r="F11"/>
  <c r="F15"/>
  <c r="F19"/>
  <c r="F3" i="12"/>
  <c r="F4"/>
  <c r="F5"/>
  <c r="F7"/>
  <c r="F8"/>
  <c r="F9"/>
  <c r="F11"/>
  <c r="F12"/>
  <c r="F13"/>
  <c r="F15"/>
  <c r="F16"/>
  <c r="F17"/>
  <c r="F19"/>
  <c r="F19" i="1" s="1"/>
  <c r="F20" i="12"/>
  <c r="F21"/>
  <c r="X24" i="9"/>
  <c r="V24" i="20"/>
  <c r="P24" i="4"/>
  <c r="BB3" i="24"/>
  <c r="BB4"/>
  <c r="BB5"/>
  <c r="BB7"/>
  <c r="BB8"/>
  <c r="BB9"/>
  <c r="BB11"/>
  <c r="BB12"/>
  <c r="BB13"/>
  <c r="BB15"/>
  <c r="BB16"/>
  <c r="BB17"/>
  <c r="BB19"/>
  <c r="BB20"/>
  <c r="BB21"/>
  <c r="AV3"/>
  <c r="AV4"/>
  <c r="AV5"/>
  <c r="AV7"/>
  <c r="AV8"/>
  <c r="AV9"/>
  <c r="AV11"/>
  <c r="AV12"/>
  <c r="AV13"/>
  <c r="AV15"/>
  <c r="AV16"/>
  <c r="AV17"/>
  <c r="AV19"/>
  <c r="AV20"/>
  <c r="AV21"/>
  <c r="R24"/>
  <c r="Q24" l="1"/>
  <c r="Q3" i="4"/>
  <c r="Q4"/>
  <c r="Q5"/>
  <c r="Q7"/>
  <c r="Q8"/>
  <c r="Q9"/>
  <c r="Q11"/>
  <c r="Q12"/>
  <c r="Q13"/>
  <c r="Q15"/>
  <c r="Q16"/>
  <c r="Q17"/>
  <c r="Q19"/>
  <c r="Q20"/>
  <c r="Q21"/>
  <c r="AM3" i="16"/>
  <c r="AN3" s="1"/>
  <c r="AM4"/>
  <c r="AN4" s="1"/>
  <c r="AM5"/>
  <c r="AN5" s="1"/>
  <c r="AM7"/>
  <c r="AN7" s="1"/>
  <c r="AM8"/>
  <c r="AN8" s="1"/>
  <c r="AM9"/>
  <c r="AN9" s="1"/>
  <c r="AM11"/>
  <c r="AN11" s="1"/>
  <c r="AM12"/>
  <c r="AN12" s="1"/>
  <c r="AM13"/>
  <c r="AN13" s="1"/>
  <c r="AM15"/>
  <c r="AN15" s="1"/>
  <c r="AM16"/>
  <c r="AN16" s="1"/>
  <c r="AM17"/>
  <c r="AN17" s="1"/>
  <c r="AM19"/>
  <c r="AN19" s="1"/>
  <c r="AM20"/>
  <c r="AN20" s="1"/>
  <c r="AM21"/>
  <c r="BR21" i="24"/>
  <c r="BR20"/>
  <c r="BR19"/>
  <c r="BR17"/>
  <c r="BR16"/>
  <c r="BR15"/>
  <c r="BR13"/>
  <c r="BR12"/>
  <c r="BR11"/>
  <c r="BR9"/>
  <c r="BR8"/>
  <c r="BR7"/>
  <c r="BR5"/>
  <c r="BR4"/>
  <c r="BR3"/>
  <c r="AF21"/>
  <c r="AF20"/>
  <c r="AF19"/>
  <c r="AF17"/>
  <c r="AF16"/>
  <c r="AF15"/>
  <c r="AF13"/>
  <c r="AF12"/>
  <c r="AF11"/>
  <c r="AF9"/>
  <c r="AF8"/>
  <c r="AF7"/>
  <c r="AF5"/>
  <c r="AF4"/>
  <c r="AF3"/>
  <c r="D21" l="1"/>
  <c r="D9"/>
  <c r="D11"/>
  <c r="D20"/>
  <c r="D16"/>
  <c r="D12"/>
  <c r="D8"/>
  <c r="D4"/>
  <c r="D17"/>
  <c r="D13"/>
  <c r="D5"/>
  <c r="D19"/>
  <c r="D15"/>
  <c r="D7"/>
  <c r="D3"/>
  <c r="M29" i="27"/>
  <c r="M28"/>
  <c r="I3" i="4"/>
  <c r="I7"/>
  <c r="I11"/>
  <c r="I15"/>
  <c r="I19"/>
  <c r="I19" i="1" s="1"/>
  <c r="P24" i="24" l="1"/>
  <c r="AR24"/>
  <c r="AS24"/>
  <c r="V24"/>
  <c r="J3" i="1"/>
  <c r="J4"/>
  <c r="J5"/>
  <c r="J7"/>
  <c r="J8"/>
  <c r="J9"/>
  <c r="J11"/>
  <c r="J12"/>
  <c r="J13"/>
  <c r="J15"/>
  <c r="J16"/>
  <c r="J17"/>
  <c r="J20"/>
  <c r="J21"/>
  <c r="J23"/>
  <c r="T24" i="23"/>
  <c r="T24" i="24"/>
  <c r="U24"/>
  <c r="V24" i="9"/>
  <c r="W24"/>
  <c r="Y24"/>
  <c r="Z24"/>
  <c r="M24" i="5" l="1"/>
  <c r="O24"/>
  <c r="AD24" i="16" l="1"/>
  <c r="AE24"/>
  <c r="AF24"/>
  <c r="AH24"/>
  <c r="AI24"/>
  <c r="AL24"/>
  <c r="AM24"/>
  <c r="M24" i="9"/>
  <c r="D24" i="15" l="1"/>
  <c r="E24"/>
  <c r="F24"/>
  <c r="G24" l="1"/>
  <c r="F3" i="1" l="1"/>
  <c r="F4"/>
  <c r="F5"/>
  <c r="F7"/>
  <c r="F8"/>
  <c r="F9"/>
  <c r="F11"/>
  <c r="F12"/>
  <c r="F13"/>
  <c r="F15"/>
  <c r="F16"/>
  <c r="F17"/>
  <c r="F20"/>
  <c r="F21"/>
  <c r="F23"/>
  <c r="T24" i="5" l="1"/>
  <c r="R24"/>
  <c r="C23" l="1"/>
  <c r="B23"/>
  <c r="A23"/>
  <c r="E21"/>
  <c r="D21"/>
  <c r="C21"/>
  <c r="A21"/>
  <c r="E20"/>
  <c r="D20"/>
  <c r="C20"/>
  <c r="A20"/>
  <c r="E19"/>
  <c r="D19"/>
  <c r="C19"/>
  <c r="B19"/>
  <c r="A19"/>
  <c r="E17"/>
  <c r="D17"/>
  <c r="C17"/>
  <c r="A17"/>
  <c r="E16"/>
  <c r="D16"/>
  <c r="C16"/>
  <c r="A16"/>
  <c r="E15"/>
  <c r="D15"/>
  <c r="C15"/>
  <c r="B15"/>
  <c r="A15"/>
  <c r="E13"/>
  <c r="D13"/>
  <c r="C13"/>
  <c r="A13"/>
  <c r="E12"/>
  <c r="D12"/>
  <c r="C12"/>
  <c r="A12"/>
  <c r="E11"/>
  <c r="D11"/>
  <c r="C11"/>
  <c r="B11"/>
  <c r="A11"/>
  <c r="E9"/>
  <c r="D9"/>
  <c r="C9"/>
  <c r="A9"/>
  <c r="E8"/>
  <c r="D8"/>
  <c r="C8"/>
  <c r="A8"/>
  <c r="E7"/>
  <c r="D7"/>
  <c r="C7"/>
  <c r="B7"/>
  <c r="A7"/>
  <c r="E5"/>
  <c r="D5"/>
  <c r="C5"/>
  <c r="A5"/>
  <c r="E4"/>
  <c r="D4"/>
  <c r="C4"/>
  <c r="A4"/>
  <c r="E3"/>
  <c r="D3"/>
  <c r="C3"/>
  <c r="B3"/>
  <c r="A3"/>
  <c r="Y24" l="1"/>
  <c r="C23" i="28" l="1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24" i="10"/>
  <c r="Q24" l="1"/>
  <c r="O24"/>
  <c r="L23"/>
  <c r="J23"/>
  <c r="H23"/>
  <c r="G23"/>
  <c r="E23"/>
  <c r="C23"/>
  <c r="A23"/>
  <c r="L22"/>
  <c r="J22"/>
  <c r="H22"/>
  <c r="G22"/>
  <c r="E22"/>
  <c r="C22"/>
  <c r="A22"/>
  <c r="L21"/>
  <c r="J21"/>
  <c r="H21"/>
  <c r="G21"/>
  <c r="E21"/>
  <c r="C21"/>
  <c r="A21"/>
  <c r="L20"/>
  <c r="J20"/>
  <c r="H20"/>
  <c r="G20"/>
  <c r="E20"/>
  <c r="C20"/>
  <c r="A20"/>
  <c r="L19"/>
  <c r="J19"/>
  <c r="H19"/>
  <c r="G19"/>
  <c r="E19"/>
  <c r="C19"/>
  <c r="A19"/>
  <c r="L18"/>
  <c r="J18"/>
  <c r="H18"/>
  <c r="G18"/>
  <c r="E18"/>
  <c r="C18"/>
  <c r="A18"/>
  <c r="L17"/>
  <c r="J17"/>
  <c r="H17"/>
  <c r="G17"/>
  <c r="E17"/>
  <c r="C17"/>
  <c r="A17"/>
  <c r="L16"/>
  <c r="J16"/>
  <c r="H16"/>
  <c r="G16"/>
  <c r="E16"/>
  <c r="C16"/>
  <c r="A16"/>
  <c r="L15"/>
  <c r="J15"/>
  <c r="H15"/>
  <c r="G15"/>
  <c r="E15"/>
  <c r="C15"/>
  <c r="A15"/>
  <c r="L14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24" l="1"/>
  <c r="A23" i="22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23" i="8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U24" i="9" l="1"/>
  <c r="T24"/>
  <c r="J24" l="1"/>
  <c r="I24"/>
  <c r="H24"/>
  <c r="G24"/>
  <c r="F24"/>
  <c r="E24"/>
  <c r="D23"/>
  <c r="C23"/>
  <c r="B23"/>
  <c r="A23"/>
  <c r="D21"/>
  <c r="C21"/>
  <c r="B21"/>
  <c r="A21"/>
  <c r="D20"/>
  <c r="C20"/>
  <c r="B20"/>
  <c r="A20"/>
  <c r="D19"/>
  <c r="C19"/>
  <c r="B19"/>
  <c r="A19"/>
  <c r="D17"/>
  <c r="C17"/>
  <c r="B17"/>
  <c r="A17"/>
  <c r="D16"/>
  <c r="C16"/>
  <c r="B16"/>
  <c r="A16"/>
  <c r="D15"/>
  <c r="C15"/>
  <c r="B15"/>
  <c r="A15"/>
  <c r="D13"/>
  <c r="C13"/>
  <c r="B13"/>
  <c r="A13"/>
  <c r="D12"/>
  <c r="C12"/>
  <c r="B12"/>
  <c r="A12"/>
  <c r="D11"/>
  <c r="C11"/>
  <c r="B11"/>
  <c r="A11"/>
  <c r="D9"/>
  <c r="C9"/>
  <c r="B9"/>
  <c r="A9"/>
  <c r="D8"/>
  <c r="C8"/>
  <c r="B8"/>
  <c r="A8"/>
  <c r="D7"/>
  <c r="C7"/>
  <c r="B7"/>
  <c r="A7"/>
  <c r="D5"/>
  <c r="C5"/>
  <c r="B5"/>
  <c r="A5"/>
  <c r="D4"/>
  <c r="C4"/>
  <c r="B4"/>
  <c r="A4"/>
  <c r="D3"/>
  <c r="C3"/>
  <c r="B3"/>
  <c r="A3"/>
  <c r="BQ24" i="24" l="1"/>
  <c r="BN24"/>
  <c r="BM24"/>
  <c r="BL24"/>
  <c r="BK24"/>
  <c r="BJ24"/>
  <c r="BI24"/>
  <c r="BH24"/>
  <c r="BG24"/>
  <c r="BE24"/>
  <c r="BD24"/>
  <c r="BC24"/>
  <c r="BA24"/>
  <c r="AZ24"/>
  <c r="AY24"/>
  <c r="AX24"/>
  <c r="AW24"/>
  <c r="AU24"/>
  <c r="AQ24"/>
  <c r="AP24"/>
  <c r="AO24"/>
  <c r="AN24"/>
  <c r="AM24"/>
  <c r="AL24"/>
  <c r="AK24"/>
  <c r="AJ24"/>
  <c r="AI24"/>
  <c r="AH24"/>
  <c r="AE24"/>
  <c r="AD24"/>
  <c r="AC24"/>
  <c r="AB24"/>
  <c r="AA24"/>
  <c r="Z24"/>
  <c r="Y24"/>
  <c r="X24"/>
  <c r="W24"/>
  <c r="S24"/>
  <c r="O24"/>
  <c r="N24"/>
  <c r="M24"/>
  <c r="L24"/>
  <c r="K24"/>
  <c r="B23"/>
  <c r="A23"/>
  <c r="BF21"/>
  <c r="I21"/>
  <c r="CA21" s="1"/>
  <c r="Q21" i="9" s="1"/>
  <c r="G21" i="5" s="1"/>
  <c r="G21" i="24"/>
  <c r="B21"/>
  <c r="A21"/>
  <c r="BF20"/>
  <c r="I20"/>
  <c r="CA20" s="1"/>
  <c r="Q20" i="9" s="1"/>
  <c r="G20" i="5" s="1"/>
  <c r="G20" i="24"/>
  <c r="B20"/>
  <c r="A20"/>
  <c r="BF19"/>
  <c r="I19"/>
  <c r="CA19" s="1"/>
  <c r="Q19" i="9" s="1"/>
  <c r="G19" i="5" s="1"/>
  <c r="G19" i="24"/>
  <c r="B19"/>
  <c r="A19"/>
  <c r="BF17"/>
  <c r="I17"/>
  <c r="CA17" s="1"/>
  <c r="Q17" i="9" s="1"/>
  <c r="G17" i="5" s="1"/>
  <c r="G17" i="24"/>
  <c r="B17"/>
  <c r="A17"/>
  <c r="BF16"/>
  <c r="I16"/>
  <c r="CA16" s="1"/>
  <c r="Q16" i="9" s="1"/>
  <c r="G16" i="5" s="1"/>
  <c r="G16" i="24"/>
  <c r="B16"/>
  <c r="A16"/>
  <c r="BF15"/>
  <c r="I15"/>
  <c r="CA15" s="1"/>
  <c r="Q15" i="9" s="1"/>
  <c r="G15" i="5" s="1"/>
  <c r="G15" i="24"/>
  <c r="B15"/>
  <c r="A15"/>
  <c r="BF13"/>
  <c r="I13"/>
  <c r="CA13" s="1"/>
  <c r="Q13" i="9" s="1"/>
  <c r="G13" i="5" s="1"/>
  <c r="G13" i="24"/>
  <c r="B13"/>
  <c r="A13"/>
  <c r="BF12"/>
  <c r="I12"/>
  <c r="CA12" s="1"/>
  <c r="Q12" i="9" s="1"/>
  <c r="G12" i="5" s="1"/>
  <c r="G12" i="24"/>
  <c r="B12"/>
  <c r="A12"/>
  <c r="BF11"/>
  <c r="I11"/>
  <c r="CA11" s="1"/>
  <c r="Q11" i="9" s="1"/>
  <c r="G11" i="5" s="1"/>
  <c r="G11" i="24"/>
  <c r="B11"/>
  <c r="A11"/>
  <c r="BF9"/>
  <c r="I9"/>
  <c r="CA9" s="1"/>
  <c r="Q9" i="9" s="1"/>
  <c r="G9" i="5" s="1"/>
  <c r="G9" i="24"/>
  <c r="B9"/>
  <c r="A9"/>
  <c r="BF8"/>
  <c r="I8"/>
  <c r="CA8" s="1"/>
  <c r="Q8" i="9" s="1"/>
  <c r="G8" i="5" s="1"/>
  <c r="G8" i="24"/>
  <c r="B8"/>
  <c r="A8"/>
  <c r="BF7"/>
  <c r="I7"/>
  <c r="CA7" s="1"/>
  <c r="Q7" i="9" s="1"/>
  <c r="G7" i="5" s="1"/>
  <c r="G7" i="24"/>
  <c r="B7"/>
  <c r="A7"/>
  <c r="BF5"/>
  <c r="I5"/>
  <c r="CA5" s="1"/>
  <c r="Q5" i="9" s="1"/>
  <c r="G5" i="5" s="1"/>
  <c r="G5" i="24"/>
  <c r="B5"/>
  <c r="A5"/>
  <c r="BF4"/>
  <c r="I4"/>
  <c r="CA4" s="1"/>
  <c r="Q4" i="9" s="1"/>
  <c r="G4" i="5" s="1"/>
  <c r="G4" i="24"/>
  <c r="B4"/>
  <c r="A4"/>
  <c r="BF3"/>
  <c r="I3"/>
  <c r="CA3" s="1"/>
  <c r="Q3" i="9" s="1"/>
  <c r="G3" i="5" s="1"/>
  <c r="G3" i="24"/>
  <c r="B3"/>
  <c r="A3"/>
  <c r="BB24"/>
  <c r="C33" i="23"/>
  <c r="S24"/>
  <c r="R24"/>
  <c r="Q24"/>
  <c r="P24"/>
  <c r="O24"/>
  <c r="N24"/>
  <c r="M24"/>
  <c r="L24"/>
  <c r="K24"/>
  <c r="J24"/>
  <c r="I24"/>
  <c r="BF24" i="24" l="1"/>
  <c r="BR24"/>
  <c r="AV24"/>
  <c r="AF24"/>
  <c r="G24"/>
  <c r="F24" s="1"/>
  <c r="D24"/>
  <c r="I24"/>
  <c r="Q24" i="9" l="1"/>
  <c r="CA24" i="24"/>
  <c r="B23" i="23"/>
  <c r="A23"/>
  <c r="B21"/>
  <c r="A21"/>
  <c r="B20"/>
  <c r="A20"/>
  <c r="B19"/>
  <c r="A19"/>
  <c r="B17"/>
  <c r="A17"/>
  <c r="B16"/>
  <c r="A16"/>
  <c r="B15"/>
  <c r="A15"/>
  <c r="B13"/>
  <c r="A13"/>
  <c r="B12"/>
  <c r="A12"/>
  <c r="B11"/>
  <c r="A11"/>
  <c r="B9"/>
  <c r="A9"/>
  <c r="B8"/>
  <c r="A8"/>
  <c r="B7"/>
  <c r="A7"/>
  <c r="B5"/>
  <c r="A5"/>
  <c r="B4"/>
  <c r="A4"/>
  <c r="B3"/>
  <c r="A3"/>
  <c r="G24" i="5" l="1"/>
  <c r="H24" i="15"/>
  <c r="C23"/>
  <c r="B23"/>
  <c r="A23"/>
  <c r="C21"/>
  <c r="B21"/>
  <c r="A21"/>
  <c r="C20"/>
  <c r="B20"/>
  <c r="A20"/>
  <c r="C19"/>
  <c r="B19"/>
  <c r="A19"/>
  <c r="C17"/>
  <c r="B17"/>
  <c r="A17"/>
  <c r="C16"/>
  <c r="B16"/>
  <c r="A16"/>
  <c r="C15"/>
  <c r="B15"/>
  <c r="A15"/>
  <c r="C13"/>
  <c r="B13"/>
  <c r="A13"/>
  <c r="C12"/>
  <c r="B12"/>
  <c r="A12"/>
  <c r="C11"/>
  <c r="B11"/>
  <c r="A11"/>
  <c r="C9"/>
  <c r="B9"/>
  <c r="A9"/>
  <c r="C8"/>
  <c r="B8"/>
  <c r="A8"/>
  <c r="C7"/>
  <c r="B7"/>
  <c r="A7"/>
  <c r="C5"/>
  <c r="B5"/>
  <c r="A5"/>
  <c r="C4"/>
  <c r="B4"/>
  <c r="A4"/>
  <c r="C3"/>
  <c r="B3"/>
  <c r="A3"/>
  <c r="A24" i="27" l="1"/>
  <c r="D23"/>
  <c r="C23"/>
  <c r="B23"/>
  <c r="A23"/>
  <c r="D22"/>
  <c r="C22"/>
  <c r="B22"/>
  <c r="A22"/>
  <c r="D21"/>
  <c r="C21"/>
  <c r="B21"/>
  <c r="A21"/>
  <c r="D20"/>
  <c r="C20"/>
  <c r="B20"/>
  <c r="A20"/>
  <c r="D19"/>
  <c r="C19"/>
  <c r="B19"/>
  <c r="A19"/>
  <c r="D18"/>
  <c r="C18"/>
  <c r="B18"/>
  <c r="A18"/>
  <c r="D17"/>
  <c r="C17"/>
  <c r="B17"/>
  <c r="A17"/>
  <c r="D16"/>
  <c r="C16"/>
  <c r="B16"/>
  <c r="A16"/>
  <c r="D15"/>
  <c r="C15"/>
  <c r="B15"/>
  <c r="A15"/>
  <c r="D14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D3"/>
  <c r="C3"/>
  <c r="B3"/>
  <c r="A3"/>
  <c r="AH24" i="26"/>
  <c r="A24"/>
  <c r="AF23" l="1"/>
  <c r="C23"/>
  <c r="B23"/>
  <c r="A23"/>
  <c r="G22" i="27"/>
  <c r="AF21" i="26"/>
  <c r="C21"/>
  <c r="B21"/>
  <c r="A21"/>
  <c r="AF20"/>
  <c r="C20"/>
  <c r="D20" s="1"/>
  <c r="B20"/>
  <c r="A20"/>
  <c r="AF19"/>
  <c r="C19"/>
  <c r="B19"/>
  <c r="A19"/>
  <c r="AF17"/>
  <c r="C17"/>
  <c r="D17" s="1"/>
  <c r="B17"/>
  <c r="A17"/>
  <c r="AF16"/>
  <c r="C16"/>
  <c r="B16"/>
  <c r="A16"/>
  <c r="AF15"/>
  <c r="C15"/>
  <c r="B15"/>
  <c r="A15"/>
  <c r="AF13"/>
  <c r="C13"/>
  <c r="B13"/>
  <c r="A13"/>
  <c r="AF12"/>
  <c r="C12"/>
  <c r="B12"/>
  <c r="A12"/>
  <c r="AF11"/>
  <c r="C11"/>
  <c r="E11" i="27" s="1"/>
  <c r="B11" i="26"/>
  <c r="A11"/>
  <c r="G10" i="27"/>
  <c r="AF9" i="26"/>
  <c r="C9"/>
  <c r="D9" s="1"/>
  <c r="B9"/>
  <c r="A9"/>
  <c r="AF8"/>
  <c r="C8"/>
  <c r="B8"/>
  <c r="A8"/>
  <c r="AF7"/>
  <c r="C7"/>
  <c r="D7" s="1"/>
  <c r="B7"/>
  <c r="A7"/>
  <c r="G6" i="27"/>
  <c r="AF5" i="26"/>
  <c r="C5"/>
  <c r="B5"/>
  <c r="A5"/>
  <c r="AF4"/>
  <c r="C4"/>
  <c r="D4" s="1"/>
  <c r="B4"/>
  <c r="A4"/>
  <c r="AF3"/>
  <c r="C3"/>
  <c r="B3"/>
  <c r="A3"/>
  <c r="D21" l="1"/>
  <c r="E21" i="27" s="1"/>
  <c r="D5" i="26"/>
  <c r="E5" i="27" s="1"/>
  <c r="F10"/>
  <c r="E10"/>
  <c r="D19" i="26"/>
  <c r="E19" i="27" s="1"/>
  <c r="D8" i="26"/>
  <c r="F6" i="27"/>
  <c r="F22"/>
  <c r="D3" i="26"/>
  <c r="E3" i="27" s="1"/>
  <c r="D13" i="26"/>
  <c r="E13" i="27" s="1"/>
  <c r="E18"/>
  <c r="G18"/>
  <c r="E15"/>
  <c r="E7"/>
  <c r="G13"/>
  <c r="E14"/>
  <c r="E17"/>
  <c r="E9"/>
  <c r="E23"/>
  <c r="G14"/>
  <c r="F18"/>
  <c r="X24" i="20"/>
  <c r="O24"/>
  <c r="N24"/>
  <c r="M24"/>
  <c r="L24"/>
  <c r="K24"/>
  <c r="J24"/>
  <c r="I24"/>
  <c r="E24"/>
  <c r="B23"/>
  <c r="A23"/>
  <c r="H21" i="24"/>
  <c r="D21" i="20"/>
  <c r="C21"/>
  <c r="B21"/>
  <c r="A21"/>
  <c r="H20" i="24"/>
  <c r="D20" i="20"/>
  <c r="C20"/>
  <c r="B20"/>
  <c r="A20"/>
  <c r="H19" i="24"/>
  <c r="D19" i="20"/>
  <c r="C19"/>
  <c r="B19"/>
  <c r="A19"/>
  <c r="H17" i="24"/>
  <c r="D17" i="20"/>
  <c r="C17"/>
  <c r="B17"/>
  <c r="A17"/>
  <c r="H16" i="24"/>
  <c r="D16" i="20"/>
  <c r="C16"/>
  <c r="B16"/>
  <c r="A16"/>
  <c r="H15" i="24"/>
  <c r="D15" i="20"/>
  <c r="C15"/>
  <c r="B15"/>
  <c r="A15"/>
  <c r="H13" i="24"/>
  <c r="D13" i="20"/>
  <c r="C13"/>
  <c r="B13"/>
  <c r="A13"/>
  <c r="H12" i="24"/>
  <c r="D12" i="20"/>
  <c r="C12"/>
  <c r="B12"/>
  <c r="A12"/>
  <c r="H11" i="24"/>
  <c r="D11" i="20"/>
  <c r="C11"/>
  <c r="B11"/>
  <c r="A11"/>
  <c r="H9" i="24"/>
  <c r="D9" i="20"/>
  <c r="C9"/>
  <c r="B9"/>
  <c r="A9"/>
  <c r="H8" i="24"/>
  <c r="D8" i="20"/>
  <c r="C8"/>
  <c r="B8"/>
  <c r="A8"/>
  <c r="H7" i="24"/>
  <c r="D7" i="20"/>
  <c r="C7"/>
  <c r="B7"/>
  <c r="A7"/>
  <c r="H5" i="24"/>
  <c r="D5" i="20"/>
  <c r="C5"/>
  <c r="B5"/>
  <c r="A5"/>
  <c r="H4" i="24"/>
  <c r="D4" i="20"/>
  <c r="C4"/>
  <c r="B4"/>
  <c r="A4"/>
  <c r="H3" i="24"/>
  <c r="D3" i="20"/>
  <c r="C3"/>
  <c r="B3"/>
  <c r="A3"/>
  <c r="BK24" i="4"/>
  <c r="BJ24"/>
  <c r="BI24"/>
  <c r="BH24"/>
  <c r="BG24"/>
  <c r="BF24"/>
  <c r="BE24"/>
  <c r="BD24"/>
  <c r="BC24"/>
  <c r="BB24"/>
  <c r="BA24"/>
  <c r="AZ24"/>
  <c r="AY24"/>
  <c r="AX24"/>
  <c r="AW24"/>
  <c r="AV24"/>
  <c r="AU24"/>
  <c r="AT24"/>
  <c r="AS24"/>
  <c r="AR24"/>
  <c r="AI24"/>
  <c r="AH24"/>
  <c r="AG24"/>
  <c r="AE24"/>
  <c r="AD24"/>
  <c r="AC24"/>
  <c r="AB24"/>
  <c r="AA24"/>
  <c r="Y24"/>
  <c r="W24"/>
  <c r="T24"/>
  <c r="S24"/>
  <c r="R24"/>
  <c r="O24"/>
  <c r="N24"/>
  <c r="M24"/>
  <c r="H24"/>
  <c r="G24"/>
  <c r="F24"/>
  <c r="E24"/>
  <c r="B23"/>
  <c r="A23"/>
  <c r="E21" i="24"/>
  <c r="D21" i="4"/>
  <c r="C21"/>
  <c r="B21"/>
  <c r="A21"/>
  <c r="E20" i="24"/>
  <c r="D20" i="4"/>
  <c r="C20"/>
  <c r="B20"/>
  <c r="A20"/>
  <c r="E19" i="24"/>
  <c r="D19" i="4"/>
  <c r="C19"/>
  <c r="B19"/>
  <c r="A19"/>
  <c r="E17" i="24"/>
  <c r="D17" i="4"/>
  <c r="C17"/>
  <c r="B17"/>
  <c r="A17"/>
  <c r="E16" i="24"/>
  <c r="D16" i="4"/>
  <c r="C16"/>
  <c r="B16"/>
  <c r="A16"/>
  <c r="E15" i="24"/>
  <c r="D15" i="4"/>
  <c r="C15"/>
  <c r="B15"/>
  <c r="A15"/>
  <c r="E13" i="24"/>
  <c r="D13" i="4"/>
  <c r="C13"/>
  <c r="B13"/>
  <c r="A13"/>
  <c r="E12" i="24"/>
  <c r="D12" i="4"/>
  <c r="C12"/>
  <c r="B12"/>
  <c r="A12"/>
  <c r="E11" i="24"/>
  <c r="D11" i="4"/>
  <c r="C11"/>
  <c r="B11"/>
  <c r="A11"/>
  <c r="E9" i="24"/>
  <c r="D9" i="4"/>
  <c r="C9"/>
  <c r="B9"/>
  <c r="A9"/>
  <c r="E8" i="24"/>
  <c r="D8" i="4"/>
  <c r="C8"/>
  <c r="B8"/>
  <c r="A8"/>
  <c r="E7" i="24"/>
  <c r="D7" i="4"/>
  <c r="C7"/>
  <c r="B7"/>
  <c r="A7"/>
  <c r="E5" i="24"/>
  <c r="D5" i="4"/>
  <c r="C5"/>
  <c r="B5"/>
  <c r="A5"/>
  <c r="E4" i="24"/>
  <c r="D4" i="4"/>
  <c r="C4"/>
  <c r="B4"/>
  <c r="A4"/>
  <c r="E3" i="24"/>
  <c r="D3" i="4"/>
  <c r="C3"/>
  <c r="B3"/>
  <c r="A3"/>
  <c r="V24" i="5" l="1"/>
  <c r="AE13" i="26"/>
  <c r="AG13" s="1"/>
  <c r="F13" i="27"/>
  <c r="H24" i="24"/>
  <c r="W24" i="20"/>
  <c r="E24" i="24"/>
  <c r="Q24" i="4"/>
  <c r="I24"/>
  <c r="E22" i="27"/>
  <c r="E6"/>
  <c r="F14"/>
  <c r="AC24" i="16"/>
  <c r="AB24"/>
  <c r="AA24"/>
  <c r="W24"/>
  <c r="V24"/>
  <c r="U24"/>
  <c r="S24"/>
  <c r="R24"/>
  <c r="I13" i="5" l="1"/>
  <c r="P13" i="9"/>
  <c r="D24" i="26"/>
  <c r="M24"/>
  <c r="C23" i="16" l="1"/>
  <c r="B23"/>
  <c r="A23"/>
  <c r="C21" i="24"/>
  <c r="E21" i="16"/>
  <c r="I21" s="1"/>
  <c r="D21"/>
  <c r="H21" s="1"/>
  <c r="C21"/>
  <c r="B21"/>
  <c r="A21"/>
  <c r="C20" i="24"/>
  <c r="E20" i="16"/>
  <c r="I20" s="1"/>
  <c r="D20"/>
  <c r="H20" s="1"/>
  <c r="C20"/>
  <c r="B20"/>
  <c r="A20"/>
  <c r="C19" i="24"/>
  <c r="E19" i="16"/>
  <c r="I19" s="1"/>
  <c r="D19"/>
  <c r="H19" s="1"/>
  <c r="C19"/>
  <c r="B19"/>
  <c r="A19"/>
  <c r="C17" i="24"/>
  <c r="E17" i="16"/>
  <c r="I17" s="1"/>
  <c r="D17"/>
  <c r="H17" s="1"/>
  <c r="C17"/>
  <c r="B17"/>
  <c r="A17"/>
  <c r="C16" i="24"/>
  <c r="E16" i="16"/>
  <c r="I16" s="1"/>
  <c r="D16"/>
  <c r="H16" s="1"/>
  <c r="C16"/>
  <c r="B16"/>
  <c r="A16"/>
  <c r="C15" i="24"/>
  <c r="E15" i="16"/>
  <c r="I15" s="1"/>
  <c r="D15"/>
  <c r="H15" s="1"/>
  <c r="C15"/>
  <c r="B15"/>
  <c r="A15"/>
  <c r="C13" i="24"/>
  <c r="E13" i="16"/>
  <c r="I13" s="1"/>
  <c r="D13"/>
  <c r="H13" s="1"/>
  <c r="C13"/>
  <c r="B13"/>
  <c r="A13"/>
  <c r="C12" i="24"/>
  <c r="E12" i="16"/>
  <c r="I12" s="1"/>
  <c r="D12"/>
  <c r="H12" s="1"/>
  <c r="C12"/>
  <c r="B12"/>
  <c r="A12"/>
  <c r="C11" i="24"/>
  <c r="E11" i="16"/>
  <c r="I11" s="1"/>
  <c r="D11"/>
  <c r="H11" s="1"/>
  <c r="C11"/>
  <c r="B11"/>
  <c r="A11"/>
  <c r="C9" i="24"/>
  <c r="E9" i="16"/>
  <c r="I9" s="1"/>
  <c r="D9"/>
  <c r="H9" s="1"/>
  <c r="C9"/>
  <c r="B9"/>
  <c r="A9"/>
  <c r="C8" i="24"/>
  <c r="E8" i="16"/>
  <c r="I8" s="1"/>
  <c r="D8"/>
  <c r="H8" s="1"/>
  <c r="C8"/>
  <c r="B8"/>
  <c r="A8"/>
  <c r="C7" i="24"/>
  <c r="BZ7" s="1"/>
  <c r="R7" i="9" s="1"/>
  <c r="E7" i="16"/>
  <c r="I7" s="1"/>
  <c r="D7"/>
  <c r="H7" s="1"/>
  <c r="C7"/>
  <c r="B7"/>
  <c r="A7"/>
  <c r="C5" i="24"/>
  <c r="BZ5" s="1"/>
  <c r="R5" i="9" s="1"/>
  <c r="E5" i="16"/>
  <c r="I5" s="1"/>
  <c r="D5"/>
  <c r="H5" s="1"/>
  <c r="C5"/>
  <c r="B5"/>
  <c r="A5"/>
  <c r="C4" i="24"/>
  <c r="BZ4" s="1"/>
  <c r="R4" i="9" s="1"/>
  <c r="E4" i="16"/>
  <c r="I4" s="1"/>
  <c r="D4"/>
  <c r="H4" s="1"/>
  <c r="C4"/>
  <c r="B4"/>
  <c r="A4"/>
  <c r="C3" i="24"/>
  <c r="BZ3" s="1"/>
  <c r="R3" i="9" s="1"/>
  <c r="E3" i="16"/>
  <c r="I3" s="1"/>
  <c r="D3"/>
  <c r="H3" s="1"/>
  <c r="C3"/>
  <c r="B3"/>
  <c r="A3"/>
  <c r="BZ15" i="24" l="1"/>
  <c r="R15" i="9" s="1"/>
  <c r="BZ9" i="24"/>
  <c r="R9" i="9" s="1"/>
  <c r="BZ12" i="24"/>
  <c r="R12" i="9" s="1"/>
  <c r="BZ17" i="24"/>
  <c r="R17" i="9" s="1"/>
  <c r="BZ20" i="24"/>
  <c r="R20" i="9" s="1"/>
  <c r="BZ8" i="24"/>
  <c r="R8" i="9" s="1"/>
  <c r="BZ11" i="24"/>
  <c r="R11" i="9" s="1"/>
  <c r="BZ13" i="24"/>
  <c r="R13" i="9" s="1"/>
  <c r="BZ16" i="24"/>
  <c r="R16" i="9" s="1"/>
  <c r="BZ19" i="24"/>
  <c r="R19" i="9" s="1"/>
  <c r="BZ21" i="24"/>
  <c r="R21" i="9" s="1"/>
  <c r="P4" i="16"/>
  <c r="N4" s="1"/>
  <c r="P12"/>
  <c r="N12" s="1"/>
  <c r="P5"/>
  <c r="N5" s="1"/>
  <c r="P7"/>
  <c r="N7" s="1"/>
  <c r="P9"/>
  <c r="N9" s="1"/>
  <c r="P13"/>
  <c r="N13" s="1"/>
  <c r="P17"/>
  <c r="N17" s="1"/>
  <c r="P21"/>
  <c r="N21" s="1"/>
  <c r="P8"/>
  <c r="N8" s="1"/>
  <c r="P16"/>
  <c r="N16" s="1"/>
  <c r="P20"/>
  <c r="N20" s="1"/>
  <c r="K4"/>
  <c r="L4"/>
  <c r="J4"/>
  <c r="K8"/>
  <c r="L8"/>
  <c r="J8"/>
  <c r="L12"/>
  <c r="K12"/>
  <c r="J12"/>
  <c r="K16"/>
  <c r="L16"/>
  <c r="J16"/>
  <c r="K20"/>
  <c r="J20"/>
  <c r="L20"/>
  <c r="L3"/>
  <c r="K3"/>
  <c r="J3"/>
  <c r="K5"/>
  <c r="J5"/>
  <c r="L5"/>
  <c r="L7"/>
  <c r="K7"/>
  <c r="J7"/>
  <c r="L9"/>
  <c r="K9"/>
  <c r="J9"/>
  <c r="L11"/>
  <c r="K11"/>
  <c r="J11"/>
  <c r="L13"/>
  <c r="J13"/>
  <c r="K13"/>
  <c r="L15"/>
  <c r="K15"/>
  <c r="J15"/>
  <c r="L17"/>
  <c r="J17"/>
  <c r="K17"/>
  <c r="L19"/>
  <c r="K19"/>
  <c r="J19"/>
  <c r="K21"/>
  <c r="J21"/>
  <c r="L21"/>
  <c r="S4" i="9"/>
  <c r="S12"/>
  <c r="S16"/>
  <c r="S20"/>
  <c r="S3"/>
  <c r="S5"/>
  <c r="S7"/>
  <c r="S9"/>
  <c r="S11"/>
  <c r="S13"/>
  <c r="S15"/>
  <c r="S17"/>
  <c r="S19"/>
  <c r="S21"/>
  <c r="S8"/>
  <c r="B23" i="14"/>
  <c r="A23"/>
  <c r="B21"/>
  <c r="A21"/>
  <c r="B20"/>
  <c r="A20"/>
  <c r="B19"/>
  <c r="A19"/>
  <c r="B17"/>
  <c r="A17"/>
  <c r="B16"/>
  <c r="A16"/>
  <c r="B15"/>
  <c r="A15"/>
  <c r="B13"/>
  <c r="A13"/>
  <c r="B12"/>
  <c r="A12"/>
  <c r="B11"/>
  <c r="A11"/>
  <c r="B9"/>
  <c r="A9"/>
  <c r="B8"/>
  <c r="A8"/>
  <c r="B7"/>
  <c r="A7"/>
  <c r="B5"/>
  <c r="A5"/>
  <c r="B4"/>
  <c r="A4"/>
  <c r="B3"/>
  <c r="A3"/>
  <c r="G24" i="12"/>
  <c r="T24" i="16" l="1"/>
  <c r="O9"/>
  <c r="M9" s="1"/>
  <c r="H9" i="1" s="1"/>
  <c r="H23"/>
  <c r="O7" i="16"/>
  <c r="Q7" s="1"/>
  <c r="R7" i="10" s="1"/>
  <c r="O16" i="16"/>
  <c r="M16" s="1"/>
  <c r="H16" i="1" s="1"/>
  <c r="P19" i="16"/>
  <c r="N19" s="1"/>
  <c r="P15"/>
  <c r="N15" s="1"/>
  <c r="O17"/>
  <c r="O3"/>
  <c r="O12"/>
  <c r="O21"/>
  <c r="O11"/>
  <c r="O5"/>
  <c r="O4"/>
  <c r="P3"/>
  <c r="N3" s="1"/>
  <c r="P11"/>
  <c r="N11" s="1"/>
  <c r="O19"/>
  <c r="O15"/>
  <c r="O13"/>
  <c r="O20"/>
  <c r="O8"/>
  <c r="AN24"/>
  <c r="R14" i="10" l="1"/>
  <c r="M7" i="16"/>
  <c r="H7" i="1" s="1"/>
  <c r="R23" i="10"/>
  <c r="Q9" i="16"/>
  <c r="R9" i="10" s="1"/>
  <c r="Q16" i="16"/>
  <c r="R16" i="10" s="1"/>
  <c r="M12" i="16"/>
  <c r="H12" i="1" s="1"/>
  <c r="Q12" i="16"/>
  <c r="R12" i="10" s="1"/>
  <c r="J24" i="16"/>
  <c r="M8"/>
  <c r="H8" i="1" s="1"/>
  <c r="Q8" i="16"/>
  <c r="R8" i="10" s="1"/>
  <c r="M15" i="16"/>
  <c r="H15" i="1" s="1"/>
  <c r="Q15" i="16"/>
  <c r="R15" i="10" s="1"/>
  <c r="M19" i="16"/>
  <c r="H19" i="1" s="1"/>
  <c r="Q19" i="16"/>
  <c r="R19" i="10" s="1"/>
  <c r="R6"/>
  <c r="R18"/>
  <c r="Q5" i="16"/>
  <c r="R5" i="10" s="1"/>
  <c r="M5" i="16"/>
  <c r="H5" i="1" s="1"/>
  <c r="R22" i="10"/>
  <c r="M3" i="16"/>
  <c r="H3" i="1" s="1"/>
  <c r="Q3" i="16"/>
  <c r="R3" i="10" s="1"/>
  <c r="Q13" i="16"/>
  <c r="R13" i="10" s="1"/>
  <c r="M13" i="16"/>
  <c r="H13" i="1" s="1"/>
  <c r="M20" i="16"/>
  <c r="H20" i="1" s="1"/>
  <c r="Q20" i="16"/>
  <c r="R20" i="10" s="1"/>
  <c r="M4" i="16"/>
  <c r="H4" i="1" s="1"/>
  <c r="Q4" i="16"/>
  <c r="R4" i="10" s="1"/>
  <c r="Q21" i="16"/>
  <c r="R21" i="10" s="1"/>
  <c r="M21" i="16"/>
  <c r="H21" i="1" s="1"/>
  <c r="R10" i="10"/>
  <c r="M11" i="16"/>
  <c r="H11" i="1" s="1"/>
  <c r="Q11" i="16"/>
  <c r="R11" i="10" s="1"/>
  <c r="Q17" i="16"/>
  <c r="R17" i="10" s="1"/>
  <c r="M17" i="16"/>
  <c r="H17" i="1" s="1"/>
  <c r="L24" i="16"/>
  <c r="K24"/>
  <c r="I24"/>
  <c r="C24" i="24"/>
  <c r="H24" i="16"/>
  <c r="C23" i="12"/>
  <c r="B23"/>
  <c r="A23"/>
  <c r="C21"/>
  <c r="B21"/>
  <c r="A21"/>
  <c r="C20"/>
  <c r="B20"/>
  <c r="A20"/>
  <c r="C19"/>
  <c r="B19"/>
  <c r="A19"/>
  <c r="C17"/>
  <c r="B17"/>
  <c r="A17"/>
  <c r="C16"/>
  <c r="B16"/>
  <c r="A16"/>
  <c r="C15"/>
  <c r="B15"/>
  <c r="A15"/>
  <c r="C13"/>
  <c r="B13"/>
  <c r="A13"/>
  <c r="C12"/>
  <c r="B12"/>
  <c r="A12"/>
  <c r="C11"/>
  <c r="B11"/>
  <c r="A11"/>
  <c r="C9"/>
  <c r="B9"/>
  <c r="A9"/>
  <c r="C8"/>
  <c r="B8"/>
  <c r="A8"/>
  <c r="C7"/>
  <c r="B7"/>
  <c r="A7"/>
  <c r="C5"/>
  <c r="B5"/>
  <c r="A5"/>
  <c r="C4"/>
  <c r="B4"/>
  <c r="A4"/>
  <c r="C3"/>
  <c r="B3"/>
  <c r="A3"/>
  <c r="F24"/>
  <c r="P24" i="16" l="1"/>
  <c r="O24"/>
  <c r="BZ24" i="24"/>
  <c r="R24" i="9"/>
  <c r="E24" i="13"/>
  <c r="D24"/>
  <c r="N24" i="16" l="1"/>
  <c r="Q24"/>
  <c r="R24" i="10"/>
  <c r="M24" i="16"/>
  <c r="M21" i="13" l="1"/>
  <c r="P21" i="14" s="1"/>
  <c r="C21" i="13"/>
  <c r="F21" s="1"/>
  <c r="B21"/>
  <c r="A21"/>
  <c r="M20"/>
  <c r="P20" i="14" s="1"/>
  <c r="C20" i="13"/>
  <c r="F20" s="1"/>
  <c r="B20"/>
  <c r="A20"/>
  <c r="M19"/>
  <c r="P19" i="14" s="1"/>
  <c r="G19" i="1" s="1"/>
  <c r="C19" i="13"/>
  <c r="F19" s="1"/>
  <c r="B19"/>
  <c r="A19"/>
  <c r="M17"/>
  <c r="P17" i="14" s="1"/>
  <c r="C17" i="13"/>
  <c r="F17" s="1"/>
  <c r="B17"/>
  <c r="A17"/>
  <c r="M16"/>
  <c r="P16" i="14" s="1"/>
  <c r="C16" i="13"/>
  <c r="B16"/>
  <c r="A16"/>
  <c r="M15"/>
  <c r="P15" i="14" s="1"/>
  <c r="C15" i="13"/>
  <c r="F15" s="1"/>
  <c r="B15"/>
  <c r="A15"/>
  <c r="M13"/>
  <c r="P13" i="14" s="1"/>
  <c r="C13" i="13"/>
  <c r="F13" s="1"/>
  <c r="B13"/>
  <c r="A13"/>
  <c r="M12"/>
  <c r="P12" i="14" s="1"/>
  <c r="C12" i="13"/>
  <c r="B12"/>
  <c r="A12"/>
  <c r="M11"/>
  <c r="P11" i="14" s="1"/>
  <c r="C11" i="13"/>
  <c r="B11"/>
  <c r="A11"/>
  <c r="M9"/>
  <c r="P9" i="14" s="1"/>
  <c r="C9" i="13"/>
  <c r="F9" s="1"/>
  <c r="B9"/>
  <c r="A9"/>
  <c r="M8"/>
  <c r="P8" i="14" s="1"/>
  <c r="C8" i="13"/>
  <c r="F8" s="1"/>
  <c r="B8"/>
  <c r="A8"/>
  <c r="M7"/>
  <c r="P7" i="14" s="1"/>
  <c r="C7" i="13"/>
  <c r="F7" s="1"/>
  <c r="B7"/>
  <c r="A7"/>
  <c r="M5"/>
  <c r="P5" i="14" s="1"/>
  <c r="C5" i="13"/>
  <c r="F5" s="1"/>
  <c r="B5"/>
  <c r="A5"/>
  <c r="M4"/>
  <c r="P4" i="14" s="1"/>
  <c r="C4" i="13"/>
  <c r="F4" s="1"/>
  <c r="B4"/>
  <c r="A4"/>
  <c r="M3"/>
  <c r="P3" i="14" s="1"/>
  <c r="C3" i="13"/>
  <c r="F3" s="1"/>
  <c r="B3"/>
  <c r="A3"/>
  <c r="G3" l="1"/>
  <c r="H3"/>
  <c r="G4"/>
  <c r="H4"/>
  <c r="G5"/>
  <c r="H5"/>
  <c r="G7"/>
  <c r="H7"/>
  <c r="G8"/>
  <c r="H8"/>
  <c r="G9"/>
  <c r="H9"/>
  <c r="G11"/>
  <c r="H11"/>
  <c r="G12"/>
  <c r="H12"/>
  <c r="G13"/>
  <c r="H13"/>
  <c r="G15"/>
  <c r="H15"/>
  <c r="G16"/>
  <c r="H16"/>
  <c r="G17"/>
  <c r="H17"/>
  <c r="G19"/>
  <c r="H19"/>
  <c r="G20"/>
  <c r="H20"/>
  <c r="G21"/>
  <c r="H21"/>
  <c r="D23" i="25"/>
  <c r="A23"/>
  <c r="C22"/>
  <c r="B22"/>
  <c r="A22"/>
  <c r="C20"/>
  <c r="B20"/>
  <c r="A20"/>
  <c r="C19"/>
  <c r="B19"/>
  <c r="A19"/>
  <c r="C18"/>
  <c r="B18"/>
  <c r="A18"/>
  <c r="C16"/>
  <c r="B16"/>
  <c r="A16"/>
  <c r="C15"/>
  <c r="B15"/>
  <c r="A15"/>
  <c r="C14"/>
  <c r="B14"/>
  <c r="A14"/>
  <c r="C12"/>
  <c r="B12"/>
  <c r="A12"/>
  <c r="C11"/>
  <c r="B11"/>
  <c r="A11"/>
  <c r="C10"/>
  <c r="B10"/>
  <c r="A10"/>
  <c r="C8"/>
  <c r="B8"/>
  <c r="A8"/>
  <c r="C7"/>
  <c r="B7"/>
  <c r="A7"/>
  <c r="C6"/>
  <c r="B6"/>
  <c r="A6"/>
  <c r="C4"/>
  <c r="B4"/>
  <c r="A4"/>
  <c r="C3"/>
  <c r="B3"/>
  <c r="A3"/>
  <c r="C2"/>
  <c r="B2"/>
  <c r="A2"/>
  <c r="M24" i="1"/>
  <c r="K24"/>
  <c r="P24" i="14" l="1"/>
  <c r="I23" i="1"/>
  <c r="G23" s="1"/>
  <c r="I21"/>
  <c r="I20"/>
  <c r="I17"/>
  <c r="I16"/>
  <c r="I15"/>
  <c r="G15" s="1"/>
  <c r="I13"/>
  <c r="I12"/>
  <c r="I11"/>
  <c r="G11" s="1"/>
  <c r="I9"/>
  <c r="I8"/>
  <c r="I7"/>
  <c r="I5"/>
  <c r="I4"/>
  <c r="I3"/>
  <c r="G3" s="1"/>
  <c r="F24" l="1"/>
  <c r="I24" l="1"/>
  <c r="J24"/>
  <c r="J7" i="5" l="1"/>
  <c r="J19"/>
  <c r="J4"/>
  <c r="J12"/>
  <c r="J20"/>
  <c r="J5"/>
  <c r="J9"/>
  <c r="J13"/>
  <c r="J17"/>
  <c r="J21"/>
  <c r="J3"/>
  <c r="J11"/>
  <c r="J15"/>
  <c r="J8"/>
  <c r="J16"/>
  <c r="S24" i="9" l="1"/>
  <c r="G21" i="1"/>
  <c r="G9"/>
  <c r="G16"/>
  <c r="G12"/>
  <c r="G4"/>
  <c r="G17"/>
  <c r="G13"/>
  <c r="G7"/>
  <c r="G5"/>
  <c r="G20"/>
  <c r="G8"/>
  <c r="G24" l="1"/>
  <c r="H24" l="1"/>
  <c r="J4" i="13" l="1"/>
  <c r="I11" i="27"/>
  <c r="K16" i="13"/>
  <c r="I19" i="27"/>
  <c r="J20" i="13"/>
  <c r="M24"/>
  <c r="G3" i="27"/>
  <c r="AE4" i="26"/>
  <c r="AG4" s="1"/>
  <c r="AE7"/>
  <c r="AG7" s="1"/>
  <c r="G8" i="27"/>
  <c r="AE9" i="26"/>
  <c r="AG9" s="1"/>
  <c r="AE11"/>
  <c r="AG11" s="1"/>
  <c r="AG12"/>
  <c r="G15" i="27"/>
  <c r="G16"/>
  <c r="AE17" i="26"/>
  <c r="AG17" s="1"/>
  <c r="AE19"/>
  <c r="AG19" s="1"/>
  <c r="AE21"/>
  <c r="AG21" s="1"/>
  <c r="AE23"/>
  <c r="AG23" s="1"/>
  <c r="AF24"/>
  <c r="E4" i="27"/>
  <c r="E8"/>
  <c r="E12"/>
  <c r="E16"/>
  <c r="E20"/>
  <c r="F3"/>
  <c r="F4"/>
  <c r="F5"/>
  <c r="F7"/>
  <c r="F8"/>
  <c r="F9"/>
  <c r="F11"/>
  <c r="F12"/>
  <c r="F15"/>
  <c r="F16"/>
  <c r="F17"/>
  <c r="F19"/>
  <c r="F20"/>
  <c r="F21"/>
  <c r="F23"/>
  <c r="I9" i="5" l="1"/>
  <c r="P9" i="9"/>
  <c r="I11" i="5"/>
  <c r="P11" i="9"/>
  <c r="Y10" i="27"/>
  <c r="I21" i="5"/>
  <c r="P21" i="9"/>
  <c r="I4" i="5"/>
  <c r="P4" i="9"/>
  <c r="I17" i="5"/>
  <c r="P17" i="9"/>
  <c r="I19" i="5"/>
  <c r="P19" i="9"/>
  <c r="I12" i="5"/>
  <c r="P12" i="9"/>
  <c r="I7" i="5"/>
  <c r="P7" i="9"/>
  <c r="G21" i="27"/>
  <c r="K23"/>
  <c r="Y23"/>
  <c r="J20"/>
  <c r="X20"/>
  <c r="J10"/>
  <c r="X10"/>
  <c r="K16"/>
  <c r="Y16"/>
  <c r="J4"/>
  <c r="X4"/>
  <c r="J24" i="5"/>
  <c r="E24" i="27"/>
  <c r="G9"/>
  <c r="K19" i="13"/>
  <c r="G23" i="27"/>
  <c r="AE8" i="26"/>
  <c r="AG8" s="1"/>
  <c r="F24" i="27"/>
  <c r="G4"/>
  <c r="J5" i="13"/>
  <c r="I5" i="27"/>
  <c r="K5" i="13"/>
  <c r="J15"/>
  <c r="I15" i="27"/>
  <c r="H15"/>
  <c r="J7" i="13"/>
  <c r="K7"/>
  <c r="I7" i="27"/>
  <c r="K15" i="13"/>
  <c r="J17"/>
  <c r="K17"/>
  <c r="I17" i="27"/>
  <c r="J9" i="13"/>
  <c r="J3"/>
  <c r="K3"/>
  <c r="I3" i="27"/>
  <c r="AE5" i="26"/>
  <c r="AG5" s="1"/>
  <c r="G5" i="27"/>
  <c r="J21" i="13"/>
  <c r="K21"/>
  <c r="G20" i="27"/>
  <c r="AE20" i="26"/>
  <c r="AG20" s="1"/>
  <c r="J11" i="13"/>
  <c r="K11"/>
  <c r="J19"/>
  <c r="W19" i="27"/>
  <c r="J13" i="13"/>
  <c r="K13"/>
  <c r="V24" i="26"/>
  <c r="I9" i="27"/>
  <c r="K9" i="13"/>
  <c r="H7" i="27"/>
  <c r="G12"/>
  <c r="AG16" i="26"/>
  <c r="I23" i="27"/>
  <c r="I21"/>
  <c r="W11"/>
  <c r="G17"/>
  <c r="G7"/>
  <c r="I14"/>
  <c r="I18"/>
  <c r="I12"/>
  <c r="K12" i="13"/>
  <c r="I8" i="27"/>
  <c r="J8" i="13"/>
  <c r="F24"/>
  <c r="G19" i="27"/>
  <c r="G11"/>
  <c r="AE15" i="26"/>
  <c r="AG15" s="1"/>
  <c r="AE3"/>
  <c r="AG3" s="1"/>
  <c r="J12" i="13"/>
  <c r="K8"/>
  <c r="I22" i="27"/>
  <c r="I6"/>
  <c r="I20"/>
  <c r="K20" i="13"/>
  <c r="I16" i="27"/>
  <c r="J16" i="13"/>
  <c r="I13" i="27"/>
  <c r="I10"/>
  <c r="I4"/>
  <c r="K4" i="13"/>
  <c r="G24"/>
  <c r="W3" i="27" l="1"/>
  <c r="K10"/>
  <c r="I3" i="5"/>
  <c r="P3" i="9"/>
  <c r="I5" i="5"/>
  <c r="P5" i="9"/>
  <c r="I8" i="5"/>
  <c r="P8" i="9"/>
  <c r="I16" i="5"/>
  <c r="P16" i="9"/>
  <c r="I15" i="5"/>
  <c r="P15" i="9"/>
  <c r="I20" i="5"/>
  <c r="P20" i="9"/>
  <c r="N15" i="13"/>
  <c r="L15" i="9" s="1"/>
  <c r="W10" i="27"/>
  <c r="W18"/>
  <c r="W14"/>
  <c r="H21"/>
  <c r="W21"/>
  <c r="K3"/>
  <c r="Y3"/>
  <c r="K9"/>
  <c r="Y9"/>
  <c r="J15"/>
  <c r="X15"/>
  <c r="H5"/>
  <c r="W5"/>
  <c r="K18"/>
  <c r="Y18"/>
  <c r="J22"/>
  <c r="X22"/>
  <c r="K4"/>
  <c r="Y4"/>
  <c r="J16"/>
  <c r="X16"/>
  <c r="K6"/>
  <c r="Y6"/>
  <c r="K22"/>
  <c r="Y22"/>
  <c r="K8"/>
  <c r="Y8"/>
  <c r="K12"/>
  <c r="Y12"/>
  <c r="H17"/>
  <c r="W17"/>
  <c r="J13"/>
  <c r="X13"/>
  <c r="J23"/>
  <c r="X23"/>
  <c r="K21"/>
  <c r="Y21"/>
  <c r="J3"/>
  <c r="X3"/>
  <c r="K17"/>
  <c r="Y17"/>
  <c r="J7"/>
  <c r="X7"/>
  <c r="J5"/>
  <c r="X5"/>
  <c r="H13"/>
  <c r="W13"/>
  <c r="W22"/>
  <c r="W8"/>
  <c r="W4"/>
  <c r="W16"/>
  <c r="W20"/>
  <c r="W15"/>
  <c r="K20"/>
  <c r="Y20"/>
  <c r="K13"/>
  <c r="Y13"/>
  <c r="H23"/>
  <c r="W23"/>
  <c r="K7"/>
  <c r="Y7"/>
  <c r="J18"/>
  <c r="X18"/>
  <c r="J14"/>
  <c r="X14"/>
  <c r="J19"/>
  <c r="X19"/>
  <c r="J11"/>
  <c r="X11"/>
  <c r="J9"/>
  <c r="X9"/>
  <c r="K15"/>
  <c r="Y15"/>
  <c r="J6"/>
  <c r="X6"/>
  <c r="J12"/>
  <c r="X12"/>
  <c r="J8"/>
  <c r="X8"/>
  <c r="K14"/>
  <c r="Y14"/>
  <c r="K11"/>
  <c r="Y11"/>
  <c r="J21"/>
  <c r="X21"/>
  <c r="J17"/>
  <c r="X17"/>
  <c r="K5"/>
  <c r="Y5"/>
  <c r="K19"/>
  <c r="Y19"/>
  <c r="W6"/>
  <c r="W12"/>
  <c r="W7"/>
  <c r="W9"/>
  <c r="N17" i="13"/>
  <c r="N7"/>
  <c r="N13"/>
  <c r="H11" i="27"/>
  <c r="N11" i="13"/>
  <c r="H3" i="27"/>
  <c r="N3" i="13"/>
  <c r="H19" i="27"/>
  <c r="N19" i="13"/>
  <c r="H9" i="27"/>
  <c r="N9" i="13"/>
  <c r="AG24" i="26"/>
  <c r="N5" i="13"/>
  <c r="N21"/>
  <c r="H4" i="27"/>
  <c r="N4" i="13"/>
  <c r="I24"/>
  <c r="H14" i="27"/>
  <c r="H10"/>
  <c r="H16"/>
  <c r="N16" i="13"/>
  <c r="H20" i="27"/>
  <c r="N20" i="13"/>
  <c r="H8" i="27"/>
  <c r="N8" i="13"/>
  <c r="H12" i="27"/>
  <c r="N12" i="13"/>
  <c r="J24"/>
  <c r="AE24" i="26"/>
  <c r="H22" i="27"/>
  <c r="K24" i="13"/>
  <c r="H6" i="27"/>
  <c r="H18"/>
  <c r="H24" i="13"/>
  <c r="G24" i="27"/>
  <c r="P24" i="9" l="1"/>
  <c r="I24" i="5"/>
  <c r="L15" i="13"/>
  <c r="E15" i="1" s="1"/>
  <c r="L15" s="1"/>
  <c r="U15" i="5" s="1"/>
  <c r="L8" i="13"/>
  <c r="E8" i="1" s="1"/>
  <c r="L8" s="1"/>
  <c r="L8" i="9"/>
  <c r="L20" i="13"/>
  <c r="E20" i="1" s="1"/>
  <c r="L20" s="1"/>
  <c r="L20" i="9"/>
  <c r="L9" i="13"/>
  <c r="E9" i="1" s="1"/>
  <c r="L9" s="1"/>
  <c r="L9" i="9"/>
  <c r="E23" i="1"/>
  <c r="L23" s="1"/>
  <c r="N23"/>
  <c r="L21" i="13"/>
  <c r="E21" i="1" s="1"/>
  <c r="L21" s="1"/>
  <c r="L21" i="9"/>
  <c r="L17" i="13"/>
  <c r="E17" i="1" s="1"/>
  <c r="L17" s="1"/>
  <c r="L17" i="9"/>
  <c r="L12" i="13"/>
  <c r="E12" i="1" s="1"/>
  <c r="L12" s="1"/>
  <c r="L12" i="9"/>
  <c r="L16" i="13"/>
  <c r="E16" i="1" s="1"/>
  <c r="L16" s="1"/>
  <c r="L16" i="9"/>
  <c r="L4" i="13"/>
  <c r="E4" i="1" s="1"/>
  <c r="L4" s="1"/>
  <c r="L4" i="9"/>
  <c r="L19" i="13"/>
  <c r="E19" i="1" s="1"/>
  <c r="L19" s="1"/>
  <c r="L19" i="9"/>
  <c r="J24" i="27"/>
  <c r="L5" i="13"/>
  <c r="E5" i="1" s="1"/>
  <c r="L5" s="1"/>
  <c r="L5" i="9"/>
  <c r="L3" i="13"/>
  <c r="E3" i="1" s="1"/>
  <c r="L3" s="1"/>
  <c r="L3" i="9"/>
  <c r="L11" i="13"/>
  <c r="E11" i="1" s="1"/>
  <c r="L11" s="1"/>
  <c r="L11" i="9"/>
  <c r="L13" i="13"/>
  <c r="E13" i="1" s="1"/>
  <c r="L13" s="1"/>
  <c r="L13" i="9"/>
  <c r="L7" i="13"/>
  <c r="E7" i="1" s="1"/>
  <c r="L7" s="1"/>
  <c r="L7" i="9"/>
  <c r="O15"/>
  <c r="F15" i="5" s="1"/>
  <c r="H15" s="1"/>
  <c r="K24" i="27"/>
  <c r="I24"/>
  <c r="N24" i="13"/>
  <c r="H24" i="27"/>
  <c r="U13" i="5" l="1"/>
  <c r="U7"/>
  <c r="U9"/>
  <c r="U8"/>
  <c r="U3"/>
  <c r="O19" i="1"/>
  <c r="U12" i="5"/>
  <c r="U17"/>
  <c r="U21"/>
  <c r="U23"/>
  <c r="U20"/>
  <c r="U19"/>
  <c r="U4"/>
  <c r="U16"/>
  <c r="U11"/>
  <c r="U5"/>
  <c r="C20" i="23"/>
  <c r="C4"/>
  <c r="C12"/>
  <c r="C21"/>
  <c r="C5"/>
  <c r="C16"/>
  <c r="C9"/>
  <c r="C13"/>
  <c r="K15" i="9"/>
  <c r="P15" i="10" s="1"/>
  <c r="O15" i="1"/>
  <c r="N15" i="9" s="1"/>
  <c r="K15" i="5" s="1"/>
  <c r="O11" i="9"/>
  <c r="F11" i="5" s="1"/>
  <c r="H11" s="1"/>
  <c r="O13" i="9"/>
  <c r="F13" i="5" s="1"/>
  <c r="H13" s="1"/>
  <c r="O3" i="9"/>
  <c r="F3" i="5" s="1"/>
  <c r="H3" s="1"/>
  <c r="O16" i="9"/>
  <c r="F16" i="5" s="1"/>
  <c r="H16" s="1"/>
  <c r="O9" i="9"/>
  <c r="F9" i="5" s="1"/>
  <c r="H9" s="1"/>
  <c r="O8" i="9"/>
  <c r="F8" i="5" s="1"/>
  <c r="H8" s="1"/>
  <c r="O7" i="9"/>
  <c r="F7" i="5" s="1"/>
  <c r="H7" s="1"/>
  <c r="O7" i="1"/>
  <c r="N7" i="9" s="1"/>
  <c r="O5"/>
  <c r="F5" i="5" s="1"/>
  <c r="H5" s="1"/>
  <c r="O19" i="9"/>
  <c r="F19" i="5" s="1"/>
  <c r="H19" s="1"/>
  <c r="O4" i="9"/>
  <c r="F4" i="5" s="1"/>
  <c r="H4" s="1"/>
  <c r="O4" i="1"/>
  <c r="N4" i="9" s="1"/>
  <c r="O12"/>
  <c r="F12" i="5" s="1"/>
  <c r="H12" s="1"/>
  <c r="O17" i="1"/>
  <c r="N17" i="9" s="1"/>
  <c r="O17"/>
  <c r="F17" i="5" s="1"/>
  <c r="H17" s="1"/>
  <c r="O21" i="9"/>
  <c r="F21" i="5" s="1"/>
  <c r="H21" s="1"/>
  <c r="O23" i="1"/>
  <c r="O20" i="9"/>
  <c r="F20" i="5" s="1"/>
  <c r="H20" s="1"/>
  <c r="L24" i="9"/>
  <c r="C8" i="23"/>
  <c r="C17"/>
  <c r="L24" i="13"/>
  <c r="K4" i="5" l="1"/>
  <c r="K17"/>
  <c r="K7"/>
  <c r="W15"/>
  <c r="W7"/>
  <c r="W3"/>
  <c r="W5"/>
  <c r="K12" i="9"/>
  <c r="P12" i="10" s="1"/>
  <c r="E12" i="23"/>
  <c r="E16"/>
  <c r="K16" i="9"/>
  <c r="P16" i="10" s="1"/>
  <c r="O16" i="1"/>
  <c r="N16" i="9" s="1"/>
  <c r="K16" i="5" s="1"/>
  <c r="K13" i="9"/>
  <c r="P13" i="10" s="1"/>
  <c r="E13" i="23"/>
  <c r="O13" i="1"/>
  <c r="N13" i="9" s="1"/>
  <c r="K13" i="5" s="1"/>
  <c r="P14" i="10"/>
  <c r="K8" i="9"/>
  <c r="P8" i="10" s="1"/>
  <c r="E8" i="23"/>
  <c r="O8" i="1"/>
  <c r="N8" i="9" s="1"/>
  <c r="K8" i="5" s="1"/>
  <c r="P22" i="10"/>
  <c r="K20" i="9"/>
  <c r="P20" i="10" s="1"/>
  <c r="E20" i="23"/>
  <c r="K19" i="9"/>
  <c r="P19" i="10" s="1"/>
  <c r="N19" i="9"/>
  <c r="K19" i="5" s="1"/>
  <c r="E9" i="23"/>
  <c r="K9" i="9"/>
  <c r="P9" i="10" s="1"/>
  <c r="O9" i="1"/>
  <c r="N9" i="9" s="1"/>
  <c r="K9" i="5" s="1"/>
  <c r="O20" i="1"/>
  <c r="N20" i="9" s="1"/>
  <c r="K20" i="5" s="1"/>
  <c r="O12" i="1"/>
  <c r="N12" i="9" s="1"/>
  <c r="K12" i="5" s="1"/>
  <c r="P23" i="10"/>
  <c r="E5" i="23"/>
  <c r="K5" i="9"/>
  <c r="P5" i="10" s="1"/>
  <c r="O5" i="1"/>
  <c r="N5" i="9" s="1"/>
  <c r="K5" i="5" s="1"/>
  <c r="W20"/>
  <c r="W12"/>
  <c r="K11" i="9"/>
  <c r="P11" i="10" s="1"/>
  <c r="P6"/>
  <c r="K21" i="9"/>
  <c r="P21" i="10" s="1"/>
  <c r="E21" i="23"/>
  <c r="O21" i="1"/>
  <c r="N21" i="9" s="1"/>
  <c r="K21" i="5" s="1"/>
  <c r="E17" i="23"/>
  <c r="K17" i="9"/>
  <c r="P17" i="10" s="1"/>
  <c r="K7" i="9"/>
  <c r="P7" i="10" s="1"/>
  <c r="K3" i="9"/>
  <c r="P3" i="10" s="1"/>
  <c r="O3" i="1"/>
  <c r="N3" i="9" s="1"/>
  <c r="K3" i="5" s="1"/>
  <c r="W21"/>
  <c r="E4" i="23"/>
  <c r="K4" i="9"/>
  <c r="P4" i="10" s="1"/>
  <c r="P18"/>
  <c r="P10"/>
  <c r="O24" i="9"/>
  <c r="W9" i="5"/>
  <c r="O11" i="1"/>
  <c r="N11" i="9" s="1"/>
  <c r="K11" i="5" s="1"/>
  <c r="F24"/>
  <c r="N24" i="1"/>
  <c r="E24"/>
  <c r="L24"/>
  <c r="Q15" i="5" l="1"/>
  <c r="P7"/>
  <c r="Q7" s="1"/>
  <c r="P20"/>
  <c r="Q20" s="1"/>
  <c r="P12"/>
  <c r="Q12" s="1"/>
  <c r="P3"/>
  <c r="Q3" s="1"/>
  <c r="P15"/>
  <c r="P21"/>
  <c r="Q21" s="1"/>
  <c r="P9"/>
  <c r="Q9" s="1"/>
  <c r="P5"/>
  <c r="Q5" s="1"/>
  <c r="W23"/>
  <c r="W4"/>
  <c r="W17"/>
  <c r="W16"/>
  <c r="W19"/>
  <c r="W13"/>
  <c r="W11"/>
  <c r="W8"/>
  <c r="K24" i="9"/>
  <c r="H24" i="5"/>
  <c r="D24" i="23"/>
  <c r="P11" i="5" l="1"/>
  <c r="Q11" s="1"/>
  <c r="P19"/>
  <c r="Q19" s="1"/>
  <c r="P4"/>
  <c r="Q4" s="1"/>
  <c r="P16"/>
  <c r="Q16" s="1"/>
  <c r="P8"/>
  <c r="Q8" s="1"/>
  <c r="P17"/>
  <c r="Q17" s="1"/>
  <c r="P13"/>
  <c r="Q13" s="1"/>
  <c r="P24" i="10"/>
  <c r="U24" i="5"/>
  <c r="E24" i="23"/>
  <c r="C24"/>
  <c r="O24" i="1"/>
  <c r="N24" i="9" l="1"/>
  <c r="P24" i="5"/>
  <c r="W24"/>
  <c r="S24" l="1"/>
  <c r="K24"/>
  <c r="L24"/>
  <c r="Q24" l="1"/>
</calcChain>
</file>

<file path=xl/sharedStrings.xml><?xml version="1.0" encoding="utf-8"?>
<sst xmlns="http://schemas.openxmlformats.org/spreadsheetml/2006/main" count="1233" uniqueCount="567">
  <si>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</si>
  <si>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</si>
  <si>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</si>
  <si>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</si>
  <si>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</si>
  <si>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</si>
  <si>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</si>
  <si>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</si>
  <si>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</si>
  <si>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</si>
  <si>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</si>
  <si>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</si>
  <si>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</si>
  <si>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</si>
  <si>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</si>
  <si>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</si>
  <si>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</si>
  <si>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</si>
  <si>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</si>
  <si>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</si>
  <si>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</si>
  <si>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</si>
  <si>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</si>
  <si>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</si>
  <si>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</si>
  <si>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</si>
  <si>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</si>
  <si>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</si>
  <si>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</si>
  <si>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</si>
  <si>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</si>
  <si>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</si>
  <si>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</si>
  <si>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</si>
  <si>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</si>
  <si>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</si>
  <si>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</si>
  <si>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</si>
  <si>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</si>
  <si>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</si>
  <si>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</si>
  <si>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</si>
  <si>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</si>
  <si>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</si>
  <si>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</si>
  <si>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</si>
  <si>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</si>
  <si>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</si>
  <si>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</si>
  <si>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</si>
  <si>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</si>
  <si>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</si>
  <si>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</si>
  <si>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</si>
  <si>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</si>
  <si>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</si>
  <si>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</si>
  <si>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</si>
  <si>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</si>
  <si>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</si>
  <si>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</si>
  <si>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</si>
  <si>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</si>
  <si>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</si>
  <si>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</si>
  <si>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</si>
  <si>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</si>
  <si>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</si>
  <si>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</si>
  <si>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</si>
  <si>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</si>
  <si>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</si>
  <si>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</si>
  <si>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</si>
  <si>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</si>
  <si>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</si>
  <si>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</si>
  <si>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</si>
  <si>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</si>
  <si>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</si>
  <si>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</si>
  <si>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</si>
  <si>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</si>
  <si>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</si>
  <si>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</si>
  <si>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</si>
  <si>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</si>
  <si>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</si>
  <si>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</si>
  <si>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</si>
  <si>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</si>
  <si>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</si>
  <si>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</si>
  <si>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</si>
  <si>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</si>
  <si>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</si>
  <si>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</si>
  <si>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</si>
  <si>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</si>
  <si>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</si>
  <si>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</si>
  <si>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</si>
  <si>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</si>
  <si>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</si>
  <si>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</si>
  <si>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</si>
  <si>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</si>
  <si>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</si>
  <si>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</si>
  <si>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</si>
  <si>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</si>
  <si>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</si>
  <si>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</si>
  <si>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</si>
  <si>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</si>
  <si>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</si>
  <si>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</si>
  <si>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</si>
  <si>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</si>
  <si>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</si>
  <si>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</si>
  <si>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</si>
  <si>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</si>
  <si>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</si>
  <si>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</si>
  <si>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</si>
  <si>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</si>
  <si>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</si>
  <si>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</si>
  <si>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</si>
  <si>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</si>
  <si>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</si>
  <si>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</si>
  <si>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</si>
  <si>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</si>
  <si>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</si>
  <si>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</si>
  <si>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</si>
  <si>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</si>
  <si>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</si>
  <si>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</si>
  <si>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</si>
  <si>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</si>
  <si>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</si>
  <si>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</si>
  <si>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</si>
  <si>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</si>
  <si>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</si>
  <si>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</si>
  <si>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</si>
  <si>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</si>
  <si>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</si>
  <si>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</si>
  <si>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</si>
  <si>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</si>
  <si>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</si>
  <si>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</si>
  <si>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</si>
  <si>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</si>
  <si>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</si>
  <si>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</si>
  <si>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</si>
  <si>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</si>
  <si>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</si>
  <si>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</si>
  <si>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</si>
  <si>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</si>
  <si>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</si>
  <si>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</si>
  <si>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</si>
  <si>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</si>
  <si>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</si>
  <si>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</si>
  <si>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</si>
  <si>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</si>
  <si>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</si>
  <si>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</si>
  <si>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</si>
  <si>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</si>
  <si>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</si>
  <si>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</si>
  <si>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</si>
  <si>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</si>
  <si>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</si>
  <si>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</si>
  <si>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</si>
  <si>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</si>
  <si>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</si>
  <si>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</si>
  <si>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</si>
  <si>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</si>
  <si>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</si>
  <si>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</si>
  <si>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</si>
  <si>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</si>
  <si>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</si>
  <si>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</si>
  <si>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</si>
  <si>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</si>
  <si>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</si>
  <si>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</si>
  <si>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</si>
  <si>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</si>
  <si>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</si>
  <si>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</si>
  <si>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</si>
  <si>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</si>
  <si>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</si>
  <si>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</si>
  <si>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</si>
  <si>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</si>
  <si>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</si>
  <si>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</si>
  <si>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</si>
  <si>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</si>
  <si>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</si>
  <si>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</si>
  <si>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</si>
  <si>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</si>
  <si>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</si>
  <si>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</si>
  <si>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</si>
  <si>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</si>
  <si>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</si>
  <si>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</si>
  <si>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</si>
  <si>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</si>
  <si>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</si>
  <si>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</si>
  <si>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</si>
  <si>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</si>
  <si>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</si>
  <si>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</si>
  <si>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</si>
  <si>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</si>
  <si>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</si>
  <si>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</si>
  <si>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</si>
  <si>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</si>
  <si>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</si>
  <si>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</si>
  <si>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</si>
  <si>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</si>
  <si>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</si>
  <si>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</si>
  <si>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</si>
  <si>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</si>
  <si>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</si>
  <si>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</si>
  <si>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</si>
  <si>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</si>
  <si>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</si>
  <si>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</si>
  <si>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</si>
  <si>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</si>
  <si>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</si>
  <si>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</si>
  <si>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</si>
  <si>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</si>
  <si>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</si>
  <si>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</si>
  <si>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</si>
  <si>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</si>
  <si>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</si>
  <si>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</si>
  <si>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</si>
  <si>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</si>
  <si>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</si>
  <si>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</si>
  <si>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</si>
  <si>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</si>
  <si>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</si>
  <si>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</si>
  <si>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</si>
  <si>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</si>
  <si>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</si>
  <si>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</si>
  <si>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</si>
  <si>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</si>
  <si>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</si>
  <si>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</si>
  <si>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</si>
  <si>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</si>
  <si>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</si>
  <si>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</si>
  <si>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</si>
  <si>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</si>
  <si>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</si>
  <si>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</si>
  <si>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</si>
  <si>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</si>
  <si>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</si>
  <si>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</si>
  <si>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</si>
  <si>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</si>
  <si>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</si>
  <si>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</si>
  <si>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</si>
  <si>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</si>
  <si>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</si>
  <si>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</si>
  <si>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</si>
  <si>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</si>
  <si>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</si>
  <si>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</si>
  <si>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</si>
  <si>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</si>
  <si>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</si>
  <si>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</si>
  <si>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</si>
  <si>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</si>
  <si>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</si>
  <si>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</si>
  <si>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</si>
  <si>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</si>
  <si>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</si>
  <si>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</si>
  <si>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</si>
  <si>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</si>
  <si>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</si>
  <si>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</si>
  <si>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</si>
  <si>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</si>
  <si>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</si>
  <si>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</si>
  <si>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</si>
  <si>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</si>
  <si>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</si>
  <si>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</si>
  <si>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</si>
  <si>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</si>
  <si>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</si>
  <si>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</si>
  <si>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</si>
  <si>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</si>
  <si>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</si>
  <si>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</si>
  <si>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</si>
  <si>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</si>
  <si>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</si>
  <si>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</si>
  <si>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</si>
  <si>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</si>
  <si>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</si>
  <si>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</si>
  <si>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</si>
  <si>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</si>
  <si>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</si>
  <si>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</si>
  <si>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</si>
  <si>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</si>
  <si>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</si>
  <si>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</si>
  <si>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</si>
  <si>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</si>
  <si>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</si>
  <si>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</si>
  <si>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</si>
  <si>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</si>
  <si>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</si>
  <si>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</si>
  <si>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</si>
  <si>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</si>
  <si>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</si>
  <si>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</si>
  <si>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</si>
  <si>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</si>
  <si>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</si>
  <si>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</si>
  <si>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</si>
  <si>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</si>
  <si>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</si>
  <si>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</si>
  <si>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</si>
  <si>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</si>
  <si>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</si>
  <si>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</si>
  <si>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</si>
  <si>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</si>
  <si>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</si>
  <si>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</si>
  <si>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</si>
  <si>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</si>
  <si>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</si>
  <si>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</si>
  <si>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</si>
  <si>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</si>
  <si>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</si>
  <si>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</si>
  <si>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</si>
  <si>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</si>
  <si>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</si>
  <si>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</si>
  <si>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</si>
  <si>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</si>
  <si>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</si>
  <si>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</si>
  <si>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</si>
  <si>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</si>
  <si>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</si>
  <si>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</si>
  <si>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</si>
  <si>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</si>
  <si>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</si>
  <si>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</si>
  <si>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</si>
  <si>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</si>
  <si>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</si>
  <si>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</si>
  <si>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</si>
  <si>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</si>
  <si>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</si>
  <si>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</si>
  <si>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</si>
  <si>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</si>
  <si>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</si>
  <si>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</si>
  <si>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</si>
  <si>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</si>
  <si>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</si>
  <si>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</si>
  <si>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</si>
  <si>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</si>
  <si>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</si>
  <si>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</si>
  <si>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</si>
  <si>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</si>
  <si>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</si>
  <si>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</si>
  <si>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</si>
  <si>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</si>
  <si>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</si>
  <si>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</si>
  <si>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</si>
  <si>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</si>
  <si>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</si>
  <si>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</si>
  <si>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</si>
  <si>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</si>
  <si>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</si>
  <si>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</si>
  <si>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</si>
  <si>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</si>
  <si>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</si>
  <si>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</si>
  <si>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</si>
  <si>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</si>
  <si>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</si>
  <si>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</si>
  <si>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</si>
  <si>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</si>
  <si>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</si>
  <si>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</si>
  <si>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</si>
  <si>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</si>
  <si>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</si>
  <si>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</si>
  <si>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</si>
  <si>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</si>
  <si>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</si>
  <si>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</si>
  <si>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</si>
  <si>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</si>
  <si>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</si>
  <si>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</si>
  <si>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</si>
  <si>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</si>
  <si>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</si>
  <si>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</si>
  <si>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</si>
  <si>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</si>
  <si>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</si>
  <si>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</si>
  <si>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</si>
  <si>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</si>
  <si>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</si>
  <si>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</si>
  <si>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</si>
  <si>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</si>
  <si>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</si>
  <si>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</si>
  <si>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</si>
  <si>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</si>
  <si>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</si>
  <si>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</si>
  <si>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</si>
  <si>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</si>
  <si>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</si>
  <si>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</si>
  <si>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</si>
  <si>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</si>
  <si>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</si>
  <si>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</si>
  <si>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</si>
  <si>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</si>
  <si>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</si>
  <si>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</si>
  <si>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ΔΟΛΟΣ</t>
  </si>
  <si>
    <t>7,4 + 11</t>
  </si>
  <si>
    <t>έπρεπε ΝΑ χρεώσει</t>
  </si>
  <si>
    <t>χρέωσε</t>
  </si>
  <si>
    <t>ΤΟΓΚΑ</t>
  </si>
  <si>
    <t>7,4 έως 74</t>
  </si>
  <si>
    <t>3,7 έως 74</t>
  </si>
  <si>
    <t>3,7 έως 36,7</t>
  </si>
  <si>
    <t>παγιοΑναλ</t>
  </si>
  <si>
    <t>δικαιωματαΑναλ</t>
  </si>
  <si>
    <t>2α φυλα</t>
  </si>
  <si>
    <t>???</t>
  </si>
  <si>
    <t>2'φύλλα =4</t>
  </si>
  <si>
    <t>ΔΕΝ</t>
  </si>
  <si>
    <t>διαγυγόντα ταμεία &amp; χαρτόσημα</t>
  </si>
  <si>
    <t>διαφυγών φόρος εισοδήματος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</si>
  <si>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</si>
  <si>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</si>
  <si>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</si>
  <si>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</si>
  <si>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</si>
  <si>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</si>
  <si>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</si>
  <si>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επρεπεΒάσει ΑΓΑΠΕ</t>
  </si>
  <si>
    <t>επρεπεΒάσει Ζηλ</t>
  </si>
  <si>
    <t>δανείου ???? ΤΟΚΟΙ</t>
  </si>
  <si>
    <t>δανείου ??? 5.495.700 δρχ …. ΕΞΟΦΛΗΣΗ</t>
  </si>
  <si>
    <t>δανείου ??? 12.000.000δρχ …. ΕΞΟΦΛΗΣΗ</t>
  </si>
  <si>
    <t>υποθήκης ???? 12.000.000δρχ ΕΞΑΛΕΙΨΗ</t>
  </si>
  <si>
    <t>υποθήκης ????  5.495.705δρχ ΕΞΑΛΕΙΨΗ</t>
  </si>
  <si>
    <t>υποθήκης ???? 2.168.354δρχ …. ΕΞΑΛΕΙΨΗ</t>
  </si>
  <si>
    <t>δανείου ??? 2.168.354δρχ ….. ΕΞΟΦΛΗΣΗ</t>
  </si>
  <si>
    <t>219-1συζ</t>
  </si>
  <si>
    <t>1με2</t>
  </si>
  <si>
    <t>δανειο</t>
  </si>
  <si>
    <t>ΞΑΝΑ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</si>
  <si>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</si>
  <si>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</si>
  <si>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</si>
  <si>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</si>
  <si>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</si>
  <si>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</si>
  <si>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</si>
  <si>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</si>
  <si>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</si>
  <si>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ζημία</t>
  </si>
  <si>
    <t>καθεστώς ΤΟΓΚΑΣ</t>
  </si>
  <si>
    <t>έωςΣήμερα</t>
  </si>
  <si>
    <t>8906κ &amp; 8923κ</t>
  </si>
  <si>
    <t>8907κ &amp; 8924κ</t>
  </si>
  <si>
    <t>'του πλήρωσα ΚΑΙ τους φόρους''</t>
  </si>
  <si>
    <t>ανευ ΤΟΓΚΑΣ &amp; ΔΟΛΟΥ</t>
  </si>
  <si>
    <t>με ΤΟΓΚΑ &amp; ΔΟΛΟ</t>
  </si>
  <si>
    <t>τα δάνεια 5.000 &amp; 5001 &amp; 5004 ΜΑΛΛΟΝ είναι του 1988</t>
  </si>
  <si>
    <t>κ-15 &amp; ΔΟΛΟΣ σε ΟΡΟΥΣ 1988</t>
  </si>
  <si>
    <t>3ο</t>
  </si>
  <si>
    <t>4ο</t>
  </si>
  <si>
    <t>5ο</t>
  </si>
  <si>
    <t>6ο</t>
  </si>
  <si>
    <t>7ο</t>
  </si>
  <si>
    <t>υποθήκης 1ου   κύρου ;;;???;;;δρχ ΕΞΑΛΕΙΨΗ</t>
  </si>
  <si>
    <t>δανείου 1ου   κύρου 1.050.000δρχ ...ΕΞΟΦΛΗΣΗ</t>
  </si>
  <si>
    <t>δανείου 1ου   κύρου ΤΟΚΟΙ {προπληρωθέντες VS υπερβάλλοντες}</t>
  </si>
  <si>
    <t>υποθήκης 2ου   κύρου ;;;???;;;δρχ …..ΕΞΑΛΕΙΨΗ</t>
  </si>
  <si>
    <t>δανείου 2ου   κύρου 7000.000δρχ …..ΕΞΟΦΛΗΣΗ</t>
  </si>
  <si>
    <t>δανείου 2ου    κύρου …. ΤΟΚΟΙ {προπληρωθέντες VS υπερβάλλοντες}</t>
  </si>
  <si>
    <t>τα δάνεια 3ου &amp; 4ου &amp; 7ου ΜΑΛΛΟΝ είναι του 1988</t>
  </si>
  <si>
    <t>κ-15 &amp; ΔΟΛΟΣ {για 3ο -4ο -7ο}   σε ΟΡΟΥΣ 1988</t>
  </si>
  <si>
    <t>…??? τραπεζα [= …????</t>
  </si>
  <si>
    <t>219-1 = …???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</si>
</sst>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88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43" fontId="23" fillId="7" borderId="1" xfId="1" applyFont="1" applyFill="1" applyBorder="1" applyAlignment="1">
      <alignment horizontal="right" vertical="center"/>
    </xf>
    <xf numFmtId="16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164" fontId="23" fillId="7" borderId="18" xfId="1" applyNumberFormat="1" applyFont="1" applyFill="1" applyBorder="1" applyAlignment="1">
      <alignment horizontal="center" vertical="center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7" borderId="1" xfId="1" applyNumberFormat="1" applyFont="1" applyFill="1" applyBorder="1" applyAlignment="1">
      <alignment horizontal="center"/>
    </xf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0" fontId="18" fillId="7" borderId="14" xfId="0" applyFont="1" applyFill="1" applyBorder="1" applyAlignment="1">
      <alignment horizontal="left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164" fontId="36" fillId="7" borderId="2" xfId="1" applyNumberFormat="1" applyFont="1" applyFill="1" applyBorder="1" applyAlignment="1">
      <alignment horizontal="center" vertical="center"/>
    </xf>
    <xf numFmtId="43" fontId="17" fillId="7" borderId="1" xfId="1" applyFont="1" applyFill="1" applyBorder="1" applyAlignment="1">
      <alignment horizontal="right" vertical="center"/>
    </xf>
    <xf numFmtId="0" fontId="12" fillId="7" borderId="0" xfId="0" applyFont="1" applyFill="1"/>
    <xf numFmtId="43" fontId="28" fillId="0" borderId="1" xfId="1" applyFont="1" applyFill="1" applyBorder="1" applyAlignment="1"/>
    <xf numFmtId="0" fontId="12" fillId="0" borderId="0" xfId="0" applyFont="1"/>
    <xf numFmtId="0" fontId="36" fillId="7" borderId="13" xfId="1" applyNumberFormat="1" applyFont="1" applyFill="1" applyBorder="1" applyAlignment="1">
      <alignment horizontal="left" vertical="center"/>
    </xf>
    <xf numFmtId="164" fontId="36" fillId="7" borderId="1" xfId="1" applyNumberFormat="1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wrapText="1"/>
    </xf>
    <xf numFmtId="164" fontId="12" fillId="7" borderId="1" xfId="1" applyNumberFormat="1" applyFont="1" applyFill="1" applyBorder="1"/>
    <xf numFmtId="43" fontId="36" fillId="7" borderId="13" xfId="1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left"/>
    </xf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36" fillId="7" borderId="1" xfId="1" applyNumberFormat="1" applyFont="1" applyFill="1" applyBorder="1" applyAlignment="1">
      <alignment horizontal="left" vertical="center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164" fontId="17" fillId="7" borderId="1" xfId="1" applyNumberFormat="1" applyFont="1" applyFill="1" applyBorder="1"/>
    <xf numFmtId="0" fontId="11" fillId="7" borderId="1" xfId="0" applyFont="1" applyFill="1" applyBorder="1" applyAlignment="1">
      <alignment horizontal="center" wrapText="1"/>
    </xf>
    <xf numFmtId="164" fontId="11" fillId="7" borderId="1" xfId="1" applyNumberFormat="1" applyFont="1" applyFill="1" applyBorder="1"/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43" fontId="31" fillId="0" borderId="0" xfId="1" applyFont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64" fontId="40" fillId="7" borderId="14" xfId="1" applyNumberFormat="1" applyFont="1" applyFill="1" applyBorder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28" fillId="0" borderId="0" xfId="0" applyFont="1" applyFill="1" applyAlignment="1"/>
    <xf numFmtId="0" fontId="26" fillId="0" borderId="0" xfId="0" applyFont="1" applyAlignment="1"/>
    <xf numFmtId="0" fontId="41" fillId="7" borderId="1" xfId="0" applyFont="1" applyFill="1" applyBorder="1" applyAlignment="1">
      <alignment horizontal="center" wrapText="1"/>
    </xf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164" fontId="9" fillId="7" borderId="1" xfId="1" applyNumberFormat="1" applyFont="1" applyFill="1" applyBorder="1" applyAlignment="1">
      <alignment horizontal="center" wrapText="1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0" fontId="23" fillId="7" borderId="1" xfId="1" applyNumberFormat="1" applyFont="1" applyFill="1" applyBorder="1" applyAlignment="1">
      <alignment horizontal="left" vertical="center"/>
    </xf>
    <xf numFmtId="164" fontId="21" fillId="7" borderId="1" xfId="1" applyNumberFormat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42" fillId="7" borderId="14" xfId="0" applyFont="1" applyFill="1" applyBorder="1" applyAlignment="1">
      <alignment horizontal="center" wrapText="1"/>
    </xf>
    <xf numFmtId="43" fontId="42" fillId="7" borderId="14" xfId="1" applyFont="1" applyFill="1" applyBorder="1" applyAlignment="1">
      <alignment horizontal="center"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164" fontId="21" fillId="0" borderId="1" xfId="1" applyNumberFormat="1" applyFont="1" applyBorder="1"/>
    <xf numFmtId="43" fontId="21" fillId="0" borderId="1" xfId="0" applyNumberFormat="1" applyFont="1" applyBorder="1"/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164" fontId="42" fillId="7" borderId="14" xfId="1" applyNumberFormat="1" applyFont="1" applyFill="1" applyBorder="1"/>
    <xf numFmtId="43" fontId="20" fillId="12" borderId="9" xfId="1" applyFont="1" applyFill="1" applyBorder="1" applyAlignment="1">
      <alignment horizontal="center" vertical="center" wrapText="1"/>
    </xf>
    <xf numFmtId="164" fontId="18" fillId="12" borderId="14" xfId="1" applyNumberFormat="1" applyFont="1" applyFill="1" applyBorder="1"/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6" fillId="0" borderId="0" xfId="0" applyFont="1" applyFill="1" applyAlignment="1"/>
    <xf numFmtId="164" fontId="19" fillId="9" borderId="1" xfId="1" applyNumberFormat="1" applyFont="1" applyFill="1" applyBorder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3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18" fillId="7" borderId="1" xfId="1" applyFont="1" applyFill="1" applyBorder="1"/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42" fillId="7" borderId="1" xfId="1" applyFont="1" applyFill="1" applyBorder="1" applyAlignment="1">
      <alignment horizontal="center" wrapText="1"/>
    </xf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7" borderId="14" xfId="1" applyFont="1" applyFill="1" applyBorder="1" applyAlignment="1">
      <alignment horizontal="center" wrapText="1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43" fontId="42" fillId="7" borderId="14" xfId="0" applyNumberFormat="1" applyFont="1" applyFill="1" applyBorder="1" applyAlignment="1">
      <alignment horizont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164" fontId="21" fillId="3" borderId="0" xfId="1" applyNumberFormat="1" applyFont="1" applyFill="1"/>
    <xf numFmtId="0" fontId="21" fillId="3" borderId="0" xfId="0" applyFont="1" applyFill="1"/>
    <xf numFmtId="9" fontId="21" fillId="3" borderId="0" xfId="1" applyNumberFormat="1" applyFont="1" applyFill="1"/>
    <xf numFmtId="0" fontId="3" fillId="3" borderId="0" xfId="0" applyFont="1" applyFill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1" xfId="1" applyFont="1" applyFill="1" applyBorder="1"/>
    <xf numFmtId="0" fontId="18" fillId="0" borderId="14" xfId="0" applyFont="1" applyFill="1" applyBorder="1" applyAlignment="1">
      <alignment horizontal="left"/>
    </xf>
    <xf numFmtId="14" fontId="21" fillId="0" borderId="1" xfId="0" applyNumberFormat="1" applyFont="1" applyFill="1" applyBorder="1"/>
    <xf numFmtId="164" fontId="21" fillId="0" borderId="1" xfId="1" applyNumberFormat="1" applyFont="1" applyFill="1" applyBorder="1" applyAlignment="1">
      <alignment horizontal="center"/>
    </xf>
    <xf numFmtId="164" fontId="23" fillId="2" borderId="18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1" fillId="0" borderId="1" xfId="1" applyNumberFormat="1" applyFont="1" applyFill="1" applyBorder="1"/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43" fontId="18" fillId="3" borderId="1" xfId="1" applyFont="1" applyFill="1" applyBorder="1"/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164" fontId="21" fillId="2" borderId="1" xfId="1" applyNumberFormat="1" applyFont="1" applyFill="1" applyBorder="1" applyAlignment="1">
      <alignment wrapText="1"/>
    </xf>
    <xf numFmtId="43" fontId="42" fillId="0" borderId="14" xfId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164" fontId="39" fillId="2" borderId="2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164" fontId="36" fillId="2" borderId="1" xfId="1" applyNumberFormat="1" applyFont="1" applyFill="1" applyBorder="1" applyAlignment="1">
      <alignment horizontal="center" vertical="center"/>
    </xf>
    <xf numFmtId="0" fontId="23" fillId="0" borderId="1" xfId="1" applyNumberFormat="1" applyFont="1" applyFill="1" applyBorder="1" applyAlignment="1">
      <alignment horizontal="left" vertical="center"/>
    </xf>
    <xf numFmtId="164" fontId="12" fillId="7" borderId="1" xfId="1" applyNumberFormat="1" applyFont="1" applyFill="1" applyBorder="1" applyAlignment="1">
      <alignment horizontal="center" wrapText="1"/>
    </xf>
    <xf numFmtId="164" fontId="12" fillId="0" borderId="1" xfId="1" applyNumberFormat="1" applyFont="1" applyFill="1" applyBorder="1" applyAlignment="1">
      <alignment horizontal="center" wrapText="1"/>
    </xf>
    <xf numFmtId="164" fontId="23" fillId="2" borderId="1" xfId="1" applyNumberFormat="1" applyFont="1" applyFill="1" applyBorder="1" applyAlignment="1">
      <alignment horizontal="center" vertical="center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1" fillId="7" borderId="0" xfId="1" applyFont="1" applyFill="1" applyAlignment="1">
      <alignment horizontal="center" wrapText="1"/>
    </xf>
    <xf numFmtId="43" fontId="42" fillId="0" borderId="0" xfId="1" applyFont="1" applyFill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43" fontId="19" fillId="9" borderId="1" xfId="1" applyFont="1" applyFill="1" applyBorder="1"/>
    <xf numFmtId="43" fontId="30" fillId="7" borderId="12" xfId="1" applyFont="1" applyFill="1" applyBorder="1" applyAlignment="1">
      <alignment horizontal="center" vertical="center" wrapText="1"/>
    </xf>
    <xf numFmtId="164" fontId="21" fillId="7" borderId="14" xfId="0" applyNumberFormat="1" applyFont="1" applyFill="1" applyBorder="1" applyAlignment="1">
      <alignment horizontal="center" wrapText="1"/>
    </xf>
    <xf numFmtId="43" fontId="21" fillId="7" borderId="14" xfId="0" applyNumberFormat="1" applyFont="1" applyFill="1" applyBorder="1" applyAlignment="1">
      <alignment horizontal="center" wrapText="1"/>
    </xf>
    <xf numFmtId="14" fontId="23" fillId="7" borderId="14" xfId="1" applyNumberFormat="1" applyFont="1" applyFill="1" applyBorder="1" applyAlignment="1">
      <alignment horizontal="center" vertical="center"/>
    </xf>
    <xf numFmtId="14" fontId="23" fillId="0" borderId="14" xfId="1" applyNumberFormat="1" applyFont="1" applyFill="1" applyBorder="1" applyAlignment="1">
      <alignment horizontal="center" vertical="center"/>
    </xf>
    <xf numFmtId="14" fontId="18" fillId="7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12" borderId="14" xfId="1" applyFont="1" applyFill="1" applyBorder="1"/>
    <xf numFmtId="43" fontId="21" fillId="4" borderId="1" xfId="1" applyFont="1" applyFill="1" applyBorder="1"/>
    <xf numFmtId="14" fontId="18" fillId="7" borderId="1" xfId="1" applyNumberFormat="1" applyFont="1" applyFill="1" applyBorder="1" applyAlignment="1">
      <alignment horizontal="center" vertical="center"/>
    </xf>
    <xf numFmtId="14" fontId="18" fillId="0" borderId="1" xfId="1" applyNumberFormat="1" applyFont="1" applyFill="1" applyBorder="1" applyAlignment="1">
      <alignment horizontal="center" vertical="center"/>
    </xf>
    <xf numFmtId="164" fontId="20" fillId="0" borderId="14" xfId="1" applyNumberFormat="1" applyFont="1" applyBorder="1"/>
    <xf numFmtId="14" fontId="18" fillId="0" borderId="1" xfId="1" applyNumberFormat="1" applyFont="1" applyFill="1" applyBorder="1" applyAlignment="1">
      <alignment vertical="center"/>
    </xf>
    <xf numFmtId="164" fontId="23" fillId="2" borderId="1" xfId="1" applyNumberFormat="1" applyFont="1" applyFill="1" applyBorder="1" applyAlignment="1">
      <alignment vertical="center"/>
    </xf>
    <xf numFmtId="43" fontId="42" fillId="0" borderId="1" xfId="1" applyFont="1" applyFill="1" applyBorder="1"/>
    <xf numFmtId="164" fontId="36" fillId="0" borderId="1" xfId="1" applyNumberFormat="1" applyFont="1" applyFill="1" applyBorder="1" applyAlignment="1">
      <alignment horizontal="center" vertical="center"/>
    </xf>
    <xf numFmtId="164" fontId="23" fillId="0" borderId="2" xfId="1" applyNumberFormat="1" applyFont="1" applyFill="1" applyBorder="1" applyAlignment="1">
      <alignment horizontal="center" vertical="center"/>
    </xf>
    <xf numFmtId="164" fontId="23" fillId="7" borderId="1" xfId="1" applyNumberFormat="1" applyFont="1" applyFill="1" applyBorder="1" applyAlignment="1">
      <alignment vertical="center"/>
    </xf>
    <xf numFmtId="14" fontId="18" fillId="7" borderId="1" xfId="1" applyNumberFormat="1" applyFont="1" applyFill="1" applyBorder="1" applyAlignment="1">
      <alignment vertical="center"/>
    </xf>
    <xf numFmtId="43" fontId="21" fillId="0" borderId="9" xfId="1" applyFont="1" applyFill="1" applyBorder="1" applyAlignment="1">
      <alignment wrapText="1"/>
    </xf>
    <xf numFmtId="43" fontId="42" fillId="7" borderId="1" xfId="1" applyFont="1" applyFill="1" applyBorder="1"/>
    <xf numFmtId="164" fontId="36" fillId="0" borderId="2" xfId="1" applyNumberFormat="1" applyFont="1" applyFill="1" applyBorder="1" applyAlignment="1">
      <alignment horizontal="center" vertical="center"/>
    </xf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21" fillId="0" borderId="1" xfId="1" applyNumberFormat="1" applyFont="1" applyFill="1" applyBorder="1" applyAlignment="1">
      <alignment wrapText="1"/>
    </xf>
    <xf numFmtId="43" fontId="20" fillId="0" borderId="10" xfId="1" applyFont="1" applyFill="1" applyBorder="1" applyAlignment="1">
      <alignment horizontal="center" vertical="center" wrapText="1"/>
    </xf>
    <xf numFmtId="164" fontId="39" fillId="0" borderId="2" xfId="1" applyNumberFormat="1" applyFont="1" applyFill="1" applyBorder="1" applyAlignment="1">
      <alignment horizontal="center" vertical="center"/>
    </xf>
    <xf numFmtId="43" fontId="35" fillId="0" borderId="1" xfId="1" applyFont="1" applyFill="1" applyBorder="1"/>
    <xf numFmtId="43" fontId="35" fillId="0" borderId="14" xfId="1" applyFont="1" applyFill="1" applyBorder="1"/>
    <xf numFmtId="43" fontId="40" fillId="0" borderId="1" xfId="1" applyFont="1" applyFill="1" applyBorder="1" applyAlignment="1">
      <alignment horizontal="center" vertical="center"/>
    </xf>
    <xf numFmtId="43" fontId="40" fillId="7" borderId="1" xfId="1" applyFont="1" applyFill="1" applyBorder="1" applyAlignment="1">
      <alignment horizontal="center" vertical="center"/>
    </xf>
    <xf numFmtId="43" fontId="35" fillId="7" borderId="1" xfId="1" applyFont="1" applyFill="1" applyBorder="1"/>
    <xf numFmtId="43" fontId="40" fillId="4" borderId="1" xfId="1" applyFont="1" applyFill="1" applyBorder="1" applyAlignment="1">
      <alignment horizontal="center" vertical="center"/>
    </xf>
    <xf numFmtId="43" fontId="37" fillId="0" borderId="1" xfId="1" applyFont="1" applyFill="1" applyBorder="1" applyAlignment="1"/>
    <xf numFmtId="43" fontId="35" fillId="7" borderId="14" xfId="1" applyFont="1" applyFill="1" applyBorder="1"/>
    <xf numFmtId="164" fontId="42" fillId="7" borderId="14" xfId="1" applyNumberFormat="1" applyFont="1" applyFill="1" applyBorder="1" applyAlignment="1">
      <alignment horizontal="center" vertical="center" wrapText="1"/>
    </xf>
    <xf numFmtId="164" fontId="42" fillId="7" borderId="1" xfId="1" applyNumberFormat="1" applyFont="1" applyFill="1" applyBorder="1"/>
    <xf numFmtId="0" fontId="21" fillId="2" borderId="0" xfId="0" applyFont="1" applyFill="1"/>
    <xf numFmtId="43" fontId="21" fillId="2" borderId="0" xfId="1" applyFont="1" applyFill="1"/>
    <xf numFmtId="164" fontId="23" fillId="0" borderId="18" xfId="1" applyNumberFormat="1" applyFont="1" applyFill="1" applyBorder="1" applyAlignment="1">
      <alignment horizontal="center" vertical="center"/>
    </xf>
    <xf numFmtId="43" fontId="21" fillId="0" borderId="0" xfId="1" applyFont="1" applyAlignment="1">
      <alignment horizontal="center"/>
    </xf>
    <xf numFmtId="164" fontId="24" fillId="0" borderId="0" xfId="1" applyNumberFormat="1" applyFont="1"/>
    <xf numFmtId="43" fontId="42" fillId="0" borderId="0" xfId="1" applyFont="1" applyAlignment="1">
      <alignment horizontal="center"/>
    </xf>
    <xf numFmtId="43" fontId="21" fillId="0" borderId="0" xfId="1" applyFont="1" applyAlignment="1">
      <alignment horizontal="right"/>
    </xf>
    <xf numFmtId="164" fontId="21" fillId="0" borderId="0" xfId="1" applyNumberFormat="1" applyFont="1" applyFill="1" applyBorder="1" applyAlignment="1">
      <alignment horizontal="right"/>
    </xf>
    <xf numFmtId="0" fontId="21" fillId="0" borderId="9" xfId="0" applyFont="1" applyFill="1" applyBorder="1" applyAlignment="1">
      <alignment horizontal="center" wrapText="1"/>
    </xf>
    <xf numFmtId="0" fontId="42" fillId="0" borderId="1" xfId="0" applyFont="1" applyFill="1" applyBorder="1" applyAlignment="1">
      <alignment horizontal="center"/>
    </xf>
    <xf numFmtId="0" fontId="42" fillId="7" borderId="1" xfId="0" applyFont="1" applyFill="1" applyBorder="1" applyAlignment="1">
      <alignment horizontal="center"/>
    </xf>
    <xf numFmtId="0" fontId="42" fillId="0" borderId="0" xfId="0" applyFont="1" applyAlignment="1">
      <alignment horizontal="center"/>
    </xf>
    <xf numFmtId="0" fontId="21" fillId="0" borderId="0" xfId="0" applyFont="1" applyAlignment="1">
      <alignment horizontal="right"/>
    </xf>
    <xf numFmtId="164" fontId="21" fillId="2" borderId="1" xfId="1" applyNumberFormat="1" applyFont="1" applyFill="1" applyBorder="1"/>
    <xf numFmtId="43" fontId="21" fillId="12" borderId="1" xfId="1" applyFont="1" applyFill="1" applyBorder="1"/>
    <xf numFmtId="0" fontId="34" fillId="0" borderId="1" xfId="0" applyFont="1" applyBorder="1" applyAlignment="1">
      <alignment horizontal="center"/>
    </xf>
    <xf numFmtId="43" fontId="18" fillId="0" borderId="0" xfId="1" applyFont="1" applyAlignment="1">
      <alignment horizontal="left"/>
    </xf>
    <xf numFmtId="164" fontId="20" fillId="0" borderId="27" xfId="1" applyNumberFormat="1" applyFont="1" applyBorder="1" applyAlignment="1">
      <alignment horizontal="center" vertical="center" wrapText="1"/>
    </xf>
    <xf numFmtId="43" fontId="47" fillId="7" borderId="0" xfId="1" applyFont="1" applyFill="1"/>
    <xf numFmtId="43" fontId="33" fillId="0" borderId="0" xfId="1" applyFont="1"/>
    <xf numFmtId="43" fontId="48" fillId="0" borderId="0" xfId="1" applyFont="1"/>
    <xf numFmtId="43" fontId="48" fillId="0" borderId="0" xfId="1" applyFont="1" applyFill="1"/>
    <xf numFmtId="43" fontId="33" fillId="7" borderId="0" xfId="1" applyFont="1" applyFill="1"/>
    <xf numFmtId="43" fontId="20" fillId="4" borderId="10" xfId="1" applyFont="1" applyFill="1" applyBorder="1" applyAlignment="1">
      <alignment horizontal="center" vertical="center" wrapText="1"/>
    </xf>
    <xf numFmtId="43" fontId="40" fillId="4" borderId="1" xfId="1" applyFont="1" applyFill="1" applyBorder="1"/>
    <xf numFmtId="43" fontId="17" fillId="0" borderId="14" xfId="1" applyFont="1" applyFill="1" applyBorder="1" applyAlignment="1">
      <alignment horizontal="right" vertical="center"/>
    </xf>
    <xf numFmtId="43" fontId="17" fillId="7" borderId="14" xfId="1" applyFont="1" applyFill="1" applyBorder="1" applyAlignment="1">
      <alignment horizontal="right" vertical="center"/>
    </xf>
    <xf numFmtId="43" fontId="21" fillId="12" borderId="14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18" fillId="12" borderId="14" xfId="1" applyFont="1" applyFill="1" applyBorder="1" applyAlignment="1">
      <alignment horizontal="right" vertical="center"/>
    </xf>
    <xf numFmtId="0" fontId="18" fillId="0" borderId="1" xfId="0" quotePrefix="1" applyFont="1" applyFill="1" applyBorder="1"/>
    <xf numFmtId="0" fontId="19" fillId="6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43" fontId="21" fillId="0" borderId="1" xfId="1" applyFont="1" applyFill="1" applyBorder="1" applyAlignment="1">
      <alignment horizontal="center"/>
    </xf>
    <xf numFmtId="0" fontId="34" fillId="0" borderId="0" xfId="0" applyFont="1"/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43" fontId="42" fillId="7" borderId="0" xfId="1" applyFont="1" applyFill="1" applyAlignment="1">
      <alignment horizontal="center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164" fontId="20" fillId="0" borderId="15" xfId="1" applyNumberFormat="1" applyFont="1" applyBorder="1" applyAlignment="1">
      <alignment horizontal="center"/>
    </xf>
    <xf numFmtId="164" fontId="20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20" fillId="7" borderId="7" xfId="1" applyFont="1" applyFill="1" applyBorder="1" applyAlignment="1">
      <alignment horizontal="center" vertical="center" wrapText="1"/>
    </xf>
    <xf numFmtId="43" fontId="2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33" fillId="5" borderId="25" xfId="0" applyFont="1" applyFill="1" applyBorder="1" applyAlignment="1">
      <alignment horizontal="center" vertical="center" wrapText="1"/>
    </xf>
    <xf numFmtId="0" fontId="33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164" fontId="1" fillId="0" borderId="1" xfId="1" applyNumberFormat="1" applyFont="1" applyFill="1" applyBorder="1"/>
    <xf numFmtId="164" fontId="1" fillId="7" borderId="1" xfId="1" applyNumberFormat="1" applyFont="1" applyFill="1" applyBorder="1"/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90"/>
  <sheetViews>
    <sheetView workbookViewId="0">
      <pane ySplit="2" topLeftCell="A3" activePane="bottomLeft" state="frozen"/>
      <selection pane="bottomLeft" activeCell="D34" sqref="D34:D84"/>
    </sheetView>
  </sheetViews>
  <sheetFormatPr defaultRowHeight="11.25"/>
  <cols>
    <col min="1" max="1" width="7.28515625" style="8" bestFit="1" customWidth="1"/>
    <col min="2" max="2" width="9" style="159" customWidth="1"/>
    <col min="3" max="3" width="60.4257812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140625" style="2" customWidth="1"/>
    <col min="17" max="17" width="3.85546875" style="3" customWidth="1"/>
    <col min="18" max="18" width="7.28515625" style="3" customWidth="1"/>
    <col min="19" max="19" width="7" style="3" customWidth="1"/>
    <col min="20" max="20" width="5.7109375" style="9" customWidth="1"/>
    <col min="21" max="21" width="16.7109375" style="3" customWidth="1"/>
    <col min="22" max="22" width="8" style="3" customWidth="1"/>
    <col min="23" max="23" width="11.7109375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06" t="s">
        <v>1</v>
      </c>
      <c r="B1" s="508" t="s">
        <v>2</v>
      </c>
      <c r="C1" s="510" t="s">
        <v>0</v>
      </c>
      <c r="D1" s="512" t="s">
        <v>62</v>
      </c>
      <c r="E1" s="514" t="s">
        <v>83</v>
      </c>
      <c r="F1" s="515"/>
      <c r="G1" s="515"/>
      <c r="H1" s="515"/>
      <c r="I1" s="515"/>
      <c r="J1" s="515"/>
      <c r="K1" s="515"/>
      <c r="L1" s="500" t="s">
        <v>369</v>
      </c>
      <c r="M1" s="500"/>
      <c r="N1" s="498" t="s">
        <v>63</v>
      </c>
      <c r="O1" s="499"/>
      <c r="P1" s="501" t="s">
        <v>29</v>
      </c>
      <c r="Q1" s="502"/>
      <c r="R1" s="502"/>
      <c r="S1" s="502"/>
      <c r="T1" s="502"/>
      <c r="U1" s="502"/>
      <c r="V1" s="502"/>
      <c r="W1" s="502"/>
      <c r="X1" s="502"/>
      <c r="Y1" s="503"/>
    </row>
    <row r="2" spans="1:25" ht="12" thickBot="1">
      <c r="A2" s="507"/>
      <c r="B2" s="509"/>
      <c r="C2" s="511"/>
      <c r="D2" s="513"/>
      <c r="E2" s="93" t="s">
        <v>92</v>
      </c>
      <c r="F2" s="93" t="s">
        <v>3</v>
      </c>
      <c r="G2" s="93" t="s">
        <v>144</v>
      </c>
      <c r="H2" s="93" t="s">
        <v>93</v>
      </c>
      <c r="I2" s="93" t="s">
        <v>94</v>
      </c>
      <c r="J2" s="93" t="s">
        <v>95</v>
      </c>
      <c r="K2" s="105" t="s">
        <v>142</v>
      </c>
      <c r="L2" s="67" t="s">
        <v>23</v>
      </c>
      <c r="M2" s="182" t="s">
        <v>69</v>
      </c>
      <c r="N2" s="173" t="s">
        <v>23</v>
      </c>
      <c r="O2" s="104" t="s">
        <v>143</v>
      </c>
      <c r="P2" s="445">
        <v>1</v>
      </c>
      <c r="Q2" s="183" t="s">
        <v>226</v>
      </c>
      <c r="R2" s="183" t="s">
        <v>227</v>
      </c>
      <c r="S2" s="183" t="s">
        <v>228</v>
      </c>
      <c r="T2" s="471" t="s">
        <v>229</v>
      </c>
      <c r="U2" s="183" t="s">
        <v>376</v>
      </c>
      <c r="V2" s="183" t="s">
        <v>377</v>
      </c>
      <c r="W2" s="183"/>
      <c r="X2" s="183"/>
      <c r="Y2" s="184"/>
    </row>
    <row r="3" spans="1:25" s="5" customFormat="1">
      <c r="A3" s="370" t="s">
        <v>552</v>
      </c>
      <c r="B3" s="436">
        <v>38567</v>
      </c>
      <c r="C3" s="364" t="s">
        <v>526</v>
      </c>
      <c r="D3" s="365">
        <v>16128.26</v>
      </c>
      <c r="E3" s="366">
        <f>'2-δικαιώμ'!L3</f>
        <v>175.18825200000001</v>
      </c>
      <c r="F3" s="367">
        <f>'3-φύλλα2α'!F3</f>
        <v>4</v>
      </c>
      <c r="G3" s="367">
        <f>'4-πολλυπρ'!P3</f>
        <v>16</v>
      </c>
      <c r="H3" s="365">
        <f>'5-αντίγρ'!M3</f>
        <v>14.24</v>
      </c>
      <c r="I3" s="365">
        <f>'6-μεταγρ'!I3</f>
        <v>12</v>
      </c>
      <c r="J3" s="365">
        <f>'7-προςΔΟΥ'!E3</f>
        <v>0</v>
      </c>
      <c r="K3" s="365"/>
      <c r="L3" s="366">
        <f t="shared" ref="L3:L23" si="0">E3+F3+G3+H3+I3+J3+K3</f>
        <v>221.42825200000001</v>
      </c>
      <c r="M3" s="366">
        <v>24</v>
      </c>
      <c r="N3" s="368">
        <f>M3-P3-'14-βιβλΕσ'!M3</f>
        <v>22.68</v>
      </c>
      <c r="O3" s="368">
        <f t="shared" ref="O3:O23" si="1">L3-N3</f>
        <v>198.74825200000001</v>
      </c>
      <c r="P3" s="440"/>
      <c r="Q3" s="369"/>
      <c r="R3" s="369"/>
      <c r="S3" s="369"/>
      <c r="T3" s="472">
        <v>14</v>
      </c>
      <c r="U3" s="369"/>
      <c r="V3" s="369"/>
      <c r="W3" s="369"/>
      <c r="X3" s="77"/>
      <c r="Y3" s="77"/>
    </row>
    <row r="4" spans="1:25" s="5" customFormat="1">
      <c r="A4" s="370"/>
      <c r="B4" s="436"/>
      <c r="C4" s="364" t="s">
        <v>523</v>
      </c>
      <c r="D4" s="365">
        <v>16128.26</v>
      </c>
      <c r="E4" s="366">
        <f>'2-δικαιώμ'!L4</f>
        <v>175.18825200000001</v>
      </c>
      <c r="F4" s="367">
        <f>'3-φύλλα2α'!F4</f>
        <v>4</v>
      </c>
      <c r="G4" s="367">
        <f>'4-πολλυπρ'!P4</f>
        <v>16</v>
      </c>
      <c r="H4" s="365">
        <f>'5-αντίγρ'!M4</f>
        <v>0</v>
      </c>
      <c r="I4" s="365">
        <f>'6-μεταγρ'!I4</f>
        <v>0</v>
      </c>
      <c r="J4" s="365">
        <f>'7-προςΔΟΥ'!E4</f>
        <v>0</v>
      </c>
      <c r="K4" s="365"/>
      <c r="L4" s="366">
        <f t="shared" si="0"/>
        <v>195.18825200000001</v>
      </c>
      <c r="M4" s="366"/>
      <c r="N4" s="368">
        <f>M4-P4-'14-βιβλΕσ'!M4</f>
        <v>0</v>
      </c>
      <c r="O4" s="368">
        <f t="shared" si="1"/>
        <v>195.18825200000001</v>
      </c>
      <c r="P4" s="440"/>
      <c r="Q4" s="369"/>
      <c r="R4" s="369"/>
      <c r="S4" s="369"/>
      <c r="T4" s="472"/>
      <c r="U4" s="369"/>
      <c r="V4" s="369"/>
      <c r="W4" s="369"/>
      <c r="X4" s="77"/>
      <c r="Y4" s="77"/>
    </row>
    <row r="5" spans="1:25" s="5" customFormat="1">
      <c r="A5" s="439"/>
      <c r="B5" s="438"/>
      <c r="C5" s="364" t="s">
        <v>522</v>
      </c>
      <c r="D5" s="396">
        <v>33333.33</v>
      </c>
      <c r="E5" s="366">
        <f>'2-δικαιώμ'!L5</f>
        <v>350.67996600000004</v>
      </c>
      <c r="F5" s="367">
        <f>'3-φύλλα2α'!F5</f>
        <v>4</v>
      </c>
      <c r="G5" s="367">
        <f>'4-πολλυπρ'!P5</f>
        <v>16</v>
      </c>
      <c r="H5" s="365">
        <f>'5-αντίγρ'!M5</f>
        <v>0</v>
      </c>
      <c r="I5" s="365">
        <f>'6-μεταγρ'!I5</f>
        <v>0</v>
      </c>
      <c r="J5" s="365">
        <f>'7-προςΔΟΥ'!E5</f>
        <v>0</v>
      </c>
      <c r="K5" s="365"/>
      <c r="L5" s="366">
        <f t="shared" si="0"/>
        <v>370.67996600000004</v>
      </c>
      <c r="M5" s="366"/>
      <c r="N5" s="368">
        <f>M5-P5-'14-βιβλΕσ'!M5</f>
        <v>0</v>
      </c>
      <c r="O5" s="368">
        <f t="shared" si="1"/>
        <v>370.67996600000004</v>
      </c>
      <c r="P5" s="440"/>
      <c r="Q5" s="369"/>
      <c r="R5" s="369"/>
      <c r="S5" s="369"/>
      <c r="T5" s="472"/>
      <c r="U5" s="369"/>
      <c r="V5" s="369"/>
      <c r="W5" s="369"/>
      <c r="X5" s="77"/>
      <c r="Y5" s="77"/>
    </row>
    <row r="6" spans="1:25" s="5" customFormat="1">
      <c r="A6" s="443"/>
      <c r="B6" s="444"/>
      <c r="C6" s="15"/>
      <c r="D6" s="345"/>
      <c r="E6" s="18"/>
      <c r="F6" s="17"/>
      <c r="G6" s="17"/>
      <c r="H6" s="345"/>
      <c r="I6" s="345"/>
      <c r="J6" s="345"/>
      <c r="K6" s="345"/>
      <c r="L6" s="18"/>
      <c r="M6" s="18"/>
      <c r="N6" s="29"/>
      <c r="O6" s="29"/>
      <c r="P6" s="446"/>
      <c r="Q6" s="151"/>
      <c r="R6" s="151"/>
      <c r="S6" s="151"/>
      <c r="T6" s="473"/>
      <c r="U6" s="151"/>
      <c r="V6" s="151"/>
      <c r="W6" s="151"/>
      <c r="X6" s="26"/>
      <c r="Y6" s="26"/>
    </row>
    <row r="7" spans="1:25" s="5" customFormat="1">
      <c r="A7" s="370" t="s">
        <v>553</v>
      </c>
      <c r="B7" s="436">
        <v>38567</v>
      </c>
      <c r="C7" s="364" t="s">
        <v>525</v>
      </c>
      <c r="D7" s="365">
        <v>35216.43</v>
      </c>
      <c r="E7" s="366">
        <f>'2-δικαιώμ'!L7</f>
        <v>369.88758600000006</v>
      </c>
      <c r="F7" s="367">
        <f>'3-φύλλα2α'!F7</f>
        <v>4</v>
      </c>
      <c r="G7" s="367">
        <f>'4-πολλυπρ'!P7</f>
        <v>16</v>
      </c>
      <c r="H7" s="365">
        <f>'5-αντίγρ'!M7</f>
        <v>14.24</v>
      </c>
      <c r="I7" s="365">
        <f>'6-μεταγρ'!I7</f>
        <v>12</v>
      </c>
      <c r="J7" s="365">
        <f>'7-προςΔΟΥ'!E7</f>
        <v>0</v>
      </c>
      <c r="K7" s="365"/>
      <c r="L7" s="366">
        <f t="shared" si="0"/>
        <v>416.12758600000006</v>
      </c>
      <c r="M7" s="366">
        <v>24</v>
      </c>
      <c r="N7" s="368">
        <f>M7-P7-'14-βιβλΕσ'!M7</f>
        <v>22.68</v>
      </c>
      <c r="O7" s="368">
        <f t="shared" si="1"/>
        <v>393.44758600000006</v>
      </c>
      <c r="P7" s="440"/>
      <c r="Q7" s="369"/>
      <c r="R7" s="369"/>
      <c r="S7" s="369"/>
      <c r="T7" s="472">
        <v>14</v>
      </c>
      <c r="U7" s="369"/>
      <c r="V7" s="369"/>
      <c r="W7" s="369"/>
      <c r="X7" s="77"/>
      <c r="Y7" s="77"/>
    </row>
    <row r="8" spans="1:25" s="5" customFormat="1">
      <c r="A8" s="370"/>
      <c r="B8" s="436"/>
      <c r="C8" s="364" t="s">
        <v>524</v>
      </c>
      <c r="D8" s="365">
        <v>35216.43</v>
      </c>
      <c r="E8" s="366">
        <f>'2-δικαιώμ'!L8</f>
        <v>369.88758600000006</v>
      </c>
      <c r="F8" s="367">
        <f>'3-φύλλα2α'!F8</f>
        <v>4</v>
      </c>
      <c r="G8" s="367">
        <f>'4-πολλυπρ'!P8</f>
        <v>16</v>
      </c>
      <c r="H8" s="365">
        <f>'5-αντίγρ'!M8</f>
        <v>0</v>
      </c>
      <c r="I8" s="365">
        <f>'6-μεταγρ'!I8</f>
        <v>0</v>
      </c>
      <c r="J8" s="365">
        <f>'7-προςΔΟΥ'!E8</f>
        <v>0</v>
      </c>
      <c r="K8" s="365"/>
      <c r="L8" s="366">
        <f t="shared" si="0"/>
        <v>389.88758600000006</v>
      </c>
      <c r="M8" s="366"/>
      <c r="N8" s="368">
        <f>M8-P8-'14-βιβλΕσ'!M8</f>
        <v>0</v>
      </c>
      <c r="O8" s="368">
        <f t="shared" si="1"/>
        <v>389.88758600000006</v>
      </c>
      <c r="P8" s="440"/>
      <c r="Q8" s="369"/>
      <c r="R8" s="369"/>
      <c r="S8" s="369"/>
      <c r="T8" s="472"/>
      <c r="U8" s="369"/>
      <c r="V8" s="369"/>
      <c r="W8" s="369"/>
      <c r="X8" s="77"/>
      <c r="Y8" s="77"/>
    </row>
    <row r="9" spans="1:25" s="5" customFormat="1">
      <c r="A9" s="370"/>
      <c r="B9" s="438"/>
      <c r="C9" s="364" t="s">
        <v>522</v>
      </c>
      <c r="D9" s="396">
        <v>77777.77</v>
      </c>
      <c r="E9" s="366">
        <f>'2-δικαιώμ'!L9</f>
        <v>804.01325400000007</v>
      </c>
      <c r="F9" s="367">
        <f>'3-φύλλα2α'!F9</f>
        <v>4</v>
      </c>
      <c r="G9" s="367">
        <f>'4-πολλυπρ'!P9</f>
        <v>16</v>
      </c>
      <c r="H9" s="365">
        <f>'5-αντίγρ'!M9</f>
        <v>0</v>
      </c>
      <c r="I9" s="365">
        <f>'6-μεταγρ'!I9</f>
        <v>0</v>
      </c>
      <c r="J9" s="365">
        <f>'7-προςΔΟΥ'!E9</f>
        <v>0</v>
      </c>
      <c r="K9" s="365"/>
      <c r="L9" s="366">
        <f t="shared" si="0"/>
        <v>824.01325400000007</v>
      </c>
      <c r="M9" s="366"/>
      <c r="N9" s="368">
        <f>M9-P9-'14-βιβλΕσ'!M9</f>
        <v>0</v>
      </c>
      <c r="O9" s="368">
        <f t="shared" si="1"/>
        <v>824.01325400000007</v>
      </c>
      <c r="P9" s="440"/>
      <c r="Q9" s="369"/>
      <c r="R9" s="369"/>
      <c r="S9" s="369"/>
      <c r="T9" s="472"/>
      <c r="U9" s="369"/>
      <c r="V9" s="369"/>
      <c r="W9" s="369"/>
      <c r="X9" s="77"/>
      <c r="Y9" s="77"/>
    </row>
    <row r="10" spans="1:25" s="5" customFormat="1">
      <c r="A10" s="14"/>
      <c r="B10" s="435"/>
      <c r="C10" s="15"/>
      <c r="D10" s="345"/>
      <c r="E10" s="18"/>
      <c r="F10" s="17"/>
      <c r="G10" s="17"/>
      <c r="H10" s="345"/>
      <c r="I10" s="345"/>
      <c r="J10" s="345"/>
      <c r="K10" s="345"/>
      <c r="L10" s="18"/>
      <c r="M10" s="18"/>
      <c r="N10" s="29"/>
      <c r="O10" s="29"/>
      <c r="P10" s="446"/>
      <c r="Q10" s="151"/>
      <c r="R10" s="151"/>
      <c r="S10" s="151"/>
      <c r="T10" s="473"/>
      <c r="U10" s="151"/>
      <c r="V10" s="151"/>
      <c r="W10" s="151"/>
      <c r="X10" s="26"/>
      <c r="Y10" s="26"/>
    </row>
    <row r="11" spans="1:25" s="5" customFormat="1">
      <c r="A11" s="370" t="s">
        <v>554</v>
      </c>
      <c r="B11" s="436">
        <v>38567</v>
      </c>
      <c r="C11" s="364" t="s">
        <v>557</v>
      </c>
      <c r="D11" s="365"/>
      <c r="E11" s="366">
        <f>'2-δικαιώμ'!L11</f>
        <v>10.68</v>
      </c>
      <c r="F11" s="367">
        <f>'3-φύλλα2α'!F11</f>
        <v>4</v>
      </c>
      <c r="G11" s="367">
        <f>'4-πολλυπρ'!P11</f>
        <v>16</v>
      </c>
      <c r="H11" s="365">
        <f>'5-αντίγρ'!M11</f>
        <v>14.24</v>
      </c>
      <c r="I11" s="365">
        <f>'6-μεταγρ'!I11</f>
        <v>12</v>
      </c>
      <c r="J11" s="365">
        <f>'7-προςΔΟΥ'!E11</f>
        <v>0</v>
      </c>
      <c r="K11" s="365"/>
      <c r="L11" s="366">
        <f t="shared" si="0"/>
        <v>56.92</v>
      </c>
      <c r="M11" s="366">
        <v>24</v>
      </c>
      <c r="N11" s="368">
        <f>M11-P11-'14-βιβλΕσ'!M11</f>
        <v>22.68</v>
      </c>
      <c r="O11" s="368">
        <f t="shared" si="1"/>
        <v>34.24</v>
      </c>
      <c r="P11" s="440"/>
      <c r="Q11" s="369"/>
      <c r="R11" s="369"/>
      <c r="S11" s="369"/>
      <c r="T11" s="472">
        <v>14</v>
      </c>
      <c r="U11" s="369"/>
      <c r="V11" s="369"/>
      <c r="W11" s="369"/>
      <c r="X11" s="77"/>
      <c r="Y11" s="77"/>
    </row>
    <row r="12" spans="1:25" s="5" customFormat="1">
      <c r="A12" s="370"/>
      <c r="B12" s="436"/>
      <c r="C12" s="364" t="s">
        <v>558</v>
      </c>
      <c r="D12" s="365"/>
      <c r="E12" s="366">
        <f>'2-δικαιώμ'!L12</f>
        <v>10.68</v>
      </c>
      <c r="F12" s="367">
        <f>'3-φύλλα2α'!F12</f>
        <v>4</v>
      </c>
      <c r="G12" s="367">
        <f>'4-πολλυπρ'!P12</f>
        <v>16</v>
      </c>
      <c r="H12" s="365">
        <f>'5-αντίγρ'!M12</f>
        <v>0</v>
      </c>
      <c r="I12" s="365">
        <f>'6-μεταγρ'!I12</f>
        <v>0</v>
      </c>
      <c r="J12" s="365">
        <f>'7-προςΔΟΥ'!E12</f>
        <v>0</v>
      </c>
      <c r="K12" s="365"/>
      <c r="L12" s="366">
        <f t="shared" si="0"/>
        <v>30.68</v>
      </c>
      <c r="M12" s="366"/>
      <c r="N12" s="368">
        <f>M12-P12-'14-βιβλΕσ'!M12</f>
        <v>0</v>
      </c>
      <c r="O12" s="368">
        <f t="shared" si="1"/>
        <v>30.68</v>
      </c>
      <c r="P12" s="440"/>
      <c r="Q12" s="369"/>
      <c r="R12" s="369"/>
      <c r="S12" s="369"/>
      <c r="T12" s="472"/>
      <c r="U12" s="369"/>
      <c r="V12" s="369"/>
      <c r="W12" s="369"/>
      <c r="X12" s="77"/>
      <c r="Y12" s="77"/>
    </row>
    <row r="13" spans="1:25" s="5" customFormat="1">
      <c r="A13" s="370"/>
      <c r="B13" s="438"/>
      <c r="C13" s="364" t="s">
        <v>559</v>
      </c>
      <c r="D13" s="396">
        <v>666.66</v>
      </c>
      <c r="E13" s="366">
        <f>'2-δικαιώμ'!L13</f>
        <v>17.479931999999998</v>
      </c>
      <c r="F13" s="367">
        <f>'3-φύλλα2α'!F13</f>
        <v>4</v>
      </c>
      <c r="G13" s="367">
        <f>'4-πολλυπρ'!P13</f>
        <v>16</v>
      </c>
      <c r="H13" s="365">
        <f>'5-αντίγρ'!M13</f>
        <v>0</v>
      </c>
      <c r="I13" s="365">
        <f>'6-μεταγρ'!I13</f>
        <v>0</v>
      </c>
      <c r="J13" s="365">
        <f>'7-προςΔΟΥ'!E13</f>
        <v>0</v>
      </c>
      <c r="K13" s="365"/>
      <c r="L13" s="366">
        <f t="shared" si="0"/>
        <v>37.479931999999998</v>
      </c>
      <c r="M13" s="366"/>
      <c r="N13" s="368">
        <f>M13-P13-'14-βιβλΕσ'!M13</f>
        <v>0</v>
      </c>
      <c r="O13" s="368">
        <f t="shared" si="1"/>
        <v>37.479931999999998</v>
      </c>
      <c r="P13" s="440"/>
      <c r="Q13" s="369"/>
      <c r="R13" s="369"/>
      <c r="S13" s="369"/>
      <c r="T13" s="472"/>
      <c r="U13" s="369"/>
      <c r="V13" s="369"/>
      <c r="W13" s="369"/>
      <c r="X13" s="77"/>
      <c r="Y13" s="77"/>
    </row>
    <row r="14" spans="1:25" s="5" customFormat="1">
      <c r="A14" s="14"/>
      <c r="B14" s="435"/>
      <c r="C14" s="15"/>
      <c r="D14" s="345"/>
      <c r="E14" s="18"/>
      <c r="F14" s="17"/>
      <c r="G14" s="17"/>
      <c r="H14" s="345"/>
      <c r="I14" s="345"/>
      <c r="J14" s="345"/>
      <c r="K14" s="345"/>
      <c r="L14" s="18"/>
      <c r="M14" s="18"/>
      <c r="N14" s="29"/>
      <c r="O14" s="29"/>
      <c r="P14" s="446"/>
      <c r="Q14" s="151"/>
      <c r="R14" s="151"/>
      <c r="S14" s="151"/>
      <c r="T14" s="473"/>
      <c r="U14" s="151"/>
      <c r="V14" s="151"/>
      <c r="W14" s="151"/>
      <c r="X14" s="26"/>
      <c r="Y14" s="26"/>
    </row>
    <row r="15" spans="1:25" s="5" customFormat="1">
      <c r="A15" s="370" t="s">
        <v>555</v>
      </c>
      <c r="B15" s="436">
        <v>38567</v>
      </c>
      <c r="C15" s="364" t="s">
        <v>560</v>
      </c>
      <c r="D15" s="365"/>
      <c r="E15" s="366">
        <f>'2-δικαιώμ'!L15</f>
        <v>10.68</v>
      </c>
      <c r="F15" s="367">
        <f>'3-φύλλα2α'!F15</f>
        <v>4</v>
      </c>
      <c r="G15" s="367">
        <f>'4-πολλυπρ'!P15</f>
        <v>16</v>
      </c>
      <c r="H15" s="365">
        <f>'5-αντίγρ'!M15</f>
        <v>14.24</v>
      </c>
      <c r="I15" s="365">
        <f>'6-μεταγρ'!I15</f>
        <v>12</v>
      </c>
      <c r="J15" s="365">
        <f>'7-προςΔΟΥ'!E15</f>
        <v>0</v>
      </c>
      <c r="K15" s="365"/>
      <c r="L15" s="366">
        <f t="shared" si="0"/>
        <v>56.92</v>
      </c>
      <c r="M15" s="366">
        <v>24</v>
      </c>
      <c r="N15" s="368">
        <f>M15-P15-'14-βιβλΕσ'!M15</f>
        <v>22.68</v>
      </c>
      <c r="O15" s="368">
        <f t="shared" si="1"/>
        <v>34.24</v>
      </c>
      <c r="P15" s="440"/>
      <c r="Q15" s="369"/>
      <c r="R15" s="369"/>
      <c r="S15" s="369"/>
      <c r="T15" s="472">
        <v>14</v>
      </c>
      <c r="U15" s="369"/>
      <c r="V15" s="369"/>
      <c r="W15" s="369"/>
      <c r="X15" s="77"/>
      <c r="Y15" s="77"/>
    </row>
    <row r="16" spans="1:25" s="5" customFormat="1">
      <c r="A16" s="370"/>
      <c r="B16" s="436"/>
      <c r="C16" s="364" t="s">
        <v>561</v>
      </c>
      <c r="D16" s="365"/>
      <c r="E16" s="366">
        <f>'2-δικαιώμ'!L16</f>
        <v>10.68</v>
      </c>
      <c r="F16" s="367">
        <f>'3-φύλλα2α'!F16</f>
        <v>4</v>
      </c>
      <c r="G16" s="367">
        <f>'4-πολλυπρ'!P16</f>
        <v>16</v>
      </c>
      <c r="H16" s="365">
        <f>'5-αντίγρ'!M16</f>
        <v>0</v>
      </c>
      <c r="I16" s="365">
        <f>'6-μεταγρ'!I16</f>
        <v>0</v>
      </c>
      <c r="J16" s="365">
        <f>'7-προςΔΟΥ'!E16</f>
        <v>0</v>
      </c>
      <c r="K16" s="365"/>
      <c r="L16" s="366">
        <f t="shared" si="0"/>
        <v>30.68</v>
      </c>
      <c r="M16" s="366"/>
      <c r="N16" s="368">
        <f>M16-P16-'14-βιβλΕσ'!M16</f>
        <v>0</v>
      </c>
      <c r="O16" s="368">
        <f t="shared" si="1"/>
        <v>30.68</v>
      </c>
      <c r="P16" s="440"/>
      <c r="Q16" s="369"/>
      <c r="R16" s="369"/>
      <c r="S16" s="369"/>
      <c r="T16" s="472"/>
      <c r="U16" s="369"/>
      <c r="V16" s="369"/>
      <c r="W16" s="369"/>
      <c r="X16" s="77"/>
      <c r="Y16" s="77"/>
    </row>
    <row r="17" spans="1:25" s="5" customFormat="1">
      <c r="A17" s="370"/>
      <c r="B17" s="438"/>
      <c r="C17" s="364" t="s">
        <v>562</v>
      </c>
      <c r="D17" s="396">
        <v>444.44</v>
      </c>
      <c r="E17" s="366">
        <f>'2-δικαιώμ'!L17</f>
        <v>15.213288000000002</v>
      </c>
      <c r="F17" s="367">
        <f>'3-φύλλα2α'!F17</f>
        <v>4</v>
      </c>
      <c r="G17" s="367">
        <f>'4-πολλυπρ'!P17</f>
        <v>16</v>
      </c>
      <c r="H17" s="365">
        <f>'5-αντίγρ'!M17</f>
        <v>0</v>
      </c>
      <c r="I17" s="365">
        <f>'6-μεταγρ'!I17</f>
        <v>0</v>
      </c>
      <c r="J17" s="365">
        <f>'7-προςΔΟΥ'!E17</f>
        <v>0</v>
      </c>
      <c r="K17" s="365"/>
      <c r="L17" s="366">
        <f t="shared" si="0"/>
        <v>35.213288000000006</v>
      </c>
      <c r="M17" s="366"/>
      <c r="N17" s="368">
        <f>M17-P17-'14-βιβλΕσ'!M17</f>
        <v>0</v>
      </c>
      <c r="O17" s="368">
        <f t="shared" si="1"/>
        <v>35.213288000000006</v>
      </c>
      <c r="P17" s="440"/>
      <c r="Q17" s="369"/>
      <c r="R17" s="369"/>
      <c r="S17" s="369"/>
      <c r="T17" s="472"/>
      <c r="U17" s="369"/>
      <c r="V17" s="369"/>
      <c r="W17" s="369"/>
      <c r="X17" s="77"/>
      <c r="Y17" s="77"/>
    </row>
    <row r="18" spans="1:25" s="5" customFormat="1">
      <c r="A18" s="14"/>
      <c r="B18" s="435"/>
      <c r="C18" s="15"/>
      <c r="D18" s="345"/>
      <c r="E18" s="18"/>
      <c r="F18" s="17"/>
      <c r="G18" s="17"/>
      <c r="H18" s="345"/>
      <c r="I18" s="345"/>
      <c r="J18" s="345"/>
      <c r="K18" s="345"/>
      <c r="L18" s="18"/>
      <c r="M18" s="18"/>
      <c r="N18" s="29"/>
      <c r="O18" s="29"/>
      <c r="P18" s="446"/>
      <c r="Q18" s="151"/>
      <c r="R18" s="151"/>
      <c r="S18" s="151"/>
      <c r="T18" s="473"/>
      <c r="U18" s="151"/>
      <c r="V18" s="151"/>
      <c r="W18" s="151"/>
      <c r="X18" s="26"/>
      <c r="Y18" s="26"/>
    </row>
    <row r="19" spans="1:25" s="5" customFormat="1">
      <c r="A19" s="370" t="s">
        <v>556</v>
      </c>
      <c r="B19" s="436">
        <v>38567</v>
      </c>
      <c r="C19" s="364" t="s">
        <v>527</v>
      </c>
      <c r="D19" s="365">
        <v>6363.47</v>
      </c>
      <c r="E19" s="366">
        <f>'2-δικαιώμ'!L19</f>
        <v>75.587394000000003</v>
      </c>
      <c r="F19" s="367">
        <f>'3-φύλλα2α'!F19</f>
        <v>4</v>
      </c>
      <c r="G19" s="367">
        <f>'4-πολλυπρ'!P19</f>
        <v>16</v>
      </c>
      <c r="H19" s="365">
        <f>'5-αντίγρ'!M19</f>
        <v>14.24</v>
      </c>
      <c r="I19" s="365">
        <f>'6-μεταγρ'!I19</f>
        <v>12</v>
      </c>
      <c r="J19" s="365">
        <f>'7-προςΔΟΥ'!E19</f>
        <v>0</v>
      </c>
      <c r="K19" s="365"/>
      <c r="L19" s="366">
        <f t="shared" si="0"/>
        <v>121.827394</v>
      </c>
      <c r="M19" s="366">
        <v>24</v>
      </c>
      <c r="N19" s="368">
        <f>M19-P19-'14-βιβλΕσ'!M19</f>
        <v>22.68</v>
      </c>
      <c r="O19" s="368">
        <f t="shared" si="1"/>
        <v>99.147393999999991</v>
      </c>
      <c r="P19" s="440"/>
      <c r="Q19" s="369"/>
      <c r="R19" s="369"/>
      <c r="S19" s="369"/>
      <c r="T19" s="472">
        <v>14</v>
      </c>
      <c r="U19" s="369"/>
      <c r="V19" s="369"/>
      <c r="W19" s="369"/>
      <c r="X19" s="77"/>
      <c r="Y19" s="77"/>
    </row>
    <row r="20" spans="1:25" s="5" customFormat="1">
      <c r="A20" s="370"/>
      <c r="B20" s="436"/>
      <c r="C20" s="364" t="s">
        <v>528</v>
      </c>
      <c r="D20" s="365">
        <v>6363.47</v>
      </c>
      <c r="E20" s="366">
        <f>'2-δικαιώμ'!L20</f>
        <v>75.587394000000003</v>
      </c>
      <c r="F20" s="367">
        <f>'3-φύλλα2α'!F20</f>
        <v>4</v>
      </c>
      <c r="G20" s="367">
        <f>'4-πολλυπρ'!P20</f>
        <v>16</v>
      </c>
      <c r="H20" s="365">
        <f>'5-αντίγρ'!M20</f>
        <v>0</v>
      </c>
      <c r="I20" s="365">
        <f>'6-μεταγρ'!I20</f>
        <v>0</v>
      </c>
      <c r="J20" s="365">
        <f>'7-προςΔΟΥ'!E20</f>
        <v>0</v>
      </c>
      <c r="K20" s="365"/>
      <c r="L20" s="366">
        <f t="shared" si="0"/>
        <v>95.587394000000003</v>
      </c>
      <c r="M20" s="366"/>
      <c r="N20" s="368">
        <f>M20-P20-'14-βιβλΕσ'!M20</f>
        <v>0</v>
      </c>
      <c r="O20" s="368">
        <f t="shared" si="1"/>
        <v>95.587394000000003</v>
      </c>
      <c r="P20" s="440"/>
      <c r="Q20" s="369"/>
      <c r="R20" s="369"/>
      <c r="S20" s="369"/>
      <c r="T20" s="472"/>
      <c r="U20" s="369"/>
      <c r="V20" s="369"/>
      <c r="W20" s="369"/>
      <c r="X20" s="77"/>
      <c r="Y20" s="77"/>
    </row>
    <row r="21" spans="1:25" s="5" customFormat="1">
      <c r="A21" s="370"/>
      <c r="B21" s="438"/>
      <c r="C21" s="364" t="s">
        <v>522</v>
      </c>
      <c r="D21" s="396">
        <v>14444.44</v>
      </c>
      <c r="E21" s="366">
        <f>'2-δικαιώμ'!L21</f>
        <v>158.01328799999999</v>
      </c>
      <c r="F21" s="367">
        <f>'3-φύλλα2α'!F21</f>
        <v>4</v>
      </c>
      <c r="G21" s="367">
        <f>'4-πολλυπρ'!P21</f>
        <v>16</v>
      </c>
      <c r="H21" s="365">
        <f>'5-αντίγρ'!M21</f>
        <v>0</v>
      </c>
      <c r="I21" s="365">
        <f>'6-μεταγρ'!I21</f>
        <v>0</v>
      </c>
      <c r="J21" s="365">
        <f>'7-προςΔΟΥ'!E21</f>
        <v>0</v>
      </c>
      <c r="K21" s="365"/>
      <c r="L21" s="366">
        <f t="shared" si="0"/>
        <v>178.01328799999999</v>
      </c>
      <c r="M21" s="366"/>
      <c r="N21" s="368">
        <f>M21-P21-'14-βιβλΕσ'!M21</f>
        <v>0</v>
      </c>
      <c r="O21" s="368">
        <f t="shared" si="1"/>
        <v>178.01328799999999</v>
      </c>
      <c r="P21" s="440"/>
      <c r="Q21" s="369"/>
      <c r="R21" s="369"/>
      <c r="S21" s="369"/>
      <c r="T21" s="472"/>
      <c r="U21" s="369"/>
      <c r="V21" s="369"/>
      <c r="W21" s="369"/>
      <c r="X21" s="77"/>
      <c r="Y21" s="77"/>
    </row>
    <row r="22" spans="1:25" s="5" customFormat="1">
      <c r="A22" s="14"/>
      <c r="B22" s="435"/>
      <c r="C22" s="15"/>
      <c r="D22" s="345"/>
      <c r="E22" s="18"/>
      <c r="F22" s="17"/>
      <c r="G22" s="17"/>
      <c r="H22" s="345"/>
      <c r="I22" s="345"/>
      <c r="J22" s="345"/>
      <c r="K22" s="345"/>
      <c r="L22" s="18"/>
      <c r="M22" s="18"/>
      <c r="N22" s="29"/>
      <c r="O22" s="29"/>
      <c r="P22" s="446"/>
      <c r="Q22" s="151"/>
      <c r="R22" s="151"/>
      <c r="S22" s="151"/>
      <c r="T22" s="473"/>
      <c r="U22" s="151"/>
      <c r="V22" s="151"/>
      <c r="W22" s="151"/>
      <c r="X22" s="26"/>
      <c r="Y22" s="26"/>
    </row>
    <row r="23" spans="1:25" s="5" customFormat="1">
      <c r="A23" s="442"/>
      <c r="B23" s="436"/>
      <c r="C23" s="493" t="s">
        <v>547</v>
      </c>
      <c r="D23" s="396">
        <v>111</v>
      </c>
      <c r="E23" s="366">
        <f>'2-δικαιώμ'!L23</f>
        <v>0</v>
      </c>
      <c r="F23" s="367">
        <f>'3-φύλλα2α'!F23</f>
        <v>0</v>
      </c>
      <c r="G23" s="367">
        <f>'4-πολλυπρ'!P23</f>
        <v>0</v>
      </c>
      <c r="H23" s="365">
        <f>'5-αντίγρ'!M23</f>
        <v>0</v>
      </c>
      <c r="I23" s="365">
        <f>'6-μεταγρ'!I23</f>
        <v>0</v>
      </c>
      <c r="J23" s="365">
        <f>'7-προςΔΟΥ'!E23</f>
        <v>0</v>
      </c>
      <c r="K23" s="365"/>
      <c r="L23" s="366">
        <f t="shared" si="0"/>
        <v>0</v>
      </c>
      <c r="M23" s="366"/>
      <c r="N23" s="368">
        <f>M23-'14-βιβλΕσ'!L23</f>
        <v>0</v>
      </c>
      <c r="O23" s="368">
        <f t="shared" si="1"/>
        <v>0</v>
      </c>
      <c r="P23" s="440"/>
      <c r="Q23" s="369"/>
      <c r="R23" s="369"/>
      <c r="S23" s="369"/>
      <c r="T23" s="472"/>
      <c r="U23" s="369"/>
      <c r="V23" s="369"/>
      <c r="W23" s="369"/>
      <c r="X23" s="77"/>
      <c r="Y23" s="77"/>
    </row>
    <row r="24" spans="1:25">
      <c r="A24" s="504" t="s">
        <v>47</v>
      </c>
      <c r="B24" s="505"/>
      <c r="C24" s="505"/>
      <c r="D24" s="505"/>
      <c r="E24" s="41">
        <f t="shared" ref="E24:O24" si="2">SUM(E3:E23)</f>
        <v>2629.4461919999999</v>
      </c>
      <c r="F24" s="41">
        <f t="shared" si="2"/>
        <v>60</v>
      </c>
      <c r="G24" s="41">
        <f t="shared" si="2"/>
        <v>240</v>
      </c>
      <c r="H24" s="41">
        <f t="shared" si="2"/>
        <v>71.2</v>
      </c>
      <c r="I24" s="41">
        <f t="shared" si="2"/>
        <v>60</v>
      </c>
      <c r="J24" s="41">
        <f t="shared" si="2"/>
        <v>0</v>
      </c>
      <c r="K24" s="41">
        <f t="shared" si="2"/>
        <v>0</v>
      </c>
      <c r="L24" s="41">
        <f t="shared" si="2"/>
        <v>3060.6461920000002</v>
      </c>
      <c r="M24" s="41">
        <f t="shared" si="2"/>
        <v>120</v>
      </c>
      <c r="N24" s="41">
        <f t="shared" si="2"/>
        <v>113.4</v>
      </c>
      <c r="O24" s="41">
        <f t="shared" si="2"/>
        <v>2947.2461920000001</v>
      </c>
    </row>
    <row r="26" spans="1:25">
      <c r="P26" s="196" t="s">
        <v>98</v>
      </c>
      <c r="Q26" s="153"/>
      <c r="R26" s="153"/>
      <c r="S26" s="153"/>
      <c r="T26" s="474"/>
      <c r="U26" s="161"/>
      <c r="V26" s="161"/>
      <c r="X26" s="153"/>
      <c r="Y26" s="153"/>
    </row>
    <row r="27" spans="1:25">
      <c r="C27" s="497" t="s">
        <v>564</v>
      </c>
      <c r="H27" s="466"/>
      <c r="I27" s="468"/>
      <c r="K27" s="244" t="s">
        <v>498</v>
      </c>
      <c r="L27" s="8"/>
      <c r="M27" s="8"/>
      <c r="Q27" s="140" t="s">
        <v>372</v>
      </c>
      <c r="R27" s="140"/>
      <c r="S27" s="140"/>
      <c r="T27" s="466"/>
      <c r="U27" s="161"/>
      <c r="V27" s="161"/>
      <c r="X27" s="154"/>
      <c r="Y27" s="140"/>
    </row>
    <row r="28" spans="1:25">
      <c r="C28" s="475" t="s">
        <v>563</v>
      </c>
      <c r="D28" s="467"/>
      <c r="E28" s="326"/>
      <c r="F28" s="469"/>
      <c r="K28" s="186" t="s">
        <v>230</v>
      </c>
      <c r="L28" s="142"/>
      <c r="M28" s="142"/>
      <c r="Q28" s="140"/>
      <c r="R28" s="140" t="s">
        <v>139</v>
      </c>
      <c r="S28" s="140"/>
      <c r="T28" s="474"/>
      <c r="U28" s="161"/>
      <c r="V28" s="161"/>
      <c r="X28" s="140"/>
    </row>
    <row r="29" spans="1:25">
      <c r="E29" s="326"/>
      <c r="F29" s="469"/>
      <c r="K29" s="243" t="s">
        <v>231</v>
      </c>
      <c r="S29" s="140" t="s">
        <v>371</v>
      </c>
      <c r="U29" s="98"/>
      <c r="V29" s="98"/>
    </row>
    <row r="30" spans="1:25">
      <c r="E30" s="326"/>
      <c r="F30" s="469"/>
      <c r="K30" s="8"/>
      <c r="L30" s="8"/>
      <c r="M30" s="8"/>
      <c r="N30" s="8"/>
      <c r="O30" s="8"/>
      <c r="T30" s="161" t="s">
        <v>373</v>
      </c>
      <c r="U30" s="161"/>
      <c r="V30" s="161"/>
    </row>
    <row r="31" spans="1:25">
      <c r="E31" s="326"/>
      <c r="F31" s="469"/>
      <c r="T31" s="475"/>
      <c r="U31" s="161" t="s">
        <v>374</v>
      </c>
      <c r="V31" s="161"/>
    </row>
    <row r="32" spans="1:25">
      <c r="E32" s="326"/>
      <c r="F32" s="469"/>
      <c r="U32" s="98"/>
      <c r="V32" s="161" t="s">
        <v>375</v>
      </c>
    </row>
    <row r="33" spans="4:23">
      <c r="H33" s="466" t="s">
        <v>259</v>
      </c>
      <c r="I33" s="479" t="s">
        <v>520</v>
      </c>
      <c r="K33" s="516" t="s">
        <v>521</v>
      </c>
      <c r="L33" s="516"/>
      <c r="M33" s="516"/>
      <c r="U33" s="98"/>
      <c r="V33" s="98"/>
    </row>
    <row r="34" spans="4:23">
      <c r="D34" s="467" t="s">
        <v>552</v>
      </c>
      <c r="E34" s="326">
        <v>24</v>
      </c>
      <c r="F34" s="469" t="s">
        <v>325</v>
      </c>
      <c r="I34" s="2">
        <v>0.5</v>
      </c>
      <c r="K34" s="2">
        <v>0.5</v>
      </c>
      <c r="L34" s="2">
        <v>0.5</v>
      </c>
      <c r="M34" s="2">
        <v>0.5</v>
      </c>
      <c r="Q34" s="140"/>
      <c r="R34" s="140"/>
      <c r="S34" s="140"/>
      <c r="T34" s="466"/>
      <c r="U34" s="161"/>
      <c r="V34" s="161"/>
    </row>
    <row r="35" spans="4:23">
      <c r="D35" s="467"/>
      <c r="E35" s="326"/>
      <c r="F35" s="469" t="s">
        <v>368</v>
      </c>
      <c r="K35" s="2">
        <v>209.67</v>
      </c>
      <c r="L35" s="2">
        <v>209.67</v>
      </c>
      <c r="M35" s="2">
        <v>433.33</v>
      </c>
      <c r="Q35" s="140"/>
      <c r="R35" s="140"/>
      <c r="S35" s="140"/>
      <c r="T35" s="466"/>
      <c r="U35" s="161"/>
      <c r="V35" s="161"/>
    </row>
    <row r="36" spans="4:23">
      <c r="D36" s="467"/>
      <c r="E36" s="326"/>
      <c r="F36" s="469" t="s">
        <v>78</v>
      </c>
      <c r="G36" s="2">
        <v>12</v>
      </c>
      <c r="H36" s="2">
        <v>1.32</v>
      </c>
      <c r="I36" s="2">
        <v>12</v>
      </c>
      <c r="Q36" s="140"/>
      <c r="R36" s="140"/>
      <c r="S36" s="140"/>
      <c r="T36" s="466"/>
      <c r="U36" s="161"/>
      <c r="V36" s="161"/>
    </row>
    <row r="37" spans="4:23">
      <c r="E37" s="326"/>
      <c r="F37" s="469" t="s">
        <v>505</v>
      </c>
      <c r="K37" s="2">
        <v>12</v>
      </c>
      <c r="L37" s="2">
        <v>12</v>
      </c>
      <c r="M37" s="2">
        <v>12</v>
      </c>
      <c r="Q37" s="140"/>
      <c r="R37" s="140"/>
      <c r="S37" s="140"/>
      <c r="T37" s="474"/>
      <c r="U37" s="161"/>
      <c r="V37" s="161"/>
    </row>
    <row r="38" spans="4:23">
      <c r="E38" s="326"/>
      <c r="F38" s="469" t="s">
        <v>506</v>
      </c>
      <c r="K38" s="2">
        <v>193.54</v>
      </c>
      <c r="L38" s="2">
        <v>193.54</v>
      </c>
      <c r="M38" s="2">
        <v>133.33000000000001</v>
      </c>
      <c r="U38" s="161"/>
      <c r="V38" s="161"/>
    </row>
    <row r="39" spans="4:23">
      <c r="E39" s="326"/>
      <c r="F39" s="469" t="s">
        <v>507</v>
      </c>
      <c r="G39" s="2">
        <v>4</v>
      </c>
      <c r="I39" s="2">
        <v>4</v>
      </c>
      <c r="K39" s="2">
        <v>4</v>
      </c>
      <c r="L39" s="2">
        <v>4</v>
      </c>
      <c r="M39" s="2">
        <v>4</v>
      </c>
      <c r="U39" s="98"/>
      <c r="V39" s="98"/>
      <c r="W39" s="98"/>
    </row>
    <row r="40" spans="4:23">
      <c r="E40" s="326"/>
      <c r="F40" s="469" t="s">
        <v>93</v>
      </c>
      <c r="G40" s="2">
        <v>8</v>
      </c>
      <c r="I40" s="2">
        <v>8</v>
      </c>
      <c r="K40" s="2">
        <v>16</v>
      </c>
    </row>
    <row r="41" spans="4:23">
      <c r="E41" s="326"/>
      <c r="F41" s="469" t="s">
        <v>508</v>
      </c>
    </row>
    <row r="42" spans="4:23">
      <c r="E42" s="326"/>
      <c r="G42" s="202">
        <f>SUM(G33:G41)</f>
        <v>24</v>
      </c>
      <c r="H42" s="202">
        <f>SUM(H33:H41)</f>
        <v>1.32</v>
      </c>
      <c r="I42" s="202">
        <f>SUM(I33:I41)</f>
        <v>24.5</v>
      </c>
      <c r="K42" s="202">
        <f>SUM(K33:K41)</f>
        <v>435.71</v>
      </c>
      <c r="L42" s="202">
        <f t="shared" ref="L42:M42" si="3">SUM(L33:L41)</f>
        <v>419.71</v>
      </c>
      <c r="M42" s="202">
        <f t="shared" si="3"/>
        <v>583.16</v>
      </c>
      <c r="N42" s="233">
        <f>SUM(K42:M42)</f>
        <v>1438.58</v>
      </c>
    </row>
    <row r="43" spans="4:23">
      <c r="E43" s="326"/>
      <c r="I43" s="202"/>
    </row>
    <row r="44" spans="4:23">
      <c r="G44" s="202"/>
      <c r="H44" s="202"/>
      <c r="I44" s="202"/>
    </row>
    <row r="45" spans="4:23">
      <c r="H45" s="466" t="s">
        <v>259</v>
      </c>
      <c r="I45" s="479" t="s">
        <v>520</v>
      </c>
      <c r="K45" s="516" t="s">
        <v>521</v>
      </c>
      <c r="L45" s="516"/>
      <c r="M45" s="516"/>
    </row>
    <row r="46" spans="4:23">
      <c r="D46" s="467" t="s">
        <v>553</v>
      </c>
      <c r="E46" s="326">
        <v>24</v>
      </c>
      <c r="F46" s="469" t="s">
        <v>325</v>
      </c>
      <c r="I46" s="2">
        <v>0.5</v>
      </c>
      <c r="K46" s="2">
        <v>0.5</v>
      </c>
      <c r="L46" s="2">
        <v>0.5</v>
      </c>
      <c r="M46" s="2">
        <v>0.5</v>
      </c>
    </row>
    <row r="47" spans="4:23">
      <c r="D47" s="467"/>
      <c r="E47" s="326"/>
      <c r="F47" s="469" t="s">
        <v>368</v>
      </c>
      <c r="K47" s="2">
        <v>457.81</v>
      </c>
      <c r="L47" s="2">
        <v>457.81</v>
      </c>
      <c r="M47" s="2">
        <v>1011.11</v>
      </c>
    </row>
    <row r="48" spans="4:23">
      <c r="D48" s="467"/>
      <c r="E48" s="326"/>
      <c r="F48" s="469" t="s">
        <v>78</v>
      </c>
      <c r="G48" s="2">
        <v>12</v>
      </c>
      <c r="H48" s="2">
        <v>1.32</v>
      </c>
      <c r="I48" s="2">
        <v>12</v>
      </c>
    </row>
    <row r="49" spans="4:14">
      <c r="E49" s="326"/>
      <c r="F49" s="469" t="s">
        <v>505</v>
      </c>
      <c r="K49" s="2">
        <v>12</v>
      </c>
      <c r="L49" s="2">
        <v>12</v>
      </c>
      <c r="M49" s="2">
        <v>12</v>
      </c>
    </row>
    <row r="50" spans="4:14">
      <c r="E50" s="326"/>
      <c r="F50" s="469" t="s">
        <v>506</v>
      </c>
      <c r="K50" s="2">
        <v>422.6</v>
      </c>
      <c r="L50" s="2">
        <v>422.6</v>
      </c>
      <c r="M50" s="2">
        <v>266.67</v>
      </c>
    </row>
    <row r="51" spans="4:14">
      <c r="E51" s="326"/>
      <c r="F51" s="469" t="s">
        <v>507</v>
      </c>
      <c r="G51" s="2">
        <v>4</v>
      </c>
      <c r="I51" s="2">
        <v>4</v>
      </c>
      <c r="K51" s="2">
        <v>4</v>
      </c>
      <c r="L51" s="2">
        <v>4</v>
      </c>
      <c r="M51" s="2">
        <v>4</v>
      </c>
    </row>
    <row r="52" spans="4:14">
      <c r="E52" s="326"/>
      <c r="F52" s="469" t="s">
        <v>93</v>
      </c>
      <c r="G52" s="2">
        <v>8</v>
      </c>
      <c r="I52" s="2">
        <v>8</v>
      </c>
      <c r="K52" s="2">
        <v>16</v>
      </c>
    </row>
    <row r="53" spans="4:14">
      <c r="E53" s="326"/>
      <c r="F53" s="469" t="s">
        <v>508</v>
      </c>
    </row>
    <row r="54" spans="4:14">
      <c r="E54" s="326"/>
      <c r="G54" s="202">
        <f>SUM(G45:G53)</f>
        <v>24</v>
      </c>
      <c r="H54" s="202">
        <f>SUM(H45:H53)</f>
        <v>1.32</v>
      </c>
      <c r="I54" s="202">
        <f>SUM(I45:I53)</f>
        <v>24.5</v>
      </c>
      <c r="K54" s="202">
        <f>SUM(K45:K53)</f>
        <v>912.91000000000008</v>
      </c>
      <c r="L54" s="202">
        <f t="shared" ref="L54:M54" si="4">SUM(L45:L53)</f>
        <v>896.91000000000008</v>
      </c>
      <c r="M54" s="202">
        <f t="shared" si="4"/>
        <v>1294.28</v>
      </c>
      <c r="N54" s="233">
        <f>SUM(K54:M54)</f>
        <v>3104.1000000000004</v>
      </c>
    </row>
    <row r="57" spans="4:14">
      <c r="H57" s="466" t="s">
        <v>259</v>
      </c>
      <c r="I57" s="479" t="s">
        <v>520</v>
      </c>
      <c r="K57" s="516" t="s">
        <v>521</v>
      </c>
      <c r="L57" s="516"/>
      <c r="M57" s="516"/>
    </row>
    <row r="58" spans="4:14">
      <c r="D58" s="467" t="s">
        <v>554</v>
      </c>
      <c r="E58" s="326">
        <v>24</v>
      </c>
      <c r="F58" s="469" t="s">
        <v>325</v>
      </c>
      <c r="I58" s="2">
        <v>0.5</v>
      </c>
      <c r="K58" s="2">
        <v>0.5</v>
      </c>
      <c r="L58" s="2">
        <v>0.5</v>
      </c>
      <c r="M58" s="2">
        <v>0.5</v>
      </c>
    </row>
    <row r="59" spans="4:14">
      <c r="D59" s="467"/>
      <c r="E59" s="326"/>
      <c r="F59" s="469" t="s">
        <v>368</v>
      </c>
      <c r="K59" s="2">
        <v>39.799999999999997</v>
      </c>
      <c r="M59" s="2">
        <v>86.05</v>
      </c>
    </row>
    <row r="60" spans="4:14">
      <c r="D60" s="467"/>
      <c r="E60" s="326"/>
      <c r="F60" s="469" t="s">
        <v>78</v>
      </c>
      <c r="G60" s="2">
        <v>12</v>
      </c>
      <c r="H60" s="2">
        <v>1.32</v>
      </c>
      <c r="I60" s="2">
        <v>12</v>
      </c>
      <c r="L60" s="2">
        <v>12</v>
      </c>
    </row>
    <row r="61" spans="4:14">
      <c r="E61" s="326"/>
      <c r="F61" s="469" t="s">
        <v>505</v>
      </c>
      <c r="K61" s="2">
        <v>12</v>
      </c>
      <c r="M61" s="2">
        <v>12</v>
      </c>
    </row>
    <row r="62" spans="4:14">
      <c r="E62" s="326"/>
      <c r="F62" s="469" t="s">
        <v>506</v>
      </c>
      <c r="K62" s="2">
        <v>36.74</v>
      </c>
      <c r="M62" s="2">
        <v>79.430000000000007</v>
      </c>
    </row>
    <row r="63" spans="4:14">
      <c r="E63" s="326"/>
      <c r="F63" s="469" t="s">
        <v>507</v>
      </c>
      <c r="G63" s="2">
        <v>4</v>
      </c>
      <c r="I63" s="2">
        <v>4</v>
      </c>
      <c r="K63" s="2">
        <v>4</v>
      </c>
      <c r="L63" s="2">
        <v>4</v>
      </c>
      <c r="M63" s="2">
        <v>4</v>
      </c>
    </row>
    <row r="64" spans="4:14">
      <c r="E64" s="326"/>
      <c r="F64" s="469" t="s">
        <v>93</v>
      </c>
      <c r="G64" s="2">
        <v>8</v>
      </c>
      <c r="I64" s="2">
        <v>8</v>
      </c>
      <c r="K64" s="2">
        <v>16</v>
      </c>
    </row>
    <row r="65" spans="4:14">
      <c r="E65" s="326"/>
      <c r="F65" s="469" t="s">
        <v>508</v>
      </c>
    </row>
    <row r="66" spans="4:14">
      <c r="E66" s="326"/>
      <c r="G66" s="202">
        <f>SUM(G57:G65)</f>
        <v>24</v>
      </c>
      <c r="H66" s="202">
        <f>SUM(H57:H65)</f>
        <v>1.32</v>
      </c>
      <c r="I66" s="202">
        <f>SUM(I57:I65)</f>
        <v>24.5</v>
      </c>
      <c r="K66" s="202">
        <f>SUM(K57:K65)</f>
        <v>109.03999999999999</v>
      </c>
      <c r="L66" s="202">
        <f t="shared" ref="L66:M66" si="5">SUM(L57:L65)</f>
        <v>16.5</v>
      </c>
      <c r="M66" s="202">
        <f t="shared" si="5"/>
        <v>181.98000000000002</v>
      </c>
      <c r="N66" s="233">
        <f>SUM(K66:M66)</f>
        <v>307.52</v>
      </c>
    </row>
    <row r="69" spans="4:14">
      <c r="H69" s="466" t="s">
        <v>259</v>
      </c>
      <c r="I69" s="479" t="s">
        <v>520</v>
      </c>
      <c r="K69" s="516" t="s">
        <v>521</v>
      </c>
      <c r="L69" s="516"/>
      <c r="M69" s="516"/>
    </row>
    <row r="70" spans="4:14">
      <c r="D70" s="467" t="s">
        <v>555</v>
      </c>
      <c r="E70" s="326">
        <v>24</v>
      </c>
      <c r="F70" s="469" t="s">
        <v>325</v>
      </c>
      <c r="I70" s="2">
        <v>0.5</v>
      </c>
      <c r="K70" s="2">
        <v>0.5</v>
      </c>
      <c r="L70" s="2">
        <v>0.5</v>
      </c>
      <c r="M70" s="2">
        <v>0.5</v>
      </c>
    </row>
    <row r="71" spans="4:14">
      <c r="D71" s="467"/>
      <c r="E71" s="326"/>
      <c r="F71" s="469" t="s">
        <v>368</v>
      </c>
      <c r="K71" s="2">
        <v>26.71</v>
      </c>
      <c r="M71" s="2">
        <v>59.1</v>
      </c>
    </row>
    <row r="72" spans="4:14">
      <c r="D72" s="467"/>
      <c r="E72" s="326"/>
      <c r="F72" s="469" t="s">
        <v>78</v>
      </c>
      <c r="G72" s="2">
        <v>12</v>
      </c>
      <c r="H72" s="2">
        <v>1.32</v>
      </c>
      <c r="I72" s="2">
        <v>12</v>
      </c>
      <c r="L72" s="2">
        <v>12</v>
      </c>
    </row>
    <row r="73" spans="4:14">
      <c r="E73" s="326"/>
      <c r="F73" s="469" t="s">
        <v>505</v>
      </c>
      <c r="K73" s="2">
        <v>12</v>
      </c>
      <c r="M73" s="2">
        <v>12</v>
      </c>
    </row>
    <row r="74" spans="4:14">
      <c r="E74" s="326"/>
      <c r="F74" s="469" t="s">
        <v>506</v>
      </c>
      <c r="K74" s="2">
        <v>24.65</v>
      </c>
      <c r="M74" s="2">
        <v>54.55</v>
      </c>
    </row>
    <row r="75" spans="4:14">
      <c r="E75" s="326"/>
      <c r="F75" s="469" t="s">
        <v>507</v>
      </c>
      <c r="G75" s="2">
        <v>4</v>
      </c>
      <c r="I75" s="2">
        <v>4</v>
      </c>
      <c r="K75" s="2">
        <v>4</v>
      </c>
      <c r="L75" s="2">
        <v>4</v>
      </c>
      <c r="M75" s="2">
        <v>4</v>
      </c>
    </row>
    <row r="76" spans="4:14">
      <c r="E76" s="326"/>
      <c r="F76" s="469" t="s">
        <v>93</v>
      </c>
      <c r="G76" s="2">
        <v>8</v>
      </c>
      <c r="I76" s="2">
        <v>8</v>
      </c>
      <c r="K76" s="2">
        <v>16</v>
      </c>
    </row>
    <row r="77" spans="4:14">
      <c r="E77" s="326"/>
      <c r="F77" s="469" t="s">
        <v>508</v>
      </c>
    </row>
    <row r="78" spans="4:14">
      <c r="E78" s="326"/>
      <c r="G78" s="202">
        <f>SUM(G69:G77)</f>
        <v>24</v>
      </c>
      <c r="H78" s="202">
        <f>SUM(H69:H77)</f>
        <v>1.32</v>
      </c>
      <c r="I78" s="202">
        <f>SUM(I69:I77)</f>
        <v>24.5</v>
      </c>
      <c r="K78" s="202">
        <f>SUM(K69:K77)</f>
        <v>83.86</v>
      </c>
      <c r="L78" s="202">
        <f t="shared" ref="L78:M78" si="6">SUM(L69:L77)</f>
        <v>16.5</v>
      </c>
      <c r="M78" s="202">
        <f t="shared" si="6"/>
        <v>130.14999999999998</v>
      </c>
      <c r="N78" s="233">
        <f>SUM(K78:M78)</f>
        <v>230.51</v>
      </c>
    </row>
    <row r="81" spans="4:14">
      <c r="H81" s="466" t="s">
        <v>259</v>
      </c>
      <c r="I81" s="479" t="s">
        <v>520</v>
      </c>
      <c r="K81" s="516" t="s">
        <v>521</v>
      </c>
      <c r="L81" s="516"/>
      <c r="M81" s="516"/>
    </row>
    <row r="82" spans="4:14">
      <c r="D82" s="467" t="s">
        <v>556</v>
      </c>
      <c r="E82" s="326">
        <v>24</v>
      </c>
      <c r="F82" s="469" t="s">
        <v>325</v>
      </c>
      <c r="I82" s="2">
        <v>0.5</v>
      </c>
      <c r="K82" s="2">
        <v>0.5</v>
      </c>
      <c r="L82" s="2">
        <v>0.5</v>
      </c>
      <c r="M82" s="2">
        <v>0.5</v>
      </c>
    </row>
    <row r="83" spans="4:14">
      <c r="D83" s="467"/>
      <c r="E83" s="326"/>
      <c r="F83" s="469" t="s">
        <v>368</v>
      </c>
      <c r="K83" s="2">
        <v>82.73</v>
      </c>
      <c r="L83" s="2">
        <v>82.73</v>
      </c>
      <c r="M83" s="2">
        <v>187.78</v>
      </c>
    </row>
    <row r="84" spans="4:14">
      <c r="D84" s="467"/>
      <c r="E84" s="326"/>
      <c r="F84" s="469" t="s">
        <v>78</v>
      </c>
      <c r="G84" s="2">
        <v>12</v>
      </c>
      <c r="H84" s="2">
        <v>1.32</v>
      </c>
      <c r="I84" s="2">
        <v>12</v>
      </c>
    </row>
    <row r="85" spans="4:14">
      <c r="E85" s="326"/>
      <c r="F85" s="469" t="s">
        <v>505</v>
      </c>
      <c r="K85" s="2">
        <v>12</v>
      </c>
      <c r="L85" s="2">
        <v>12</v>
      </c>
      <c r="M85" s="2">
        <v>12</v>
      </c>
    </row>
    <row r="86" spans="4:14">
      <c r="E86" s="326"/>
      <c r="F86" s="469" t="s">
        <v>506</v>
      </c>
      <c r="K86" s="2">
        <v>76.36</v>
      </c>
      <c r="L86" s="2">
        <v>76.36</v>
      </c>
      <c r="M86" s="2">
        <v>40</v>
      </c>
    </row>
    <row r="87" spans="4:14">
      <c r="E87" s="326"/>
      <c r="F87" s="469" t="s">
        <v>507</v>
      </c>
      <c r="G87" s="2">
        <v>4</v>
      </c>
      <c r="I87" s="2">
        <v>4</v>
      </c>
      <c r="K87" s="2">
        <v>4</v>
      </c>
      <c r="L87" s="2">
        <v>4</v>
      </c>
      <c r="M87" s="2">
        <v>4</v>
      </c>
    </row>
    <row r="88" spans="4:14">
      <c r="E88" s="326"/>
      <c r="F88" s="469" t="s">
        <v>93</v>
      </c>
      <c r="G88" s="2">
        <v>8</v>
      </c>
      <c r="I88" s="2">
        <v>8</v>
      </c>
      <c r="K88" s="2">
        <v>16</v>
      </c>
    </row>
    <row r="89" spans="4:14">
      <c r="E89" s="326"/>
      <c r="F89" s="469" t="s">
        <v>508</v>
      </c>
    </row>
    <row r="90" spans="4:14">
      <c r="E90" s="326"/>
      <c r="G90" s="202">
        <f>SUM(G81:G89)</f>
        <v>24</v>
      </c>
      <c r="H90" s="202">
        <f>SUM(H81:H89)</f>
        <v>1.32</v>
      </c>
      <c r="I90" s="202">
        <f>SUM(I81:I89)</f>
        <v>24.5</v>
      </c>
      <c r="K90" s="202">
        <f>SUM(K81:K89)</f>
        <v>191.59</v>
      </c>
      <c r="L90" s="202">
        <f t="shared" ref="L90:M90" si="7">SUM(L81:L89)</f>
        <v>175.59</v>
      </c>
      <c r="M90" s="202">
        <f t="shared" si="7"/>
        <v>244.28</v>
      </c>
      <c r="N90" s="233">
        <f>SUM(K90:M90)</f>
        <v>611.46</v>
      </c>
    </row>
  </sheetData>
  <mergeCells count="14">
    <mergeCell ref="K45:M45"/>
    <mergeCell ref="K57:M57"/>
    <mergeCell ref="K69:M69"/>
    <mergeCell ref="K81:M81"/>
    <mergeCell ref="K33:M33"/>
    <mergeCell ref="N1:O1"/>
    <mergeCell ref="L1:M1"/>
    <mergeCell ref="P1:Y1"/>
    <mergeCell ref="A24:D2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40"/>
  <sheetViews>
    <sheetView workbookViewId="0">
      <pane ySplit="2" topLeftCell="A3" activePane="bottomLeft" state="frozen"/>
      <selection pane="bottomLeft" activeCell="C40" sqref="C40"/>
    </sheetView>
  </sheetViews>
  <sheetFormatPr defaultRowHeight="11.25"/>
  <cols>
    <col min="1" max="1" width="8.140625" style="3" bestFit="1" customWidth="1"/>
    <col min="2" max="2" width="6.85546875" style="3" bestFit="1" customWidth="1"/>
    <col min="3" max="3" width="54.425781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648" t="s">
        <v>19</v>
      </c>
      <c r="B1" s="650" t="s">
        <v>18</v>
      </c>
      <c r="C1" s="652" t="s">
        <v>353</v>
      </c>
      <c r="D1" s="652" t="s">
        <v>85</v>
      </c>
      <c r="E1" s="654" t="s">
        <v>354</v>
      </c>
      <c r="F1" s="655"/>
      <c r="G1" s="655"/>
      <c r="H1" s="656" t="s">
        <v>326</v>
      </c>
      <c r="I1" s="657"/>
      <c r="J1" s="644" t="s">
        <v>327</v>
      </c>
      <c r="K1" s="644"/>
      <c r="L1" s="288"/>
      <c r="M1" s="289"/>
      <c r="N1" s="645" t="s">
        <v>355</v>
      </c>
      <c r="O1" s="645"/>
      <c r="P1" s="645"/>
      <c r="Q1" s="289"/>
      <c r="R1" s="645" t="s">
        <v>356</v>
      </c>
      <c r="S1" s="645"/>
      <c r="T1" s="645"/>
      <c r="U1" s="645"/>
      <c r="V1" s="290"/>
      <c r="W1" s="646" t="s">
        <v>326</v>
      </c>
      <c r="X1" s="646" t="s">
        <v>357</v>
      </c>
      <c r="Y1" s="646" t="s">
        <v>358</v>
      </c>
      <c r="Z1" s="290"/>
      <c r="AA1" s="638" t="s">
        <v>359</v>
      </c>
      <c r="AB1" s="639"/>
      <c r="AC1" s="639"/>
      <c r="AD1" s="639"/>
      <c r="AE1" s="640"/>
    </row>
    <row r="2" spans="1:31" ht="12" thickBot="1">
      <c r="A2" s="649"/>
      <c r="B2" s="651"/>
      <c r="C2" s="653"/>
      <c r="D2" s="653"/>
      <c r="E2" s="238" t="s">
        <v>331</v>
      </c>
      <c r="F2" s="238" t="s">
        <v>337</v>
      </c>
      <c r="G2" s="176" t="s">
        <v>338</v>
      </c>
      <c r="H2" s="239" t="s">
        <v>360</v>
      </c>
      <c r="I2" s="240" t="s">
        <v>361</v>
      </c>
      <c r="J2" s="239" t="s">
        <v>362</v>
      </c>
      <c r="K2" s="241" t="s">
        <v>363</v>
      </c>
      <c r="L2" s="291" t="s">
        <v>364</v>
      </c>
      <c r="M2" s="292"/>
      <c r="N2" s="293" t="s">
        <v>367</v>
      </c>
      <c r="O2" s="293" t="s">
        <v>365</v>
      </c>
      <c r="P2" s="293" t="s">
        <v>366</v>
      </c>
      <c r="Q2" s="292"/>
      <c r="R2" s="294" t="s">
        <v>367</v>
      </c>
      <c r="S2" s="295">
        <v>1.2999999999999999E-2</v>
      </c>
      <c r="T2" s="295">
        <v>6.4999999999999997E-3</v>
      </c>
      <c r="U2" s="296">
        <v>1.25E-3</v>
      </c>
      <c r="V2" s="297"/>
      <c r="W2" s="647"/>
      <c r="X2" s="647"/>
      <c r="Y2" s="647"/>
      <c r="Z2" s="297"/>
      <c r="AA2" s="298" t="s">
        <v>367</v>
      </c>
      <c r="AB2" s="298" t="s">
        <v>365</v>
      </c>
      <c r="AC2" s="299" t="s">
        <v>366</v>
      </c>
      <c r="AD2" s="298" t="s">
        <v>357</v>
      </c>
      <c r="AE2" s="298" t="s">
        <v>358</v>
      </c>
    </row>
    <row r="3" spans="1:31" s="19" customFormat="1">
      <c r="A3" s="147" t="str">
        <f>'1-συμβολαια'!A3</f>
        <v>3ο</v>
      </c>
      <c r="B3" s="147">
        <f>'1-συμβολαια'!B3</f>
        <v>38567</v>
      </c>
      <c r="C3" s="147" t="str">
        <f>'1-συμβολαια'!C3</f>
        <v>υποθήκης ????  5.495.705δρχ ΕΞΑΛΕΙΨΗ</v>
      </c>
      <c r="D3" s="242">
        <f>'1-συμβολαια'!D3</f>
        <v>16128.26</v>
      </c>
      <c r="E3" s="29">
        <f>'8-κ-15-17'!D3</f>
        <v>209.66738000000001</v>
      </c>
      <c r="F3" s="29">
        <f>'8-κ-15-17'!M3</f>
        <v>0</v>
      </c>
      <c r="G3" s="29">
        <f>'8-κ-15-17'!V3</f>
        <v>0</v>
      </c>
      <c r="H3" s="29">
        <f>'2-δικαιώμ'!H3</f>
        <v>17.4185208</v>
      </c>
      <c r="I3" s="29">
        <f>'2-δικαιώμ'!I3</f>
        <v>0.60000000000000009</v>
      </c>
      <c r="J3" s="29">
        <f>'2-δικαιώμ'!J3</f>
        <v>10.276956</v>
      </c>
      <c r="K3" s="29">
        <f>'2-δικαιώμ'!K3</f>
        <v>2.0553911999999999</v>
      </c>
      <c r="L3" s="181"/>
      <c r="M3" s="181"/>
      <c r="N3" s="35"/>
      <c r="O3" s="35"/>
      <c r="P3" s="35"/>
      <c r="Q3" s="181"/>
      <c r="R3" s="35"/>
      <c r="S3" s="35"/>
      <c r="T3" s="35"/>
      <c r="U3" s="35"/>
      <c r="V3" s="181"/>
      <c r="W3" s="35">
        <f>'2-δικαιώμ'!H3+'2-δικαιώμ'!I3</f>
        <v>18.018520800000001</v>
      </c>
      <c r="X3" s="35">
        <f>'2-δικαιώμ'!J3</f>
        <v>10.276956</v>
      </c>
      <c r="Y3" s="35">
        <f>'2-δικαιώμ'!K3</f>
        <v>2.0553911999999999</v>
      </c>
      <c r="Z3" s="181"/>
      <c r="AA3" s="35"/>
      <c r="AB3" s="35"/>
      <c r="AC3" s="35"/>
      <c r="AD3" s="35"/>
      <c r="AE3" s="35"/>
    </row>
    <row r="4" spans="1:31" s="19" customFormat="1">
      <c r="A4" s="147">
        <f>'1-συμβολαια'!A4</f>
        <v>0</v>
      </c>
      <c r="B4" s="147">
        <f>'1-συμβολαια'!B4</f>
        <v>0</v>
      </c>
      <c r="C4" s="147" t="str">
        <f>'1-συμβολαια'!C4</f>
        <v>δανείου ??? 5.495.700 δρχ …. ΕΞΟΦΛΗΣΗ</v>
      </c>
      <c r="D4" s="242">
        <f>'1-συμβολαια'!D4</f>
        <v>16128.26</v>
      </c>
      <c r="E4" s="29">
        <f>'8-κ-15-17'!D4</f>
        <v>209.66738000000001</v>
      </c>
      <c r="F4" s="29">
        <f>'8-κ-15-17'!M4</f>
        <v>0</v>
      </c>
      <c r="G4" s="29">
        <f>'8-κ-15-17'!V4</f>
        <v>0</v>
      </c>
      <c r="H4" s="29">
        <f>'2-δικαιώμ'!H4</f>
        <v>17.4185208</v>
      </c>
      <c r="I4" s="29">
        <f>'2-δικαιώμ'!I4</f>
        <v>0.60000000000000009</v>
      </c>
      <c r="J4" s="29">
        <f>'2-δικαιώμ'!J4</f>
        <v>10.276956</v>
      </c>
      <c r="K4" s="29">
        <f>'2-δικαιώμ'!K4</f>
        <v>2.0553911999999999</v>
      </c>
      <c r="L4" s="181"/>
      <c r="M4" s="181"/>
      <c r="N4" s="35"/>
      <c r="O4" s="35"/>
      <c r="P4" s="35"/>
      <c r="Q4" s="181"/>
      <c r="R4" s="35"/>
      <c r="S4" s="35"/>
      <c r="T4" s="35"/>
      <c r="U4" s="35"/>
      <c r="V4" s="181"/>
      <c r="W4" s="35">
        <f>'2-δικαιώμ'!H4+'2-δικαιώμ'!I4</f>
        <v>18.018520800000001</v>
      </c>
      <c r="X4" s="35">
        <f>'2-δικαιώμ'!J4</f>
        <v>10.276956</v>
      </c>
      <c r="Y4" s="35">
        <f>'2-δικαιώμ'!K4</f>
        <v>2.0553911999999999</v>
      </c>
      <c r="Z4" s="181"/>
      <c r="AA4" s="35"/>
      <c r="AB4" s="35"/>
      <c r="AC4" s="35"/>
      <c r="AD4" s="35"/>
      <c r="AE4" s="35"/>
    </row>
    <row r="5" spans="1:31" s="19" customFormat="1">
      <c r="A5" s="147">
        <f>'1-συμβολαια'!A5</f>
        <v>0</v>
      </c>
      <c r="B5" s="147">
        <f>'1-συμβολαια'!B5</f>
        <v>0</v>
      </c>
      <c r="C5" s="147" t="str">
        <f>'1-συμβολαια'!C5</f>
        <v>δανείου ???? ΤΟΚΟΙ</v>
      </c>
      <c r="D5" s="242">
        <f>'1-συμβολαια'!D5</f>
        <v>33333.33</v>
      </c>
      <c r="E5" s="29">
        <f>'8-κ-15-17'!D5</f>
        <v>433.33329000000003</v>
      </c>
      <c r="F5" s="29">
        <f>'8-κ-15-17'!M5</f>
        <v>0</v>
      </c>
      <c r="G5" s="29">
        <f>'8-κ-15-17'!V5</f>
        <v>0</v>
      </c>
      <c r="H5" s="29">
        <f>'2-δικαιώμ'!H5</f>
        <v>35.999996400000001</v>
      </c>
      <c r="I5" s="29">
        <f>'2-δικαιώμ'!I5</f>
        <v>0.60000000000000009</v>
      </c>
      <c r="J5" s="29">
        <f>'2-δικαιώμ'!J5</f>
        <v>20.599998000000003</v>
      </c>
      <c r="K5" s="29">
        <f>'2-δικαιώμ'!K5</f>
        <v>4.1199996000000008</v>
      </c>
      <c r="L5" s="181"/>
      <c r="M5" s="181"/>
      <c r="N5" s="35"/>
      <c r="O5" s="35"/>
      <c r="P5" s="35"/>
      <c r="Q5" s="181"/>
      <c r="R5" s="35"/>
      <c r="S5" s="35"/>
      <c r="T5" s="35"/>
      <c r="U5" s="35"/>
      <c r="V5" s="181"/>
      <c r="W5" s="35">
        <f>'2-δικαιώμ'!H5+'2-δικαιώμ'!I5</f>
        <v>36.599996400000002</v>
      </c>
      <c r="X5" s="35">
        <f>'2-δικαιώμ'!J5</f>
        <v>20.599998000000003</v>
      </c>
      <c r="Y5" s="35">
        <f>'2-δικαιώμ'!K5</f>
        <v>4.1199996000000008</v>
      </c>
      <c r="Z5" s="181"/>
      <c r="AA5" s="35"/>
      <c r="AB5" s="35"/>
      <c r="AC5" s="35"/>
      <c r="AD5" s="35"/>
      <c r="AE5" s="35"/>
    </row>
    <row r="6" spans="1:31" s="19" customFormat="1">
      <c r="A6" s="147">
        <f>'1-συμβολαια'!A6</f>
        <v>0</v>
      </c>
      <c r="B6" s="147">
        <f>'1-συμβολαια'!B6</f>
        <v>0</v>
      </c>
      <c r="C6" s="147">
        <f>'1-συμβολαια'!C6</f>
        <v>0</v>
      </c>
      <c r="D6" s="242">
        <f>'1-συμβολαια'!D6</f>
        <v>0</v>
      </c>
      <c r="E6" s="29">
        <f>'8-κ-15-17'!D6</f>
        <v>0</v>
      </c>
      <c r="F6" s="29">
        <f>'8-κ-15-17'!M6</f>
        <v>0</v>
      </c>
      <c r="G6" s="29">
        <f>'8-κ-15-17'!V6</f>
        <v>0</v>
      </c>
      <c r="H6" s="29">
        <f>'2-δικαιώμ'!H6</f>
        <v>0</v>
      </c>
      <c r="I6" s="29">
        <f>'2-δικαιώμ'!I6</f>
        <v>0</v>
      </c>
      <c r="J6" s="29">
        <f>'2-δικαιώμ'!J6</f>
        <v>0</v>
      </c>
      <c r="K6" s="29">
        <f>'2-δικαιώμ'!K6</f>
        <v>0</v>
      </c>
      <c r="L6" s="181"/>
      <c r="M6" s="181"/>
      <c r="N6" s="35"/>
      <c r="O6" s="35"/>
      <c r="P6" s="35"/>
      <c r="Q6" s="181"/>
      <c r="R6" s="35"/>
      <c r="S6" s="35"/>
      <c r="T6" s="35"/>
      <c r="U6" s="35"/>
      <c r="V6" s="181"/>
      <c r="W6" s="35">
        <f>'2-δικαιώμ'!H6+'2-δικαιώμ'!I6</f>
        <v>0</v>
      </c>
      <c r="X6" s="35">
        <f>'2-δικαιώμ'!J6</f>
        <v>0</v>
      </c>
      <c r="Y6" s="35">
        <f>'2-δικαιώμ'!K6</f>
        <v>0</v>
      </c>
      <c r="Z6" s="181"/>
      <c r="AA6" s="35"/>
      <c r="AB6" s="35"/>
      <c r="AC6" s="35"/>
      <c r="AD6" s="35"/>
      <c r="AE6" s="35"/>
    </row>
    <row r="7" spans="1:31" s="19" customFormat="1">
      <c r="A7" s="147" t="str">
        <f>'1-συμβολαια'!A7</f>
        <v>4ο</v>
      </c>
      <c r="B7" s="147">
        <f>'1-συμβολαια'!B7</f>
        <v>38567</v>
      </c>
      <c r="C7" s="147" t="str">
        <f>'1-συμβολαια'!C7</f>
        <v>υποθήκης ???? 12.000.000δρχ ΕΞΑΛΕΙΨΗ</v>
      </c>
      <c r="D7" s="242">
        <f>'1-συμβολαια'!D7</f>
        <v>35216.43</v>
      </c>
      <c r="E7" s="29">
        <f>'8-κ-15-17'!D7</f>
        <v>457.81359000000003</v>
      </c>
      <c r="F7" s="29">
        <f>'8-κ-15-17'!M7</f>
        <v>0</v>
      </c>
      <c r="G7" s="29">
        <f>'8-κ-15-17'!V7</f>
        <v>0</v>
      </c>
      <c r="H7" s="29">
        <f>'2-δικαιώμ'!H7</f>
        <v>38.033744400000003</v>
      </c>
      <c r="I7" s="29">
        <f>'2-δικαιώμ'!I7</f>
        <v>0.60000000000000009</v>
      </c>
      <c r="J7" s="29">
        <f>'2-δικαιώμ'!J7</f>
        <v>21.729858000000004</v>
      </c>
      <c r="K7" s="29">
        <f>'2-δικαιώμ'!K7</f>
        <v>4.3459716000000004</v>
      </c>
      <c r="L7" s="181"/>
      <c r="M7" s="181"/>
      <c r="N7" s="35"/>
      <c r="O7" s="35"/>
      <c r="P7" s="35"/>
      <c r="Q7" s="181"/>
      <c r="R7" s="35"/>
      <c r="S7" s="35"/>
      <c r="T7" s="35"/>
      <c r="U7" s="35"/>
      <c r="V7" s="181"/>
      <c r="W7" s="35">
        <f>'2-δικαιώμ'!H7+'2-δικαιώμ'!I7</f>
        <v>38.633744400000005</v>
      </c>
      <c r="X7" s="35">
        <f>'2-δικαιώμ'!J7</f>
        <v>21.729858000000004</v>
      </c>
      <c r="Y7" s="35">
        <f>'2-δικαιώμ'!K7</f>
        <v>4.3459716000000004</v>
      </c>
      <c r="Z7" s="181"/>
      <c r="AA7" s="35"/>
      <c r="AB7" s="35"/>
      <c r="AC7" s="35"/>
      <c r="AD7" s="35"/>
      <c r="AE7" s="35"/>
    </row>
    <row r="8" spans="1:31" s="19" customFormat="1">
      <c r="A8" s="147">
        <f>'1-συμβολαια'!A8</f>
        <v>0</v>
      </c>
      <c r="B8" s="147">
        <f>'1-συμβολαια'!B8</f>
        <v>0</v>
      </c>
      <c r="C8" s="147" t="str">
        <f>'1-συμβολαια'!C8</f>
        <v>δανείου ??? 12.000.000δρχ …. ΕΞΟΦΛΗΣΗ</v>
      </c>
      <c r="D8" s="242">
        <f>'1-συμβολαια'!D8</f>
        <v>35216.43</v>
      </c>
      <c r="E8" s="29">
        <f>'8-κ-15-17'!D8</f>
        <v>457.81359000000003</v>
      </c>
      <c r="F8" s="29">
        <f>'8-κ-15-17'!M8</f>
        <v>0</v>
      </c>
      <c r="G8" s="29">
        <f>'8-κ-15-17'!V8</f>
        <v>0</v>
      </c>
      <c r="H8" s="29">
        <f>'2-δικαιώμ'!H8</f>
        <v>38.033744400000003</v>
      </c>
      <c r="I8" s="29">
        <f>'2-δικαιώμ'!I8</f>
        <v>0.60000000000000009</v>
      </c>
      <c r="J8" s="29">
        <f>'2-δικαιώμ'!J8</f>
        <v>21.729858000000004</v>
      </c>
      <c r="K8" s="29">
        <f>'2-δικαιώμ'!K8</f>
        <v>4.3459716000000004</v>
      </c>
      <c r="L8" s="181"/>
      <c r="M8" s="181"/>
      <c r="N8" s="35"/>
      <c r="O8" s="35"/>
      <c r="P8" s="35"/>
      <c r="Q8" s="181"/>
      <c r="R8" s="35"/>
      <c r="S8" s="35"/>
      <c r="T8" s="35"/>
      <c r="U8" s="35"/>
      <c r="V8" s="181"/>
      <c r="W8" s="35">
        <f>'2-δικαιώμ'!H8+'2-δικαιώμ'!I8</f>
        <v>38.633744400000005</v>
      </c>
      <c r="X8" s="35">
        <f>'2-δικαιώμ'!J8</f>
        <v>21.729858000000004</v>
      </c>
      <c r="Y8" s="35">
        <f>'2-δικαιώμ'!K8</f>
        <v>4.3459716000000004</v>
      </c>
      <c r="Z8" s="181"/>
      <c r="AA8" s="35"/>
      <c r="AB8" s="35"/>
      <c r="AC8" s="35"/>
      <c r="AD8" s="35"/>
      <c r="AE8" s="35"/>
    </row>
    <row r="9" spans="1:31" s="19" customFormat="1">
      <c r="A9" s="147">
        <f>'1-συμβολαια'!A9</f>
        <v>0</v>
      </c>
      <c r="B9" s="147">
        <f>'1-συμβολαια'!B9</f>
        <v>0</v>
      </c>
      <c r="C9" s="147" t="str">
        <f>'1-συμβολαια'!C9</f>
        <v>δανείου ???? ΤΟΚΟΙ</v>
      </c>
      <c r="D9" s="242">
        <f>'1-συμβολαια'!D9</f>
        <v>77777.77</v>
      </c>
      <c r="E9" s="29">
        <f>'8-κ-15-17'!D9</f>
        <v>1011.1110100000002</v>
      </c>
      <c r="F9" s="29">
        <f>'8-κ-15-17'!M9</f>
        <v>0</v>
      </c>
      <c r="G9" s="29">
        <f>'8-κ-15-17'!V9</f>
        <v>0</v>
      </c>
      <c r="H9" s="29">
        <f>'2-δικαιώμ'!H9</f>
        <v>83.999991600000001</v>
      </c>
      <c r="I9" s="29">
        <f>'2-δικαιώμ'!I9</f>
        <v>0.60000000000000009</v>
      </c>
      <c r="J9" s="29">
        <f>'2-δικαιώμ'!J9</f>
        <v>47.266662000000004</v>
      </c>
      <c r="K9" s="29">
        <f>'2-δικαιώμ'!K9</f>
        <v>9.4533324000000007</v>
      </c>
      <c r="L9" s="181"/>
      <c r="M9" s="181"/>
      <c r="N9" s="35"/>
      <c r="O9" s="35"/>
      <c r="P9" s="35"/>
      <c r="Q9" s="181"/>
      <c r="R9" s="35"/>
      <c r="S9" s="35"/>
      <c r="T9" s="35"/>
      <c r="U9" s="35"/>
      <c r="V9" s="181"/>
      <c r="W9" s="35">
        <f>'2-δικαιώμ'!H9+'2-δικαιώμ'!I9</f>
        <v>84.599991599999996</v>
      </c>
      <c r="X9" s="35">
        <f>'2-δικαιώμ'!J9</f>
        <v>47.266662000000004</v>
      </c>
      <c r="Y9" s="35">
        <f>'2-δικαιώμ'!K9</f>
        <v>9.4533324000000007</v>
      </c>
      <c r="Z9" s="181"/>
      <c r="AA9" s="35"/>
      <c r="AB9" s="35"/>
      <c r="AC9" s="35"/>
      <c r="AD9" s="35"/>
      <c r="AE9" s="35"/>
    </row>
    <row r="10" spans="1:31" s="19" customFormat="1">
      <c r="A10" s="147">
        <f>'1-συμβολαια'!A10</f>
        <v>0</v>
      </c>
      <c r="B10" s="147">
        <f>'1-συμβολαια'!B10</f>
        <v>0</v>
      </c>
      <c r="C10" s="147">
        <f>'1-συμβολαια'!C10</f>
        <v>0</v>
      </c>
      <c r="D10" s="242">
        <f>'1-συμβολαια'!D10</f>
        <v>0</v>
      </c>
      <c r="E10" s="29">
        <f>'8-κ-15-17'!D10</f>
        <v>0</v>
      </c>
      <c r="F10" s="29">
        <f>'8-κ-15-17'!M10</f>
        <v>0</v>
      </c>
      <c r="G10" s="29">
        <f>'8-κ-15-17'!V10</f>
        <v>0</v>
      </c>
      <c r="H10" s="29">
        <f>'2-δικαιώμ'!H10</f>
        <v>0</v>
      </c>
      <c r="I10" s="29">
        <f>'2-δικαιώμ'!I10</f>
        <v>0</v>
      </c>
      <c r="J10" s="29">
        <f>'2-δικαιώμ'!J10</f>
        <v>0</v>
      </c>
      <c r="K10" s="29">
        <f>'2-δικαιώμ'!K10</f>
        <v>0</v>
      </c>
      <c r="L10" s="181"/>
      <c r="M10" s="181"/>
      <c r="N10" s="35"/>
      <c r="O10" s="35"/>
      <c r="P10" s="35"/>
      <c r="Q10" s="181"/>
      <c r="R10" s="35"/>
      <c r="S10" s="35"/>
      <c r="T10" s="35"/>
      <c r="U10" s="35"/>
      <c r="V10" s="181"/>
      <c r="W10" s="35">
        <f>'2-δικαιώμ'!H10+'2-δικαιώμ'!I10</f>
        <v>0</v>
      </c>
      <c r="X10" s="35">
        <f>'2-δικαιώμ'!J10</f>
        <v>0</v>
      </c>
      <c r="Y10" s="35">
        <f>'2-δικαιώμ'!K10</f>
        <v>0</v>
      </c>
      <c r="Z10" s="181"/>
      <c r="AA10" s="35"/>
      <c r="AB10" s="35"/>
      <c r="AC10" s="35"/>
      <c r="AD10" s="35"/>
      <c r="AE10" s="35"/>
    </row>
    <row r="11" spans="1:31" s="19" customFormat="1">
      <c r="A11" s="147" t="str">
        <f>'1-συμβολαια'!A11</f>
        <v>5ο</v>
      </c>
      <c r="B11" s="147">
        <f>'1-συμβολαια'!B11</f>
        <v>38567</v>
      </c>
      <c r="C11" s="147" t="str">
        <f>'1-συμβολαια'!C11</f>
        <v>υποθήκης 1ου   κύρου ;;;???;;;δρχ ΕΞΑΛΕΙΨΗ</v>
      </c>
      <c r="D11" s="242">
        <f>'1-συμβολαια'!D11</f>
        <v>0</v>
      </c>
      <c r="E11" s="29">
        <f>'8-κ-15-17'!D11</f>
        <v>0</v>
      </c>
      <c r="F11" s="29">
        <f>'8-κ-15-17'!M11</f>
        <v>0</v>
      </c>
      <c r="G11" s="29">
        <f>'8-κ-15-17'!V11</f>
        <v>0</v>
      </c>
      <c r="H11" s="29">
        <f>'2-δικαιώμ'!H11</f>
        <v>0</v>
      </c>
      <c r="I11" s="29">
        <f>'2-δικαιώμ'!I11</f>
        <v>0.60000000000000009</v>
      </c>
      <c r="J11" s="29">
        <f>'2-δικαιώμ'!J11</f>
        <v>0.60000000000000009</v>
      </c>
      <c r="K11" s="29">
        <f>'2-δικαιώμ'!K11</f>
        <v>0.12</v>
      </c>
      <c r="L11" s="181"/>
      <c r="M11" s="181"/>
      <c r="N11" s="35"/>
      <c r="O11" s="35"/>
      <c r="P11" s="35"/>
      <c r="Q11" s="181"/>
      <c r="R11" s="35"/>
      <c r="S11" s="35"/>
      <c r="T11" s="35"/>
      <c r="U11" s="35"/>
      <c r="V11" s="181"/>
      <c r="W11" s="35">
        <f>'2-δικαιώμ'!H11+'2-δικαιώμ'!I11</f>
        <v>0.60000000000000009</v>
      </c>
      <c r="X11" s="35">
        <f>'2-δικαιώμ'!J11</f>
        <v>0.60000000000000009</v>
      </c>
      <c r="Y11" s="35">
        <f>'2-δικαιώμ'!K11</f>
        <v>0.12</v>
      </c>
      <c r="Z11" s="181"/>
      <c r="AA11" s="35"/>
      <c r="AB11" s="35"/>
      <c r="AC11" s="35"/>
      <c r="AD11" s="35"/>
      <c r="AE11" s="35"/>
    </row>
    <row r="12" spans="1:31" s="19" customFormat="1">
      <c r="A12" s="147">
        <f>'1-συμβολαια'!A12</f>
        <v>0</v>
      </c>
      <c r="B12" s="147">
        <f>'1-συμβολαια'!B12</f>
        <v>0</v>
      </c>
      <c r="C12" s="147" t="str">
        <f>'1-συμβολαια'!C12</f>
        <v>δανείου 1ου   κύρου 1.050.000δρχ ...ΕΞΟΦΛΗΣΗ</v>
      </c>
      <c r="D12" s="242">
        <f>'1-συμβολαια'!D12</f>
        <v>0</v>
      </c>
      <c r="E12" s="29">
        <f>'8-κ-15-17'!D12</f>
        <v>0</v>
      </c>
      <c r="F12" s="29">
        <f>'8-κ-15-17'!M12</f>
        <v>0</v>
      </c>
      <c r="G12" s="29">
        <f>'8-κ-15-17'!V12</f>
        <v>0</v>
      </c>
      <c r="H12" s="29">
        <f>'2-δικαιώμ'!H12</f>
        <v>0</v>
      </c>
      <c r="I12" s="29">
        <f>'2-δικαιώμ'!I12</f>
        <v>0.60000000000000009</v>
      </c>
      <c r="J12" s="29">
        <f>'2-δικαιώμ'!J12</f>
        <v>0.60000000000000009</v>
      </c>
      <c r="K12" s="29">
        <f>'2-δικαιώμ'!K12</f>
        <v>0.12</v>
      </c>
      <c r="L12" s="181"/>
      <c r="M12" s="181"/>
      <c r="N12" s="35"/>
      <c r="O12" s="35"/>
      <c r="P12" s="35"/>
      <c r="Q12" s="181"/>
      <c r="R12" s="35"/>
      <c r="S12" s="35"/>
      <c r="T12" s="35"/>
      <c r="U12" s="35"/>
      <c r="V12" s="181"/>
      <c r="W12" s="35">
        <f>'2-δικαιώμ'!H12+'2-δικαιώμ'!I12</f>
        <v>0.60000000000000009</v>
      </c>
      <c r="X12" s="35">
        <f>'2-δικαιώμ'!J12</f>
        <v>0.60000000000000009</v>
      </c>
      <c r="Y12" s="35">
        <f>'2-δικαιώμ'!K12</f>
        <v>0.12</v>
      </c>
      <c r="Z12" s="181"/>
      <c r="AA12" s="35"/>
      <c r="AB12" s="35"/>
      <c r="AC12" s="35"/>
      <c r="AD12" s="35"/>
      <c r="AE12" s="35"/>
    </row>
    <row r="13" spans="1:31" s="19" customFormat="1">
      <c r="A13" s="147">
        <f>'1-συμβολαια'!A13</f>
        <v>0</v>
      </c>
      <c r="B13" s="147">
        <f>'1-συμβολαια'!B13</f>
        <v>0</v>
      </c>
      <c r="C13" s="147" t="str">
        <f>'1-συμβολαια'!C13</f>
        <v>δανείου 1ου   κύρου ΤΟΚΟΙ {προπληρωθέντες VS υπερβάλλοντες}</v>
      </c>
      <c r="D13" s="242">
        <f>'1-συμβολαια'!D13</f>
        <v>666.66</v>
      </c>
      <c r="E13" s="29">
        <f>'8-κ-15-17'!D13</f>
        <v>8.6665799999999997</v>
      </c>
      <c r="F13" s="29">
        <f>'8-κ-15-17'!M13</f>
        <v>0</v>
      </c>
      <c r="G13" s="29">
        <f>'8-κ-15-17'!V13</f>
        <v>0</v>
      </c>
      <c r="H13" s="29">
        <f>'2-δικαιώμ'!H13</f>
        <v>0.71999279999999988</v>
      </c>
      <c r="I13" s="29">
        <f>'2-δικαιώμ'!I13</f>
        <v>0.60000000000000009</v>
      </c>
      <c r="J13" s="29">
        <f>'2-δικαιώμ'!J13</f>
        <v>0.999996</v>
      </c>
      <c r="K13" s="29">
        <f>'2-δικαιώμ'!K13</f>
        <v>0.19999919999999999</v>
      </c>
      <c r="L13" s="181"/>
      <c r="M13" s="181"/>
      <c r="N13" s="35"/>
      <c r="O13" s="35"/>
      <c r="P13" s="35"/>
      <c r="Q13" s="181"/>
      <c r="R13" s="35"/>
      <c r="S13" s="35"/>
      <c r="T13" s="35"/>
      <c r="U13" s="35"/>
      <c r="V13" s="181"/>
      <c r="W13" s="35">
        <f>'2-δικαιώμ'!H13+'2-δικαιώμ'!I13</f>
        <v>1.3199928000000001</v>
      </c>
      <c r="X13" s="35">
        <f>'2-δικαιώμ'!J13</f>
        <v>0.999996</v>
      </c>
      <c r="Y13" s="35">
        <f>'2-δικαιώμ'!K13</f>
        <v>0.19999919999999999</v>
      </c>
      <c r="Z13" s="181"/>
      <c r="AA13" s="35"/>
      <c r="AB13" s="35"/>
      <c r="AC13" s="35"/>
      <c r="AD13" s="35"/>
      <c r="AE13" s="35"/>
    </row>
    <row r="14" spans="1:31" s="19" customFormat="1">
      <c r="A14" s="147">
        <f>'1-συμβολαια'!A14</f>
        <v>0</v>
      </c>
      <c r="B14" s="147">
        <f>'1-συμβολαια'!B14</f>
        <v>0</v>
      </c>
      <c r="C14" s="147">
        <f>'1-συμβολαια'!C14</f>
        <v>0</v>
      </c>
      <c r="D14" s="242">
        <f>'1-συμβολαια'!D14</f>
        <v>0</v>
      </c>
      <c r="E14" s="29">
        <f>'8-κ-15-17'!D14</f>
        <v>0</v>
      </c>
      <c r="F14" s="29">
        <f>'8-κ-15-17'!M14</f>
        <v>0</v>
      </c>
      <c r="G14" s="29">
        <f>'8-κ-15-17'!V14</f>
        <v>0</v>
      </c>
      <c r="H14" s="29">
        <f>'2-δικαιώμ'!H14</f>
        <v>0</v>
      </c>
      <c r="I14" s="29">
        <f>'2-δικαιώμ'!I14</f>
        <v>0</v>
      </c>
      <c r="J14" s="29">
        <f>'2-δικαιώμ'!J14</f>
        <v>0</v>
      </c>
      <c r="K14" s="29">
        <f>'2-δικαιώμ'!K14</f>
        <v>0</v>
      </c>
      <c r="L14" s="181"/>
      <c r="M14" s="181"/>
      <c r="N14" s="35"/>
      <c r="O14" s="35"/>
      <c r="P14" s="35"/>
      <c r="Q14" s="181"/>
      <c r="R14" s="35"/>
      <c r="S14" s="35"/>
      <c r="T14" s="35"/>
      <c r="U14" s="35"/>
      <c r="V14" s="181"/>
      <c r="W14" s="35">
        <f>'2-δικαιώμ'!H14+'2-δικαιώμ'!I14</f>
        <v>0</v>
      </c>
      <c r="X14" s="35">
        <f>'2-δικαιώμ'!J14</f>
        <v>0</v>
      </c>
      <c r="Y14" s="35">
        <f>'2-δικαιώμ'!K14</f>
        <v>0</v>
      </c>
      <c r="Z14" s="181"/>
      <c r="AA14" s="35"/>
      <c r="AB14" s="35"/>
      <c r="AC14" s="35"/>
      <c r="AD14" s="35"/>
      <c r="AE14" s="35"/>
    </row>
    <row r="15" spans="1:31" s="19" customFormat="1">
      <c r="A15" s="147" t="str">
        <f>'1-συμβολαια'!A15</f>
        <v>6ο</v>
      </c>
      <c r="B15" s="147">
        <f>'1-συμβολαια'!B15</f>
        <v>38567</v>
      </c>
      <c r="C15" s="147" t="str">
        <f>'1-συμβολαια'!C15</f>
        <v>υποθήκης 2ου   κύρου ;;;???;;;δρχ …..ΕΞΑΛΕΙΨΗ</v>
      </c>
      <c r="D15" s="242">
        <f>'1-συμβολαια'!D15</f>
        <v>0</v>
      </c>
      <c r="E15" s="29">
        <f>'8-κ-15-17'!D15</f>
        <v>0</v>
      </c>
      <c r="F15" s="29">
        <f>'8-κ-15-17'!M15</f>
        <v>0</v>
      </c>
      <c r="G15" s="29">
        <f>'8-κ-15-17'!V15</f>
        <v>0</v>
      </c>
      <c r="H15" s="29">
        <f>'2-δικαιώμ'!H15</f>
        <v>0</v>
      </c>
      <c r="I15" s="29">
        <f>'2-δικαιώμ'!I15</f>
        <v>0.60000000000000009</v>
      </c>
      <c r="J15" s="29">
        <f>'2-δικαιώμ'!J15</f>
        <v>0.60000000000000009</v>
      </c>
      <c r="K15" s="29">
        <f>'2-δικαιώμ'!K15</f>
        <v>0.12</v>
      </c>
      <c r="L15" s="181"/>
      <c r="M15" s="181"/>
      <c r="N15" s="35"/>
      <c r="O15" s="35"/>
      <c r="P15" s="35"/>
      <c r="Q15" s="181"/>
      <c r="R15" s="35"/>
      <c r="S15" s="35"/>
      <c r="T15" s="35"/>
      <c r="U15" s="35"/>
      <c r="V15" s="181"/>
      <c r="W15" s="35">
        <f>'2-δικαιώμ'!H15+'2-δικαιώμ'!I15</f>
        <v>0.60000000000000009</v>
      </c>
      <c r="X15" s="35">
        <f>'2-δικαιώμ'!J15</f>
        <v>0.60000000000000009</v>
      </c>
      <c r="Y15" s="35">
        <f>'2-δικαιώμ'!K15</f>
        <v>0.12</v>
      </c>
      <c r="Z15" s="181"/>
      <c r="AA15" s="35"/>
      <c r="AB15" s="35"/>
      <c r="AC15" s="35"/>
      <c r="AD15" s="35"/>
      <c r="AE15" s="35"/>
    </row>
    <row r="16" spans="1:31" s="19" customFormat="1">
      <c r="A16" s="147">
        <f>'1-συμβολαια'!A16</f>
        <v>0</v>
      </c>
      <c r="B16" s="147">
        <f>'1-συμβολαια'!B16</f>
        <v>0</v>
      </c>
      <c r="C16" s="147" t="str">
        <f>'1-συμβολαια'!C16</f>
        <v>δανείου 2ου   κύρου 7000.000δρχ …..ΕΞΟΦΛΗΣΗ</v>
      </c>
      <c r="D16" s="242">
        <f>'1-συμβολαια'!D16</f>
        <v>0</v>
      </c>
      <c r="E16" s="29">
        <f>'8-κ-15-17'!D16</f>
        <v>0</v>
      </c>
      <c r="F16" s="29">
        <f>'8-κ-15-17'!M16</f>
        <v>0</v>
      </c>
      <c r="G16" s="29">
        <f>'8-κ-15-17'!V16</f>
        <v>0</v>
      </c>
      <c r="H16" s="29">
        <f>'2-δικαιώμ'!H16</f>
        <v>0</v>
      </c>
      <c r="I16" s="29">
        <f>'2-δικαιώμ'!I16</f>
        <v>0.60000000000000009</v>
      </c>
      <c r="J16" s="29">
        <f>'2-δικαιώμ'!J16</f>
        <v>0.60000000000000009</v>
      </c>
      <c r="K16" s="29">
        <f>'2-δικαιώμ'!K16</f>
        <v>0.12</v>
      </c>
      <c r="L16" s="181"/>
      <c r="M16" s="181"/>
      <c r="N16" s="35"/>
      <c r="O16" s="35"/>
      <c r="P16" s="35"/>
      <c r="Q16" s="181"/>
      <c r="R16" s="35"/>
      <c r="S16" s="35"/>
      <c r="T16" s="35"/>
      <c r="U16" s="35"/>
      <c r="V16" s="181"/>
      <c r="W16" s="35">
        <f>'2-δικαιώμ'!H16+'2-δικαιώμ'!I16</f>
        <v>0.60000000000000009</v>
      </c>
      <c r="X16" s="35">
        <f>'2-δικαιώμ'!J16</f>
        <v>0.60000000000000009</v>
      </c>
      <c r="Y16" s="35">
        <f>'2-δικαιώμ'!K16</f>
        <v>0.12</v>
      </c>
      <c r="Z16" s="181"/>
      <c r="AA16" s="35"/>
      <c r="AB16" s="35"/>
      <c r="AC16" s="35"/>
      <c r="AD16" s="35"/>
      <c r="AE16" s="35"/>
    </row>
    <row r="17" spans="1:31" s="19" customFormat="1">
      <c r="A17" s="147">
        <f>'1-συμβολαια'!A17</f>
        <v>0</v>
      </c>
      <c r="B17" s="147">
        <f>'1-συμβολαια'!B17</f>
        <v>0</v>
      </c>
      <c r="C17" s="147" t="str">
        <f>'1-συμβολαια'!C17</f>
        <v>δανείου 2ου    κύρου …. ΤΟΚΟΙ {προπληρωθέντες VS υπερβάλλοντες}</v>
      </c>
      <c r="D17" s="242">
        <f>'1-συμβολαια'!D17</f>
        <v>444.44</v>
      </c>
      <c r="E17" s="29">
        <f>'8-κ-15-17'!D17</f>
        <v>5.7777200000000004</v>
      </c>
      <c r="F17" s="29">
        <f>'8-κ-15-17'!M17</f>
        <v>0</v>
      </c>
      <c r="G17" s="29">
        <f>'8-κ-15-17'!V17</f>
        <v>0</v>
      </c>
      <c r="H17" s="29">
        <f>'2-δικαιώμ'!H17</f>
        <v>0.47999520000000001</v>
      </c>
      <c r="I17" s="29">
        <f>'2-δικαιώμ'!I17</f>
        <v>0.60000000000000009</v>
      </c>
      <c r="J17" s="29">
        <f>'2-δικαιώμ'!J17</f>
        <v>0.8666640000000001</v>
      </c>
      <c r="K17" s="29">
        <f>'2-δικαιώμ'!K17</f>
        <v>0.17333280000000004</v>
      </c>
      <c r="L17" s="181"/>
      <c r="M17" s="181"/>
      <c r="N17" s="35"/>
      <c r="O17" s="35"/>
      <c r="P17" s="35"/>
      <c r="Q17" s="181"/>
      <c r="R17" s="35"/>
      <c r="S17" s="35"/>
      <c r="T17" s="35"/>
      <c r="U17" s="35"/>
      <c r="V17" s="181"/>
      <c r="W17" s="35">
        <f>'2-δικαιώμ'!H17+'2-δικαιώμ'!I17</f>
        <v>1.0799952000000002</v>
      </c>
      <c r="X17" s="35">
        <f>'2-δικαιώμ'!J17</f>
        <v>0.8666640000000001</v>
      </c>
      <c r="Y17" s="35">
        <f>'2-δικαιώμ'!K17</f>
        <v>0.17333280000000004</v>
      </c>
      <c r="Z17" s="181"/>
      <c r="AA17" s="35"/>
      <c r="AB17" s="35"/>
      <c r="AC17" s="35"/>
      <c r="AD17" s="35"/>
      <c r="AE17" s="35"/>
    </row>
    <row r="18" spans="1:31" s="19" customFormat="1">
      <c r="A18" s="147">
        <f>'1-συμβολαια'!A18</f>
        <v>0</v>
      </c>
      <c r="B18" s="147">
        <f>'1-συμβολαια'!B18</f>
        <v>0</v>
      </c>
      <c r="C18" s="147">
        <f>'1-συμβολαια'!C18</f>
        <v>0</v>
      </c>
      <c r="D18" s="242">
        <f>'1-συμβολαια'!D18</f>
        <v>0</v>
      </c>
      <c r="E18" s="29">
        <f>'8-κ-15-17'!D18</f>
        <v>0</v>
      </c>
      <c r="F18" s="29">
        <f>'8-κ-15-17'!M18</f>
        <v>0</v>
      </c>
      <c r="G18" s="29">
        <f>'8-κ-15-17'!V18</f>
        <v>0</v>
      </c>
      <c r="H18" s="29">
        <f>'2-δικαιώμ'!H18</f>
        <v>0</v>
      </c>
      <c r="I18" s="29">
        <f>'2-δικαιώμ'!I18</f>
        <v>0</v>
      </c>
      <c r="J18" s="29">
        <f>'2-δικαιώμ'!J18</f>
        <v>0</v>
      </c>
      <c r="K18" s="29">
        <f>'2-δικαιώμ'!K18</f>
        <v>0</v>
      </c>
      <c r="L18" s="181"/>
      <c r="M18" s="181"/>
      <c r="N18" s="35"/>
      <c r="O18" s="35"/>
      <c r="P18" s="35"/>
      <c r="Q18" s="181"/>
      <c r="R18" s="35"/>
      <c r="S18" s="35"/>
      <c r="T18" s="35"/>
      <c r="U18" s="35"/>
      <c r="V18" s="181"/>
      <c r="W18" s="35">
        <f>'2-δικαιώμ'!H18+'2-δικαιώμ'!I18</f>
        <v>0</v>
      </c>
      <c r="X18" s="35">
        <f>'2-δικαιώμ'!J18</f>
        <v>0</v>
      </c>
      <c r="Y18" s="35">
        <f>'2-δικαιώμ'!K18</f>
        <v>0</v>
      </c>
      <c r="Z18" s="181"/>
      <c r="AA18" s="35"/>
      <c r="AB18" s="35"/>
      <c r="AC18" s="35"/>
      <c r="AD18" s="35"/>
      <c r="AE18" s="35"/>
    </row>
    <row r="19" spans="1:31" s="19" customFormat="1">
      <c r="A19" s="147" t="str">
        <f>'1-συμβολαια'!A19</f>
        <v>7ο</v>
      </c>
      <c r="B19" s="147">
        <f>'1-συμβολαια'!B19</f>
        <v>38567</v>
      </c>
      <c r="C19" s="147" t="str">
        <f>'1-συμβολαια'!C19</f>
        <v>υποθήκης ???? 2.168.354δρχ …. ΕΞΑΛΕΙΨΗ</v>
      </c>
      <c r="D19" s="242">
        <f>'1-συμβολαια'!D19</f>
        <v>6363.47</v>
      </c>
      <c r="E19" s="29">
        <f>'8-κ-15-17'!D19</f>
        <v>82.725110000000015</v>
      </c>
      <c r="F19" s="29">
        <f>'8-κ-15-17'!M19</f>
        <v>0</v>
      </c>
      <c r="G19" s="29">
        <f>'8-κ-15-17'!V19</f>
        <v>0</v>
      </c>
      <c r="H19" s="29">
        <f>'2-δικαιώμ'!H19</f>
        <v>6.8725476000000008</v>
      </c>
      <c r="I19" s="29">
        <f>'2-δικαιώμ'!I19</f>
        <v>0.60000000000000009</v>
      </c>
      <c r="J19" s="29">
        <f>'2-δικαιώμ'!J19</f>
        <v>4.418082000000001</v>
      </c>
      <c r="K19" s="29">
        <f>'2-δικαιώμ'!K19</f>
        <v>0.88361640000000008</v>
      </c>
      <c r="L19" s="181"/>
      <c r="M19" s="181"/>
      <c r="N19" s="35"/>
      <c r="O19" s="35"/>
      <c r="P19" s="35"/>
      <c r="Q19" s="181"/>
      <c r="R19" s="35"/>
      <c r="S19" s="35"/>
      <c r="T19" s="35"/>
      <c r="U19" s="35"/>
      <c r="V19" s="181"/>
      <c r="W19" s="35">
        <f>'2-δικαιώμ'!H19+'2-δικαιώμ'!I19</f>
        <v>7.4725476000000004</v>
      </c>
      <c r="X19" s="35">
        <f>'2-δικαιώμ'!J19</f>
        <v>4.418082000000001</v>
      </c>
      <c r="Y19" s="35">
        <f>'2-δικαιώμ'!K19</f>
        <v>0.88361640000000008</v>
      </c>
      <c r="Z19" s="181"/>
      <c r="AA19" s="35"/>
      <c r="AB19" s="35"/>
      <c r="AC19" s="35"/>
      <c r="AD19" s="35"/>
      <c r="AE19" s="35"/>
    </row>
    <row r="20" spans="1:31" s="19" customFormat="1">
      <c r="A20" s="147">
        <f>'1-συμβολαια'!A20</f>
        <v>0</v>
      </c>
      <c r="B20" s="147">
        <f>'1-συμβολαια'!B20</f>
        <v>0</v>
      </c>
      <c r="C20" s="147" t="str">
        <f>'1-συμβολαια'!C20</f>
        <v>δανείου ??? 2.168.354δρχ ….. ΕΞΟΦΛΗΣΗ</v>
      </c>
      <c r="D20" s="242">
        <f>'1-συμβολαια'!D20</f>
        <v>6363.47</v>
      </c>
      <c r="E20" s="29">
        <f>'8-κ-15-17'!D20</f>
        <v>82.725110000000015</v>
      </c>
      <c r="F20" s="29">
        <f>'8-κ-15-17'!M20</f>
        <v>0</v>
      </c>
      <c r="G20" s="29">
        <f>'8-κ-15-17'!V20</f>
        <v>0</v>
      </c>
      <c r="H20" s="29">
        <f>'2-δικαιώμ'!H20</f>
        <v>6.8725476000000008</v>
      </c>
      <c r="I20" s="29">
        <f>'2-δικαιώμ'!I20</f>
        <v>0.60000000000000009</v>
      </c>
      <c r="J20" s="29">
        <f>'2-δικαιώμ'!J20</f>
        <v>4.418082000000001</v>
      </c>
      <c r="K20" s="29">
        <f>'2-δικαιώμ'!K20</f>
        <v>0.88361640000000008</v>
      </c>
      <c r="L20" s="181"/>
      <c r="M20" s="181"/>
      <c r="N20" s="35"/>
      <c r="O20" s="35"/>
      <c r="P20" s="35"/>
      <c r="Q20" s="181"/>
      <c r="R20" s="35"/>
      <c r="S20" s="35"/>
      <c r="T20" s="35"/>
      <c r="U20" s="35"/>
      <c r="V20" s="181"/>
      <c r="W20" s="35">
        <f>'2-δικαιώμ'!H20+'2-δικαιώμ'!I20</f>
        <v>7.4725476000000004</v>
      </c>
      <c r="X20" s="35">
        <f>'2-δικαιώμ'!J20</f>
        <v>4.418082000000001</v>
      </c>
      <c r="Y20" s="35">
        <f>'2-δικαιώμ'!K20</f>
        <v>0.88361640000000008</v>
      </c>
      <c r="Z20" s="181"/>
      <c r="AA20" s="35"/>
      <c r="AB20" s="35"/>
      <c r="AC20" s="35"/>
      <c r="AD20" s="35"/>
      <c r="AE20" s="35"/>
    </row>
    <row r="21" spans="1:31" s="19" customFormat="1">
      <c r="A21" s="147">
        <f>'1-συμβολαια'!A21</f>
        <v>0</v>
      </c>
      <c r="B21" s="147">
        <f>'1-συμβολαια'!B21</f>
        <v>0</v>
      </c>
      <c r="C21" s="147" t="str">
        <f>'1-συμβολαια'!C21</f>
        <v>δανείου ???? ΤΟΚΟΙ</v>
      </c>
      <c r="D21" s="242">
        <f>'1-συμβολαια'!D21</f>
        <v>14444.44</v>
      </c>
      <c r="E21" s="29">
        <f>'8-κ-15-17'!D21</f>
        <v>187.77772000000002</v>
      </c>
      <c r="F21" s="29">
        <f>'8-κ-15-17'!M21</f>
        <v>0</v>
      </c>
      <c r="G21" s="29">
        <f>'8-κ-15-17'!V21</f>
        <v>0</v>
      </c>
      <c r="H21" s="29">
        <f>'2-δικαιώμ'!H21</f>
        <v>15.5999952</v>
      </c>
      <c r="I21" s="29">
        <f>'2-δικαιώμ'!I21</f>
        <v>0.60000000000000009</v>
      </c>
      <c r="J21" s="29">
        <f>'2-δικαιώμ'!J21</f>
        <v>9.2666640000000005</v>
      </c>
      <c r="K21" s="29">
        <f>'2-δικαιώμ'!K21</f>
        <v>1.8533328</v>
      </c>
      <c r="L21" s="181"/>
      <c r="M21" s="181"/>
      <c r="N21" s="35"/>
      <c r="O21" s="35"/>
      <c r="P21" s="35"/>
      <c r="Q21" s="181"/>
      <c r="R21" s="35"/>
      <c r="S21" s="35"/>
      <c r="T21" s="35"/>
      <c r="U21" s="35"/>
      <c r="V21" s="181"/>
      <c r="W21" s="35">
        <f>'2-δικαιώμ'!H21+'2-δικαιώμ'!I21</f>
        <v>16.1999952</v>
      </c>
      <c r="X21" s="35">
        <f>'2-δικαιώμ'!J21</f>
        <v>9.2666640000000005</v>
      </c>
      <c r="Y21" s="35">
        <f>'2-δικαιώμ'!K21</f>
        <v>1.8533328</v>
      </c>
      <c r="Z21" s="181"/>
      <c r="AA21" s="35"/>
      <c r="AB21" s="35"/>
      <c r="AC21" s="35"/>
      <c r="AD21" s="35"/>
      <c r="AE21" s="35"/>
    </row>
    <row r="22" spans="1:31" s="19" customFormat="1">
      <c r="A22" s="147">
        <f>'1-συμβολαια'!A22</f>
        <v>0</v>
      </c>
      <c r="B22" s="147">
        <f>'1-συμβολαια'!B22</f>
        <v>0</v>
      </c>
      <c r="C22" s="147">
        <f>'1-συμβολαια'!C22</f>
        <v>0</v>
      </c>
      <c r="D22" s="242">
        <f>'1-συμβολαια'!D22</f>
        <v>0</v>
      </c>
      <c r="E22" s="29">
        <f>'8-κ-15-17'!D22</f>
        <v>0</v>
      </c>
      <c r="F22" s="29">
        <f>'8-κ-15-17'!M22</f>
        <v>0</v>
      </c>
      <c r="G22" s="29">
        <f>'8-κ-15-17'!V22</f>
        <v>0</v>
      </c>
      <c r="H22" s="29">
        <f>'2-δικαιώμ'!H22</f>
        <v>0</v>
      </c>
      <c r="I22" s="29">
        <f>'2-δικαιώμ'!I22</f>
        <v>0</v>
      </c>
      <c r="J22" s="29">
        <f>'2-δικαιώμ'!J22</f>
        <v>0</v>
      </c>
      <c r="K22" s="29">
        <f>'2-δικαιώμ'!K22</f>
        <v>0</v>
      </c>
      <c r="L22" s="181"/>
      <c r="M22" s="181"/>
      <c r="N22" s="35"/>
      <c r="O22" s="35"/>
      <c r="P22" s="35"/>
      <c r="Q22" s="181"/>
      <c r="R22" s="35"/>
      <c r="S22" s="35"/>
      <c r="T22" s="35"/>
      <c r="U22" s="35"/>
      <c r="V22" s="181"/>
      <c r="W22" s="35">
        <f>'2-δικαιώμ'!H22+'2-δικαιώμ'!I22</f>
        <v>0</v>
      </c>
      <c r="X22" s="35">
        <f>'2-δικαιώμ'!J22</f>
        <v>0</v>
      </c>
      <c r="Y22" s="35">
        <f>'2-δικαιώμ'!K22</f>
        <v>0</v>
      </c>
      <c r="Z22" s="181"/>
      <c r="AA22" s="35"/>
      <c r="AB22" s="35"/>
      <c r="AC22" s="35"/>
      <c r="AD22" s="35"/>
      <c r="AE22" s="35"/>
    </row>
    <row r="23" spans="1:31" s="19" customFormat="1">
      <c r="A23" s="147">
        <f>'1-συμβολαια'!A23</f>
        <v>0</v>
      </c>
      <c r="B23" s="147">
        <f>'1-συμβολαια'!B23</f>
        <v>0</v>
      </c>
      <c r="C23" s="147" t="str">
        <f>'1-συμβολαια'!C23</f>
        <v>'του πλήρωσα ΚΑΙ τους φόρους''</v>
      </c>
      <c r="D23" s="242">
        <f>'1-συμβολαια'!D23</f>
        <v>111</v>
      </c>
      <c r="E23" s="29">
        <f>'8-κ-15-17'!D23</f>
        <v>0</v>
      </c>
      <c r="F23" s="29">
        <f>'8-κ-15-17'!M23</f>
        <v>0</v>
      </c>
      <c r="G23" s="29">
        <f>'8-κ-15-17'!V23</f>
        <v>0</v>
      </c>
      <c r="H23" s="29">
        <f>'2-δικαιώμ'!H23</f>
        <v>0</v>
      </c>
      <c r="I23" s="29">
        <f>'2-δικαιώμ'!I23</f>
        <v>0</v>
      </c>
      <c r="J23" s="29">
        <f>'2-δικαιώμ'!J23</f>
        <v>0</v>
      </c>
      <c r="K23" s="29">
        <f>'2-δικαιώμ'!K23</f>
        <v>0</v>
      </c>
      <c r="L23" s="181"/>
      <c r="M23" s="181"/>
      <c r="N23" s="35"/>
      <c r="O23" s="35"/>
      <c r="P23" s="35"/>
      <c r="Q23" s="181"/>
      <c r="R23" s="35"/>
      <c r="S23" s="35"/>
      <c r="T23" s="35"/>
      <c r="U23" s="35"/>
      <c r="V23" s="181"/>
      <c r="W23" s="35">
        <f>'2-δικαιώμ'!H23+'2-δικαιώμ'!I23</f>
        <v>0</v>
      </c>
      <c r="X23" s="35">
        <f>'2-δικαιώμ'!J23</f>
        <v>0</v>
      </c>
      <c r="Y23" s="35">
        <f>'2-δικαιώμ'!K23</f>
        <v>0</v>
      </c>
      <c r="Z23" s="181"/>
      <c r="AA23" s="35"/>
      <c r="AB23" s="35"/>
      <c r="AC23" s="35"/>
      <c r="AD23" s="35"/>
      <c r="AE23" s="35"/>
    </row>
    <row r="24" spans="1:31">
      <c r="A24" s="641" t="str">
        <f>'1-συμβολαια'!A24</f>
        <v>σύνολο</v>
      </c>
      <c r="B24" s="642"/>
      <c r="C24" s="642"/>
      <c r="D24" s="643"/>
      <c r="E24" s="346">
        <f t="shared" ref="E24:K24" si="0">SUM(E3:E23)</f>
        <v>3147.0784800000001</v>
      </c>
      <c r="F24" s="346">
        <f t="shared" si="0"/>
        <v>0</v>
      </c>
      <c r="G24" s="346">
        <f t="shared" si="0"/>
        <v>0</v>
      </c>
      <c r="H24" s="346">
        <f t="shared" si="0"/>
        <v>261.44959679999999</v>
      </c>
      <c r="I24" s="346">
        <f t="shared" si="0"/>
        <v>8.9999999999999982</v>
      </c>
      <c r="J24" s="346">
        <f t="shared" si="0"/>
        <v>154.249776</v>
      </c>
      <c r="K24" s="346">
        <f t="shared" si="0"/>
        <v>30.849955200000011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7" spans="1:31">
      <c r="C27" s="98"/>
      <c r="E27" s="2"/>
      <c r="F27" s="2"/>
      <c r="G27" s="2"/>
      <c r="H27" s="2"/>
      <c r="I27" s="2"/>
      <c r="J27" s="2"/>
      <c r="K27" s="2"/>
    </row>
    <row r="28" spans="1:31" ht="15.75">
      <c r="C28" s="249" t="s">
        <v>386</v>
      </c>
      <c r="E28" s="2"/>
      <c r="F28" s="2"/>
      <c r="G28" s="2"/>
      <c r="H28" s="164"/>
      <c r="I28" s="328">
        <v>0.15</v>
      </c>
      <c r="J28" s="329">
        <v>2.93</v>
      </c>
      <c r="K28" s="5" t="s">
        <v>389</v>
      </c>
      <c r="M28" s="330">
        <f>J28-I28</f>
        <v>2.7800000000000002</v>
      </c>
    </row>
    <row r="29" spans="1:31" ht="12.75">
      <c r="C29" s="250" t="s">
        <v>387</v>
      </c>
      <c r="E29" s="2"/>
      <c r="F29" s="2"/>
      <c r="G29" s="2"/>
      <c r="H29" s="2"/>
      <c r="I29" s="202">
        <v>0.44</v>
      </c>
      <c r="J29" s="326">
        <v>0.56000000000000005</v>
      </c>
      <c r="K29" s="3" t="s">
        <v>390</v>
      </c>
      <c r="M29" s="330">
        <f>J29-I29</f>
        <v>0.12000000000000005</v>
      </c>
    </row>
    <row r="30" spans="1:31" ht="15.75">
      <c r="C30" s="265" t="s">
        <v>388</v>
      </c>
      <c r="E30" s="2"/>
      <c r="F30" s="2"/>
      <c r="G30" s="2"/>
      <c r="H30" s="337">
        <v>0.05</v>
      </c>
      <c r="I30" s="8"/>
      <c r="J30" s="4">
        <v>0.73</v>
      </c>
      <c r="K30" s="5" t="s">
        <v>134</v>
      </c>
      <c r="M30" s="5"/>
    </row>
    <row r="31" spans="1:31">
      <c r="C31" s="98"/>
      <c r="E31" s="2"/>
      <c r="F31" s="2"/>
      <c r="G31" s="2"/>
      <c r="H31" s="337">
        <v>0.05</v>
      </c>
      <c r="I31" s="8"/>
      <c r="J31" s="4">
        <v>1.47</v>
      </c>
      <c r="K31" s="3" t="s">
        <v>391</v>
      </c>
    </row>
    <row r="32" spans="1:31">
      <c r="C32" s="98"/>
      <c r="E32" s="2"/>
      <c r="F32" s="2"/>
      <c r="G32" s="2"/>
      <c r="H32" s="337">
        <v>0.05</v>
      </c>
      <c r="I32" s="8"/>
      <c r="J32" s="4">
        <v>3.99</v>
      </c>
      <c r="K32" s="5" t="s">
        <v>392</v>
      </c>
      <c r="L32" s="5"/>
      <c r="M32" s="5"/>
    </row>
    <row r="33" spans="3:13">
      <c r="C33" s="98"/>
      <c r="E33" s="2"/>
      <c r="F33" s="2"/>
      <c r="G33" s="2"/>
      <c r="H33" s="337">
        <v>0.05</v>
      </c>
      <c r="I33" s="8"/>
      <c r="J33" s="4"/>
      <c r="K33" s="5" t="s">
        <v>442</v>
      </c>
      <c r="L33" s="5"/>
      <c r="M33" s="5"/>
    </row>
    <row r="34" spans="3:13">
      <c r="C34" s="98"/>
      <c r="E34" s="2"/>
      <c r="F34" s="2"/>
      <c r="G34" s="2"/>
      <c r="H34" s="337">
        <v>0.05</v>
      </c>
      <c r="I34" s="8"/>
      <c r="J34" s="4"/>
      <c r="K34" s="5" t="s">
        <v>443</v>
      </c>
      <c r="L34" s="5"/>
      <c r="M34" s="5"/>
    </row>
    <row r="35" spans="3:13">
      <c r="C35" s="98"/>
      <c r="E35" s="2"/>
      <c r="F35" s="2"/>
      <c r="G35" s="2"/>
      <c r="H35" s="337"/>
      <c r="I35" s="8"/>
      <c r="J35" s="4"/>
      <c r="K35" s="5"/>
      <c r="L35" s="5"/>
      <c r="M35" s="5"/>
    </row>
    <row r="36" spans="3:13">
      <c r="C36" s="98"/>
      <c r="E36" s="2"/>
      <c r="F36" s="2"/>
      <c r="G36" s="2"/>
      <c r="H36" s="2"/>
      <c r="I36" s="5" t="s">
        <v>444</v>
      </c>
      <c r="J36" s="5"/>
      <c r="K36" s="5" t="s">
        <v>134</v>
      </c>
      <c r="L36" s="5"/>
      <c r="M36" s="5"/>
    </row>
    <row r="37" spans="3:13">
      <c r="H37" s="2"/>
      <c r="I37" s="5" t="s">
        <v>445</v>
      </c>
      <c r="J37" s="5"/>
      <c r="K37" s="5" t="s">
        <v>135</v>
      </c>
      <c r="L37" s="5"/>
      <c r="M37" s="5"/>
    </row>
    <row r="38" spans="3:13">
      <c r="H38" s="2"/>
      <c r="I38" s="5" t="s">
        <v>446</v>
      </c>
      <c r="J38" s="5"/>
      <c r="K38" s="5" t="s">
        <v>136</v>
      </c>
      <c r="L38" s="5"/>
      <c r="M38" s="5"/>
    </row>
    <row r="39" spans="3:13" ht="15">
      <c r="H39" s="2"/>
      <c r="I39" s="4">
        <v>2.2000000000000002</v>
      </c>
      <c r="J39" s="342"/>
      <c r="K39" s="5" t="s">
        <v>393</v>
      </c>
      <c r="L39" s="5"/>
      <c r="M39" s="5"/>
    </row>
    <row r="40" spans="3:13" ht="15">
      <c r="H40" s="2"/>
      <c r="I40" s="2">
        <v>2.93</v>
      </c>
      <c r="J40" s="343"/>
      <c r="K40" s="3" t="s">
        <v>394</v>
      </c>
      <c r="L40" s="5"/>
      <c r="M40" s="5"/>
    </row>
  </sheetData>
  <mergeCells count="14">
    <mergeCell ref="AA1:AE1"/>
    <mergeCell ref="A24:D24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33"/>
  <sheetViews>
    <sheetView workbookViewId="0">
      <pane ySplit="2" topLeftCell="A3" activePane="bottomLeft" state="frozen"/>
      <selection pane="bottomLeft" activeCell="C31" sqref="C31"/>
    </sheetView>
  </sheetViews>
  <sheetFormatPr defaultRowHeight="11.25"/>
  <cols>
    <col min="1" max="1" width="10.42578125" style="8" bestFit="1" customWidth="1"/>
    <col min="2" max="2" width="49.140625" style="98" bestFit="1" customWidth="1"/>
    <col min="3" max="3" width="10.42578125" style="8" bestFit="1" customWidth="1"/>
    <col min="4" max="5" width="8.28515625" style="2" bestFit="1" customWidth="1"/>
    <col min="6" max="7" width="8.140625" style="2" bestFit="1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1" s="6" customFormat="1" ht="34.5" customHeight="1">
      <c r="A1" s="530" t="s">
        <v>1</v>
      </c>
      <c r="B1" s="532" t="s">
        <v>0</v>
      </c>
      <c r="C1" s="569" t="s">
        <v>7</v>
      </c>
      <c r="D1" s="663" t="s">
        <v>45</v>
      </c>
      <c r="E1" s="664"/>
      <c r="F1" s="665" t="s">
        <v>401</v>
      </c>
      <c r="G1" s="666"/>
      <c r="H1" s="661" t="s">
        <v>57</v>
      </c>
      <c r="I1" s="658" t="s">
        <v>29</v>
      </c>
      <c r="J1" s="659"/>
      <c r="K1" s="660"/>
    </row>
    <row r="2" spans="1:11" ht="34.5" customHeight="1" thickBot="1">
      <c r="A2" s="531"/>
      <c r="B2" s="533"/>
      <c r="C2" s="570"/>
      <c r="D2" s="451" t="s">
        <v>325</v>
      </c>
      <c r="E2" s="267" t="s">
        <v>90</v>
      </c>
      <c r="F2" s="266" t="s">
        <v>325</v>
      </c>
      <c r="G2" s="264" t="s">
        <v>33</v>
      </c>
      <c r="H2" s="662"/>
      <c r="I2" s="560"/>
      <c r="J2" s="526"/>
      <c r="K2" s="527"/>
    </row>
    <row r="3" spans="1:11" s="410" customFormat="1" ht="14.25">
      <c r="A3" s="411" t="str">
        <f>'1-συμβολαια'!A3</f>
        <v>3ο</v>
      </c>
      <c r="B3" s="408" t="str">
        <f>'1-συμβολαια'!C3</f>
        <v>υποθήκης ????  5.495.705δρχ ΕΞΑΛΕΙΨΗ</v>
      </c>
      <c r="C3" s="409">
        <f>'1-συμβολαια'!D3</f>
        <v>16128.26</v>
      </c>
      <c r="D3" s="487"/>
      <c r="E3" s="458"/>
      <c r="F3" s="487"/>
      <c r="G3" s="454">
        <f t="shared" ref="G3:G23" si="0">D3-F3</f>
        <v>0</v>
      </c>
      <c r="H3" s="454">
        <v>0.5</v>
      </c>
      <c r="I3" s="369" t="s">
        <v>138</v>
      </c>
      <c r="J3" s="369" t="s">
        <v>133</v>
      </c>
      <c r="K3" s="77"/>
    </row>
    <row r="4" spans="1:11" s="410" customFormat="1" ht="14.25">
      <c r="A4" s="411">
        <f>'1-συμβολαια'!A4</f>
        <v>0</v>
      </c>
      <c r="B4" s="408" t="str">
        <f>'1-συμβολαια'!C4</f>
        <v>δανείου ??? 5.495.700 δρχ …. ΕΞΟΦΛΗΣΗ</v>
      </c>
      <c r="C4" s="409">
        <f>'1-συμβολαια'!D4</f>
        <v>16128.26</v>
      </c>
      <c r="D4" s="487"/>
      <c r="E4" s="458"/>
      <c r="F4" s="487"/>
      <c r="G4" s="454">
        <f t="shared" si="0"/>
        <v>0</v>
      </c>
      <c r="H4" s="454">
        <v>0.5</v>
      </c>
      <c r="I4" s="369" t="s">
        <v>138</v>
      </c>
      <c r="J4" s="369" t="s">
        <v>133</v>
      </c>
      <c r="K4" s="77"/>
    </row>
    <row r="5" spans="1:11" s="410" customFormat="1" ht="14.25">
      <c r="A5" s="411">
        <f>'1-συμβολαια'!A5</f>
        <v>0</v>
      </c>
      <c r="B5" s="408" t="str">
        <f>'1-συμβολαια'!C5</f>
        <v>δανείου ???? ΤΟΚΟΙ</v>
      </c>
      <c r="C5" s="409">
        <f>'1-συμβολαια'!D5</f>
        <v>33333.33</v>
      </c>
      <c r="D5" s="487"/>
      <c r="E5" s="458"/>
      <c r="F5" s="487"/>
      <c r="G5" s="454">
        <f t="shared" si="0"/>
        <v>0</v>
      </c>
      <c r="H5" s="454">
        <v>0.5</v>
      </c>
      <c r="I5" s="369" t="s">
        <v>138</v>
      </c>
      <c r="J5" s="369" t="s">
        <v>133</v>
      </c>
      <c r="K5" s="77"/>
    </row>
    <row r="6" spans="1:11" s="131" customFormat="1" ht="14.25">
      <c r="A6" s="133"/>
      <c r="B6" s="134"/>
      <c r="C6" s="135"/>
      <c r="D6" s="457"/>
      <c r="E6" s="456"/>
      <c r="F6" s="457"/>
      <c r="G6" s="454"/>
      <c r="H6" s="460"/>
      <c r="I6" s="151"/>
      <c r="J6" s="151"/>
      <c r="K6" s="26"/>
    </row>
    <row r="7" spans="1:11" s="410" customFormat="1" ht="14.25">
      <c r="A7" s="411" t="str">
        <f>'1-συμβολαια'!A7</f>
        <v>4ο</v>
      </c>
      <c r="B7" s="408" t="str">
        <f>'1-συμβολαια'!C7</f>
        <v>υποθήκης ???? 12.000.000δρχ ΕΞΑΛΕΙΨΗ</v>
      </c>
      <c r="C7" s="409">
        <f>'1-συμβολαια'!D7</f>
        <v>35216.43</v>
      </c>
      <c r="D7" s="487"/>
      <c r="E7" s="458"/>
      <c r="F7" s="487"/>
      <c r="G7" s="454">
        <f t="shared" si="0"/>
        <v>0</v>
      </c>
      <c r="H7" s="454">
        <v>0.5</v>
      </c>
      <c r="I7" s="369" t="s">
        <v>138</v>
      </c>
      <c r="J7" s="369" t="s">
        <v>133</v>
      </c>
      <c r="K7" s="77"/>
    </row>
    <row r="8" spans="1:11" s="410" customFormat="1" ht="14.25">
      <c r="A8" s="411">
        <f>'1-συμβολαια'!A8</f>
        <v>0</v>
      </c>
      <c r="B8" s="408" t="str">
        <f>'1-συμβολαια'!C8</f>
        <v>δανείου ??? 12.000.000δρχ …. ΕΞΟΦΛΗΣΗ</v>
      </c>
      <c r="C8" s="409">
        <f>'1-συμβολαια'!D8</f>
        <v>35216.43</v>
      </c>
      <c r="D8" s="487"/>
      <c r="E8" s="458"/>
      <c r="F8" s="487"/>
      <c r="G8" s="454">
        <f t="shared" si="0"/>
        <v>0</v>
      </c>
      <c r="H8" s="454">
        <v>0.5</v>
      </c>
      <c r="I8" s="369" t="s">
        <v>138</v>
      </c>
      <c r="J8" s="369" t="s">
        <v>133</v>
      </c>
      <c r="K8" s="77"/>
    </row>
    <row r="9" spans="1:11" s="410" customFormat="1" ht="14.25">
      <c r="A9" s="411">
        <f>'1-συμβολαια'!A9</f>
        <v>0</v>
      </c>
      <c r="B9" s="408" t="str">
        <f>'1-συμβολαια'!C9</f>
        <v>δανείου ???? ΤΟΚΟΙ</v>
      </c>
      <c r="C9" s="409">
        <f>'1-συμβολαια'!D9</f>
        <v>77777.77</v>
      </c>
      <c r="D9" s="487"/>
      <c r="E9" s="458"/>
      <c r="F9" s="487"/>
      <c r="G9" s="454">
        <f t="shared" si="0"/>
        <v>0</v>
      </c>
      <c r="H9" s="454">
        <v>0.5</v>
      </c>
      <c r="I9" s="369" t="s">
        <v>138</v>
      </c>
      <c r="J9" s="369" t="s">
        <v>133</v>
      </c>
      <c r="K9" s="77"/>
    </row>
    <row r="10" spans="1:11" s="131" customFormat="1" ht="14.25">
      <c r="A10" s="133"/>
      <c r="B10" s="134"/>
      <c r="C10" s="135"/>
      <c r="D10" s="457"/>
      <c r="E10" s="456"/>
      <c r="F10" s="457"/>
      <c r="G10" s="454"/>
      <c r="H10" s="460"/>
      <c r="I10" s="151"/>
      <c r="J10" s="151"/>
      <c r="K10" s="26"/>
    </row>
    <row r="11" spans="1:11" s="410" customFormat="1" ht="14.25">
      <c r="A11" s="411" t="str">
        <f>'1-συμβολαια'!A11</f>
        <v>5ο</v>
      </c>
      <c r="B11" s="408" t="str">
        <f>'1-συμβολαια'!C11</f>
        <v>υποθήκης 1ου   κύρου ;;;???;;;δρχ ΕΞΑΛΕΙΨΗ</v>
      </c>
      <c r="C11" s="409">
        <f>'1-συμβολαια'!D11</f>
        <v>0</v>
      </c>
      <c r="D11" s="487"/>
      <c r="E11" s="458"/>
      <c r="F11" s="487"/>
      <c r="G11" s="454">
        <f t="shared" si="0"/>
        <v>0</v>
      </c>
      <c r="H11" s="454">
        <v>0.5</v>
      </c>
      <c r="I11" s="369" t="s">
        <v>138</v>
      </c>
      <c r="J11" s="369" t="s">
        <v>133</v>
      </c>
      <c r="K11" s="77"/>
    </row>
    <row r="12" spans="1:11" s="410" customFormat="1" ht="14.25">
      <c r="A12" s="411">
        <f>'1-συμβολαια'!A12</f>
        <v>0</v>
      </c>
      <c r="B12" s="408" t="str">
        <f>'1-συμβολαια'!C12</f>
        <v>δανείου 1ου   κύρου 1.050.000δρχ ...ΕΞΟΦΛΗΣΗ</v>
      </c>
      <c r="C12" s="409">
        <f>'1-συμβολαια'!D12</f>
        <v>0</v>
      </c>
      <c r="D12" s="487"/>
      <c r="E12" s="458"/>
      <c r="F12" s="487"/>
      <c r="G12" s="454">
        <f t="shared" si="0"/>
        <v>0</v>
      </c>
      <c r="H12" s="454">
        <v>0.5</v>
      </c>
      <c r="I12" s="369" t="s">
        <v>138</v>
      </c>
      <c r="J12" s="369" t="s">
        <v>133</v>
      </c>
      <c r="K12" s="77"/>
    </row>
    <row r="13" spans="1:11" s="410" customFormat="1" ht="14.25">
      <c r="A13" s="411">
        <f>'1-συμβολαια'!A13</f>
        <v>0</v>
      </c>
      <c r="B13" s="408" t="str">
        <f>'1-συμβολαια'!C13</f>
        <v>δανείου 1ου   κύρου ΤΟΚΟΙ {προπληρωθέντες VS υπερβάλλοντες}</v>
      </c>
      <c r="C13" s="409">
        <f>'1-συμβολαια'!D13</f>
        <v>666.66</v>
      </c>
      <c r="D13" s="487"/>
      <c r="E13" s="458"/>
      <c r="F13" s="487"/>
      <c r="G13" s="454">
        <f t="shared" si="0"/>
        <v>0</v>
      </c>
      <c r="H13" s="454">
        <v>0.5</v>
      </c>
      <c r="I13" s="369" t="s">
        <v>138</v>
      </c>
      <c r="J13" s="369" t="s">
        <v>133</v>
      </c>
      <c r="K13" s="77"/>
    </row>
    <row r="14" spans="1:11" s="131" customFormat="1" ht="14.25">
      <c r="A14" s="133"/>
      <c r="B14" s="134"/>
      <c r="C14" s="135"/>
      <c r="D14" s="457"/>
      <c r="E14" s="456"/>
      <c r="F14" s="457"/>
      <c r="G14" s="454"/>
      <c r="H14" s="460"/>
      <c r="I14" s="151"/>
      <c r="J14" s="151"/>
      <c r="K14" s="26"/>
    </row>
    <row r="15" spans="1:11" s="410" customFormat="1" ht="14.25">
      <c r="A15" s="411" t="str">
        <f>'1-συμβολαια'!A15</f>
        <v>6ο</v>
      </c>
      <c r="B15" s="408" t="str">
        <f>'1-συμβολαια'!C15</f>
        <v>υποθήκης 2ου   κύρου ;;;???;;;δρχ …..ΕΞΑΛΕΙΨΗ</v>
      </c>
      <c r="C15" s="409">
        <f>'1-συμβολαια'!D15</f>
        <v>0</v>
      </c>
      <c r="D15" s="487"/>
      <c r="E15" s="458"/>
      <c r="F15" s="487"/>
      <c r="G15" s="454">
        <f t="shared" si="0"/>
        <v>0</v>
      </c>
      <c r="H15" s="454">
        <v>0.5</v>
      </c>
      <c r="I15" s="369" t="s">
        <v>138</v>
      </c>
      <c r="J15" s="369" t="s">
        <v>133</v>
      </c>
      <c r="K15" s="77"/>
    </row>
    <row r="16" spans="1:11" s="410" customFormat="1" ht="14.25">
      <c r="A16" s="411">
        <f>'1-συμβολαια'!A16</f>
        <v>0</v>
      </c>
      <c r="B16" s="408" t="str">
        <f>'1-συμβολαια'!C16</f>
        <v>δανείου 2ου   κύρου 7000.000δρχ …..ΕΞΟΦΛΗΣΗ</v>
      </c>
      <c r="C16" s="409">
        <f>'1-συμβολαια'!D16</f>
        <v>0</v>
      </c>
      <c r="D16" s="487"/>
      <c r="E16" s="458"/>
      <c r="F16" s="487"/>
      <c r="G16" s="454">
        <f t="shared" si="0"/>
        <v>0</v>
      </c>
      <c r="H16" s="454">
        <v>0.5</v>
      </c>
      <c r="I16" s="369" t="s">
        <v>138</v>
      </c>
      <c r="J16" s="369" t="s">
        <v>133</v>
      </c>
      <c r="K16" s="77"/>
    </row>
    <row r="17" spans="1:17" s="410" customFormat="1" ht="14.25">
      <c r="A17" s="411">
        <f>'1-συμβολαια'!A17</f>
        <v>0</v>
      </c>
      <c r="B17" s="408" t="str">
        <f>'1-συμβολαια'!C17</f>
        <v>δανείου 2ου    κύρου …. ΤΟΚΟΙ {προπληρωθέντες VS υπερβάλλοντες}</v>
      </c>
      <c r="C17" s="409">
        <f>'1-συμβολαια'!D17</f>
        <v>444.44</v>
      </c>
      <c r="D17" s="487"/>
      <c r="E17" s="458"/>
      <c r="F17" s="487"/>
      <c r="G17" s="454">
        <f t="shared" si="0"/>
        <v>0</v>
      </c>
      <c r="H17" s="454">
        <v>0.5</v>
      </c>
      <c r="I17" s="369" t="s">
        <v>138</v>
      </c>
      <c r="J17" s="369" t="s">
        <v>133</v>
      </c>
      <c r="K17" s="77"/>
    </row>
    <row r="18" spans="1:17" s="131" customFormat="1" ht="14.25">
      <c r="A18" s="133"/>
      <c r="B18" s="134"/>
      <c r="C18" s="135"/>
      <c r="D18" s="457"/>
      <c r="E18" s="456"/>
      <c r="F18" s="457"/>
      <c r="G18" s="454"/>
      <c r="H18" s="460"/>
      <c r="I18" s="151"/>
      <c r="J18" s="151"/>
      <c r="K18" s="26"/>
    </row>
    <row r="19" spans="1:17" s="410" customFormat="1" ht="14.25">
      <c r="A19" s="411" t="str">
        <f>'1-συμβολαια'!A19</f>
        <v>7ο</v>
      </c>
      <c r="B19" s="408" t="str">
        <f>'1-συμβολαια'!C19</f>
        <v>υποθήκης ???? 2.168.354δρχ …. ΕΞΑΛΕΙΨΗ</v>
      </c>
      <c r="C19" s="409">
        <f>'1-συμβολαια'!D19</f>
        <v>6363.47</v>
      </c>
      <c r="D19" s="487"/>
      <c r="E19" s="458"/>
      <c r="F19" s="487"/>
      <c r="G19" s="454">
        <f t="shared" si="0"/>
        <v>0</v>
      </c>
      <c r="H19" s="454">
        <v>0.5</v>
      </c>
      <c r="I19" s="369" t="s">
        <v>138</v>
      </c>
      <c r="J19" s="369" t="s">
        <v>133</v>
      </c>
      <c r="K19" s="77"/>
    </row>
    <row r="20" spans="1:17" s="410" customFormat="1" ht="14.25">
      <c r="A20" s="411">
        <f>'1-συμβολαια'!A20</f>
        <v>0</v>
      </c>
      <c r="B20" s="408" t="str">
        <f>'1-συμβολαια'!C20</f>
        <v>δανείου ??? 2.168.354δρχ ….. ΕΞΟΦΛΗΣΗ</v>
      </c>
      <c r="C20" s="409">
        <f>'1-συμβολαια'!D20</f>
        <v>6363.47</v>
      </c>
      <c r="D20" s="487"/>
      <c r="E20" s="458"/>
      <c r="F20" s="487"/>
      <c r="G20" s="454">
        <f t="shared" si="0"/>
        <v>0</v>
      </c>
      <c r="H20" s="454">
        <v>0.5</v>
      </c>
      <c r="I20" s="369" t="s">
        <v>138</v>
      </c>
      <c r="J20" s="369" t="s">
        <v>133</v>
      </c>
      <c r="K20" s="77"/>
    </row>
    <row r="21" spans="1:17" s="410" customFormat="1" ht="14.25">
      <c r="A21" s="411">
        <f>'1-συμβολαια'!A21</f>
        <v>0</v>
      </c>
      <c r="B21" s="408" t="str">
        <f>'1-συμβολαια'!C21</f>
        <v>δανείου ???? ΤΟΚΟΙ</v>
      </c>
      <c r="C21" s="409">
        <f>'1-συμβολαια'!D21</f>
        <v>14444.44</v>
      </c>
      <c r="D21" s="487"/>
      <c r="E21" s="458"/>
      <c r="F21" s="487"/>
      <c r="G21" s="454">
        <f t="shared" si="0"/>
        <v>0</v>
      </c>
      <c r="H21" s="454">
        <v>0.5</v>
      </c>
      <c r="I21" s="369" t="s">
        <v>138</v>
      </c>
      <c r="J21" s="369" t="s">
        <v>133</v>
      </c>
      <c r="K21" s="77"/>
    </row>
    <row r="22" spans="1:17" s="131" customFormat="1" ht="14.25">
      <c r="A22" s="133"/>
      <c r="B22" s="134"/>
      <c r="C22" s="135"/>
      <c r="D22" s="457"/>
      <c r="E22" s="456"/>
      <c r="F22" s="457"/>
      <c r="G22" s="454"/>
      <c r="H22" s="460"/>
      <c r="I22" s="151"/>
      <c r="J22" s="151"/>
      <c r="K22" s="26"/>
    </row>
    <row r="23" spans="1:17" s="410" customFormat="1" ht="14.25">
      <c r="A23" s="452">
        <f>'1-συμβολαια'!A23</f>
        <v>0</v>
      </c>
      <c r="B23" s="408" t="str">
        <f>'1-συμβολαια'!C23</f>
        <v>'του πλήρωσα ΚΑΙ τους φόρους''</v>
      </c>
      <c r="C23" s="409">
        <f>'1-συμβολαια'!D23</f>
        <v>111</v>
      </c>
      <c r="D23" s="453"/>
      <c r="E23" s="455"/>
      <c r="F23" s="453"/>
      <c r="G23" s="454">
        <f t="shared" si="0"/>
        <v>0</v>
      </c>
      <c r="H23" s="454"/>
      <c r="I23" s="369"/>
      <c r="J23" s="369"/>
      <c r="K23" s="77"/>
    </row>
    <row r="24" spans="1:17" ht="15.75">
      <c r="A24" s="546" t="s">
        <v>56</v>
      </c>
      <c r="B24" s="547"/>
      <c r="C24" s="547"/>
      <c r="D24" s="459">
        <f>SUM(D3:D23)</f>
        <v>0</v>
      </c>
      <c r="E24" s="459">
        <f>SUM(E3:E23)</f>
        <v>0</v>
      </c>
      <c r="F24" s="459">
        <f>SUM(F3:F23)</f>
        <v>0</v>
      </c>
      <c r="G24" s="459">
        <f>SUM(G3:G23)</f>
        <v>0</v>
      </c>
      <c r="H24" s="459">
        <f>SUM(H3:H23)</f>
        <v>7.5</v>
      </c>
    </row>
    <row r="25" spans="1:17" ht="15.75">
      <c r="I25" s="148" t="s">
        <v>102</v>
      </c>
      <c r="J25" s="164"/>
      <c r="K25" s="164"/>
      <c r="L25" s="145"/>
      <c r="M25" s="145"/>
      <c r="N25" s="145"/>
      <c r="O25" s="145"/>
      <c r="P25" s="5"/>
    </row>
    <row r="26" spans="1:17" ht="15.75">
      <c r="I26" s="269"/>
      <c r="J26" s="164" t="s">
        <v>103</v>
      </c>
      <c r="K26" s="164"/>
      <c r="L26" s="164"/>
      <c r="M26" s="164"/>
      <c r="N26" s="164"/>
      <c r="O26" s="164"/>
      <c r="P26" s="269"/>
      <c r="Q26" s="268"/>
    </row>
    <row r="27" spans="1:17" ht="15.75">
      <c r="B27" s="256"/>
      <c r="I27" s="269"/>
      <c r="J27" s="269"/>
      <c r="K27" s="270"/>
      <c r="L27" s="270"/>
      <c r="M27" s="270"/>
      <c r="N27" s="270"/>
      <c r="O27" s="270"/>
      <c r="P27" s="270"/>
      <c r="Q27" s="268"/>
    </row>
    <row r="28" spans="1:17" ht="15.75">
      <c r="B28" s="255"/>
      <c r="I28" s="269"/>
      <c r="J28" s="269"/>
      <c r="K28" s="164"/>
      <c r="L28" s="270"/>
      <c r="M28" s="270"/>
      <c r="N28" s="164"/>
      <c r="O28" s="164"/>
      <c r="P28" s="164"/>
      <c r="Q28" s="268"/>
    </row>
    <row r="29" spans="1:17" ht="15.75">
      <c r="I29" s="269"/>
      <c r="J29" s="269"/>
      <c r="K29" s="270"/>
      <c r="L29" s="270"/>
      <c r="M29" s="270"/>
      <c r="N29" s="270"/>
      <c r="O29" s="270"/>
      <c r="P29" s="270"/>
      <c r="Q29" s="268"/>
    </row>
    <row r="30" spans="1:17" ht="15.75">
      <c r="B30" s="155"/>
      <c r="L30" s="149"/>
      <c r="Q30" s="268"/>
    </row>
    <row r="31" spans="1:17" ht="15.75">
      <c r="B31" s="156"/>
      <c r="L31" s="149"/>
    </row>
    <row r="32" spans="1:17" ht="15.75">
      <c r="L32" s="149"/>
    </row>
    <row r="33" spans="12:12" ht="15.75">
      <c r="L33" s="149"/>
    </row>
  </sheetData>
  <mergeCells count="8">
    <mergeCell ref="I1:K2"/>
    <mergeCell ref="H1:H2"/>
    <mergeCell ref="A24:C24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53"/>
  <sheetViews>
    <sheetView workbookViewId="0">
      <pane ySplit="2" topLeftCell="A3" activePane="bottomLeft" state="frozen"/>
      <selection pane="bottomLeft" activeCell="D31" sqref="D31"/>
    </sheetView>
  </sheetViews>
  <sheetFormatPr defaultRowHeight="15"/>
  <cols>
    <col min="1" max="1" width="11.5703125" style="122" bestFit="1" customWidth="1"/>
    <col min="2" max="2" width="52.7109375" style="123" bestFit="1" customWidth="1"/>
    <col min="3" max="3" width="13.5703125" style="124" bestFit="1" customWidth="1"/>
    <col min="4" max="4" width="11.5703125" style="124" bestFit="1" customWidth="1"/>
    <col min="5" max="5" width="16.85546875" style="124" bestFit="1" customWidth="1"/>
    <col min="6" max="6" width="7.85546875" style="121" customWidth="1"/>
    <col min="7" max="7" width="10" style="121" customWidth="1"/>
    <col min="8" max="8" width="6.140625" style="121" bestFit="1" customWidth="1"/>
    <col min="9" max="12" width="7.140625" style="121" customWidth="1"/>
    <col min="13" max="13" width="6.28515625" style="121" customWidth="1"/>
    <col min="14" max="21" width="7.140625" style="121" customWidth="1"/>
    <col min="22" max="22" width="30.85546875" style="121" customWidth="1"/>
    <col min="23" max="220" width="9.140625" style="110"/>
    <col min="221" max="221" width="9" style="110" bestFit="1" customWidth="1"/>
    <col min="222" max="222" width="9.85546875" style="110" bestFit="1" customWidth="1"/>
    <col min="223" max="223" width="9.140625" style="110" bestFit="1" customWidth="1"/>
    <col min="224" max="224" width="16" style="110" bestFit="1" customWidth="1"/>
    <col min="225" max="225" width="9" style="110" bestFit="1" customWidth="1"/>
    <col min="226" max="226" width="7.85546875" style="110" bestFit="1" customWidth="1"/>
    <col min="227" max="227" width="11.7109375" style="110" bestFit="1" customWidth="1"/>
    <col min="228" max="228" width="14.28515625" style="110" customWidth="1"/>
    <col min="229" max="229" width="11.7109375" style="110" bestFit="1" customWidth="1"/>
    <col min="230" max="230" width="14.140625" style="110" bestFit="1" customWidth="1"/>
    <col min="231" max="231" width="16.7109375" style="110" customWidth="1"/>
    <col min="232" max="232" width="16.5703125" style="110" customWidth="1"/>
    <col min="233" max="234" width="7.85546875" style="110" bestFit="1" customWidth="1"/>
    <col min="235" max="235" width="8" style="110" bestFit="1" customWidth="1"/>
    <col min="236" max="237" width="7.85546875" style="110" bestFit="1" customWidth="1"/>
    <col min="238" max="238" width="9.7109375" style="110" customWidth="1"/>
    <col min="239" max="239" width="12.85546875" style="110" customWidth="1"/>
    <col min="240" max="476" width="9.140625" style="110"/>
    <col min="477" max="477" width="9" style="110" bestFit="1" customWidth="1"/>
    <col min="478" max="478" width="9.85546875" style="110" bestFit="1" customWidth="1"/>
    <col min="479" max="479" width="9.140625" style="110" bestFit="1" customWidth="1"/>
    <col min="480" max="480" width="16" style="110" bestFit="1" customWidth="1"/>
    <col min="481" max="481" width="9" style="110" bestFit="1" customWidth="1"/>
    <col min="482" max="482" width="7.85546875" style="110" bestFit="1" customWidth="1"/>
    <col min="483" max="483" width="11.7109375" style="110" bestFit="1" customWidth="1"/>
    <col min="484" max="484" width="14.28515625" style="110" customWidth="1"/>
    <col min="485" max="485" width="11.7109375" style="110" bestFit="1" customWidth="1"/>
    <col min="486" max="486" width="14.140625" style="110" bestFit="1" customWidth="1"/>
    <col min="487" max="487" width="16.7109375" style="110" customWidth="1"/>
    <col min="488" max="488" width="16.5703125" style="110" customWidth="1"/>
    <col min="489" max="490" width="7.85546875" style="110" bestFit="1" customWidth="1"/>
    <col min="491" max="491" width="8" style="110" bestFit="1" customWidth="1"/>
    <col min="492" max="493" width="7.85546875" style="110" bestFit="1" customWidth="1"/>
    <col min="494" max="494" width="9.7109375" style="110" customWidth="1"/>
    <col min="495" max="495" width="12.85546875" style="110" customWidth="1"/>
    <col min="496" max="732" width="9.140625" style="110"/>
    <col min="733" max="733" width="9" style="110" bestFit="1" customWidth="1"/>
    <col min="734" max="734" width="9.85546875" style="110" bestFit="1" customWidth="1"/>
    <col min="735" max="735" width="9.140625" style="110" bestFit="1" customWidth="1"/>
    <col min="736" max="736" width="16" style="110" bestFit="1" customWidth="1"/>
    <col min="737" max="737" width="9" style="110" bestFit="1" customWidth="1"/>
    <col min="738" max="738" width="7.85546875" style="110" bestFit="1" customWidth="1"/>
    <col min="739" max="739" width="11.7109375" style="110" bestFit="1" customWidth="1"/>
    <col min="740" max="740" width="14.28515625" style="110" customWidth="1"/>
    <col min="741" max="741" width="11.7109375" style="110" bestFit="1" customWidth="1"/>
    <col min="742" max="742" width="14.140625" style="110" bestFit="1" customWidth="1"/>
    <col min="743" max="743" width="16.7109375" style="110" customWidth="1"/>
    <col min="744" max="744" width="16.5703125" style="110" customWidth="1"/>
    <col min="745" max="746" width="7.85546875" style="110" bestFit="1" customWidth="1"/>
    <col min="747" max="747" width="8" style="110" bestFit="1" customWidth="1"/>
    <col min="748" max="749" width="7.85546875" style="110" bestFit="1" customWidth="1"/>
    <col min="750" max="750" width="9.7109375" style="110" customWidth="1"/>
    <col min="751" max="751" width="12.85546875" style="110" customWidth="1"/>
    <col min="752" max="988" width="9.140625" style="110"/>
    <col min="989" max="989" width="9" style="110" bestFit="1" customWidth="1"/>
    <col min="990" max="990" width="9.85546875" style="110" bestFit="1" customWidth="1"/>
    <col min="991" max="991" width="9.140625" style="110" bestFit="1" customWidth="1"/>
    <col min="992" max="992" width="16" style="110" bestFit="1" customWidth="1"/>
    <col min="993" max="993" width="9" style="110" bestFit="1" customWidth="1"/>
    <col min="994" max="994" width="7.85546875" style="110" bestFit="1" customWidth="1"/>
    <col min="995" max="995" width="11.7109375" style="110" bestFit="1" customWidth="1"/>
    <col min="996" max="996" width="14.28515625" style="110" customWidth="1"/>
    <col min="997" max="997" width="11.7109375" style="110" bestFit="1" customWidth="1"/>
    <col min="998" max="998" width="14.140625" style="110" bestFit="1" customWidth="1"/>
    <col min="999" max="999" width="16.7109375" style="110" customWidth="1"/>
    <col min="1000" max="1000" width="16.5703125" style="110" customWidth="1"/>
    <col min="1001" max="1002" width="7.85546875" style="110" bestFit="1" customWidth="1"/>
    <col min="1003" max="1003" width="8" style="110" bestFit="1" customWidth="1"/>
    <col min="1004" max="1005" width="7.85546875" style="110" bestFit="1" customWidth="1"/>
    <col min="1006" max="1006" width="9.7109375" style="110" customWidth="1"/>
    <col min="1007" max="1007" width="12.85546875" style="110" customWidth="1"/>
    <col min="1008" max="1244" width="9.140625" style="110"/>
    <col min="1245" max="1245" width="9" style="110" bestFit="1" customWidth="1"/>
    <col min="1246" max="1246" width="9.85546875" style="110" bestFit="1" customWidth="1"/>
    <col min="1247" max="1247" width="9.140625" style="110" bestFit="1" customWidth="1"/>
    <col min="1248" max="1248" width="16" style="110" bestFit="1" customWidth="1"/>
    <col min="1249" max="1249" width="9" style="110" bestFit="1" customWidth="1"/>
    <col min="1250" max="1250" width="7.85546875" style="110" bestFit="1" customWidth="1"/>
    <col min="1251" max="1251" width="11.7109375" style="110" bestFit="1" customWidth="1"/>
    <col min="1252" max="1252" width="14.28515625" style="110" customWidth="1"/>
    <col min="1253" max="1253" width="11.7109375" style="110" bestFit="1" customWidth="1"/>
    <col min="1254" max="1254" width="14.140625" style="110" bestFit="1" customWidth="1"/>
    <col min="1255" max="1255" width="16.7109375" style="110" customWidth="1"/>
    <col min="1256" max="1256" width="16.5703125" style="110" customWidth="1"/>
    <col min="1257" max="1258" width="7.85546875" style="110" bestFit="1" customWidth="1"/>
    <col min="1259" max="1259" width="8" style="110" bestFit="1" customWidth="1"/>
    <col min="1260" max="1261" width="7.85546875" style="110" bestFit="1" customWidth="1"/>
    <col min="1262" max="1262" width="9.7109375" style="110" customWidth="1"/>
    <col min="1263" max="1263" width="12.85546875" style="110" customWidth="1"/>
    <col min="1264" max="1500" width="9.140625" style="110"/>
    <col min="1501" max="1501" width="9" style="110" bestFit="1" customWidth="1"/>
    <col min="1502" max="1502" width="9.85546875" style="110" bestFit="1" customWidth="1"/>
    <col min="1503" max="1503" width="9.140625" style="110" bestFit="1" customWidth="1"/>
    <col min="1504" max="1504" width="16" style="110" bestFit="1" customWidth="1"/>
    <col min="1505" max="1505" width="9" style="110" bestFit="1" customWidth="1"/>
    <col min="1506" max="1506" width="7.85546875" style="110" bestFit="1" customWidth="1"/>
    <col min="1507" max="1507" width="11.7109375" style="110" bestFit="1" customWidth="1"/>
    <col min="1508" max="1508" width="14.28515625" style="110" customWidth="1"/>
    <col min="1509" max="1509" width="11.7109375" style="110" bestFit="1" customWidth="1"/>
    <col min="1510" max="1510" width="14.140625" style="110" bestFit="1" customWidth="1"/>
    <col min="1511" max="1511" width="16.7109375" style="110" customWidth="1"/>
    <col min="1512" max="1512" width="16.5703125" style="110" customWidth="1"/>
    <col min="1513" max="1514" width="7.85546875" style="110" bestFit="1" customWidth="1"/>
    <col min="1515" max="1515" width="8" style="110" bestFit="1" customWidth="1"/>
    <col min="1516" max="1517" width="7.85546875" style="110" bestFit="1" customWidth="1"/>
    <col min="1518" max="1518" width="9.7109375" style="110" customWidth="1"/>
    <col min="1519" max="1519" width="12.85546875" style="110" customWidth="1"/>
    <col min="1520" max="1756" width="9.140625" style="110"/>
    <col min="1757" max="1757" width="9" style="110" bestFit="1" customWidth="1"/>
    <col min="1758" max="1758" width="9.85546875" style="110" bestFit="1" customWidth="1"/>
    <col min="1759" max="1759" width="9.140625" style="110" bestFit="1" customWidth="1"/>
    <col min="1760" max="1760" width="16" style="110" bestFit="1" customWidth="1"/>
    <col min="1761" max="1761" width="9" style="110" bestFit="1" customWidth="1"/>
    <col min="1762" max="1762" width="7.85546875" style="110" bestFit="1" customWidth="1"/>
    <col min="1763" max="1763" width="11.7109375" style="110" bestFit="1" customWidth="1"/>
    <col min="1764" max="1764" width="14.28515625" style="110" customWidth="1"/>
    <col min="1765" max="1765" width="11.7109375" style="110" bestFit="1" customWidth="1"/>
    <col min="1766" max="1766" width="14.140625" style="110" bestFit="1" customWidth="1"/>
    <col min="1767" max="1767" width="16.7109375" style="110" customWidth="1"/>
    <col min="1768" max="1768" width="16.5703125" style="110" customWidth="1"/>
    <col min="1769" max="1770" width="7.85546875" style="110" bestFit="1" customWidth="1"/>
    <col min="1771" max="1771" width="8" style="110" bestFit="1" customWidth="1"/>
    <col min="1772" max="1773" width="7.85546875" style="110" bestFit="1" customWidth="1"/>
    <col min="1774" max="1774" width="9.7109375" style="110" customWidth="1"/>
    <col min="1775" max="1775" width="12.85546875" style="110" customWidth="1"/>
    <col min="1776" max="2012" width="9.140625" style="110"/>
    <col min="2013" max="2013" width="9" style="110" bestFit="1" customWidth="1"/>
    <col min="2014" max="2014" width="9.85546875" style="110" bestFit="1" customWidth="1"/>
    <col min="2015" max="2015" width="9.140625" style="110" bestFit="1" customWidth="1"/>
    <col min="2016" max="2016" width="16" style="110" bestFit="1" customWidth="1"/>
    <col min="2017" max="2017" width="9" style="110" bestFit="1" customWidth="1"/>
    <col min="2018" max="2018" width="7.85546875" style="110" bestFit="1" customWidth="1"/>
    <col min="2019" max="2019" width="11.7109375" style="110" bestFit="1" customWidth="1"/>
    <col min="2020" max="2020" width="14.28515625" style="110" customWidth="1"/>
    <col min="2021" max="2021" width="11.7109375" style="110" bestFit="1" customWidth="1"/>
    <col min="2022" max="2022" width="14.140625" style="110" bestFit="1" customWidth="1"/>
    <col min="2023" max="2023" width="16.7109375" style="110" customWidth="1"/>
    <col min="2024" max="2024" width="16.5703125" style="110" customWidth="1"/>
    <col min="2025" max="2026" width="7.85546875" style="110" bestFit="1" customWidth="1"/>
    <col min="2027" max="2027" width="8" style="110" bestFit="1" customWidth="1"/>
    <col min="2028" max="2029" width="7.85546875" style="110" bestFit="1" customWidth="1"/>
    <col min="2030" max="2030" width="9.7109375" style="110" customWidth="1"/>
    <col min="2031" max="2031" width="12.85546875" style="110" customWidth="1"/>
    <col min="2032" max="2268" width="9.140625" style="110"/>
    <col min="2269" max="2269" width="9" style="110" bestFit="1" customWidth="1"/>
    <col min="2270" max="2270" width="9.85546875" style="110" bestFit="1" customWidth="1"/>
    <col min="2271" max="2271" width="9.140625" style="110" bestFit="1" customWidth="1"/>
    <col min="2272" max="2272" width="16" style="110" bestFit="1" customWidth="1"/>
    <col min="2273" max="2273" width="9" style="110" bestFit="1" customWidth="1"/>
    <col min="2274" max="2274" width="7.85546875" style="110" bestFit="1" customWidth="1"/>
    <col min="2275" max="2275" width="11.7109375" style="110" bestFit="1" customWidth="1"/>
    <col min="2276" max="2276" width="14.28515625" style="110" customWidth="1"/>
    <col min="2277" max="2277" width="11.7109375" style="110" bestFit="1" customWidth="1"/>
    <col min="2278" max="2278" width="14.140625" style="110" bestFit="1" customWidth="1"/>
    <col min="2279" max="2279" width="16.7109375" style="110" customWidth="1"/>
    <col min="2280" max="2280" width="16.5703125" style="110" customWidth="1"/>
    <col min="2281" max="2282" width="7.85546875" style="110" bestFit="1" customWidth="1"/>
    <col min="2283" max="2283" width="8" style="110" bestFit="1" customWidth="1"/>
    <col min="2284" max="2285" width="7.85546875" style="110" bestFit="1" customWidth="1"/>
    <col min="2286" max="2286" width="9.7109375" style="110" customWidth="1"/>
    <col min="2287" max="2287" width="12.85546875" style="110" customWidth="1"/>
    <col min="2288" max="2524" width="9.140625" style="110"/>
    <col min="2525" max="2525" width="9" style="110" bestFit="1" customWidth="1"/>
    <col min="2526" max="2526" width="9.85546875" style="110" bestFit="1" customWidth="1"/>
    <col min="2527" max="2527" width="9.140625" style="110" bestFit="1" customWidth="1"/>
    <col min="2528" max="2528" width="16" style="110" bestFit="1" customWidth="1"/>
    <col min="2529" max="2529" width="9" style="110" bestFit="1" customWidth="1"/>
    <col min="2530" max="2530" width="7.85546875" style="110" bestFit="1" customWidth="1"/>
    <col min="2531" max="2531" width="11.7109375" style="110" bestFit="1" customWidth="1"/>
    <col min="2532" max="2532" width="14.28515625" style="110" customWidth="1"/>
    <col min="2533" max="2533" width="11.7109375" style="110" bestFit="1" customWidth="1"/>
    <col min="2534" max="2534" width="14.140625" style="110" bestFit="1" customWidth="1"/>
    <col min="2535" max="2535" width="16.7109375" style="110" customWidth="1"/>
    <col min="2536" max="2536" width="16.5703125" style="110" customWidth="1"/>
    <col min="2537" max="2538" width="7.85546875" style="110" bestFit="1" customWidth="1"/>
    <col min="2539" max="2539" width="8" style="110" bestFit="1" customWidth="1"/>
    <col min="2540" max="2541" width="7.85546875" style="110" bestFit="1" customWidth="1"/>
    <col min="2542" max="2542" width="9.7109375" style="110" customWidth="1"/>
    <col min="2543" max="2543" width="12.85546875" style="110" customWidth="1"/>
    <col min="2544" max="2780" width="9.140625" style="110"/>
    <col min="2781" max="2781" width="9" style="110" bestFit="1" customWidth="1"/>
    <col min="2782" max="2782" width="9.85546875" style="110" bestFit="1" customWidth="1"/>
    <col min="2783" max="2783" width="9.140625" style="110" bestFit="1" customWidth="1"/>
    <col min="2784" max="2784" width="16" style="110" bestFit="1" customWidth="1"/>
    <col min="2785" max="2785" width="9" style="110" bestFit="1" customWidth="1"/>
    <col min="2786" max="2786" width="7.85546875" style="110" bestFit="1" customWidth="1"/>
    <col min="2787" max="2787" width="11.7109375" style="110" bestFit="1" customWidth="1"/>
    <col min="2788" max="2788" width="14.28515625" style="110" customWidth="1"/>
    <col min="2789" max="2789" width="11.7109375" style="110" bestFit="1" customWidth="1"/>
    <col min="2790" max="2790" width="14.140625" style="110" bestFit="1" customWidth="1"/>
    <col min="2791" max="2791" width="16.7109375" style="110" customWidth="1"/>
    <col min="2792" max="2792" width="16.5703125" style="110" customWidth="1"/>
    <col min="2793" max="2794" width="7.85546875" style="110" bestFit="1" customWidth="1"/>
    <col min="2795" max="2795" width="8" style="110" bestFit="1" customWidth="1"/>
    <col min="2796" max="2797" width="7.85546875" style="110" bestFit="1" customWidth="1"/>
    <col min="2798" max="2798" width="9.7109375" style="110" customWidth="1"/>
    <col min="2799" max="2799" width="12.85546875" style="110" customWidth="1"/>
    <col min="2800" max="3036" width="9.140625" style="110"/>
    <col min="3037" max="3037" width="9" style="110" bestFit="1" customWidth="1"/>
    <col min="3038" max="3038" width="9.85546875" style="110" bestFit="1" customWidth="1"/>
    <col min="3039" max="3039" width="9.140625" style="110" bestFit="1" customWidth="1"/>
    <col min="3040" max="3040" width="16" style="110" bestFit="1" customWidth="1"/>
    <col min="3041" max="3041" width="9" style="110" bestFit="1" customWidth="1"/>
    <col min="3042" max="3042" width="7.85546875" style="110" bestFit="1" customWidth="1"/>
    <col min="3043" max="3043" width="11.7109375" style="110" bestFit="1" customWidth="1"/>
    <col min="3044" max="3044" width="14.28515625" style="110" customWidth="1"/>
    <col min="3045" max="3045" width="11.7109375" style="110" bestFit="1" customWidth="1"/>
    <col min="3046" max="3046" width="14.140625" style="110" bestFit="1" customWidth="1"/>
    <col min="3047" max="3047" width="16.7109375" style="110" customWidth="1"/>
    <col min="3048" max="3048" width="16.5703125" style="110" customWidth="1"/>
    <col min="3049" max="3050" width="7.85546875" style="110" bestFit="1" customWidth="1"/>
    <col min="3051" max="3051" width="8" style="110" bestFit="1" customWidth="1"/>
    <col min="3052" max="3053" width="7.85546875" style="110" bestFit="1" customWidth="1"/>
    <col min="3054" max="3054" width="9.7109375" style="110" customWidth="1"/>
    <col min="3055" max="3055" width="12.85546875" style="110" customWidth="1"/>
    <col min="3056" max="3292" width="9.140625" style="110"/>
    <col min="3293" max="3293" width="9" style="110" bestFit="1" customWidth="1"/>
    <col min="3294" max="3294" width="9.85546875" style="110" bestFit="1" customWidth="1"/>
    <col min="3295" max="3295" width="9.140625" style="110" bestFit="1" customWidth="1"/>
    <col min="3296" max="3296" width="16" style="110" bestFit="1" customWidth="1"/>
    <col min="3297" max="3297" width="9" style="110" bestFit="1" customWidth="1"/>
    <col min="3298" max="3298" width="7.85546875" style="110" bestFit="1" customWidth="1"/>
    <col min="3299" max="3299" width="11.7109375" style="110" bestFit="1" customWidth="1"/>
    <col min="3300" max="3300" width="14.28515625" style="110" customWidth="1"/>
    <col min="3301" max="3301" width="11.7109375" style="110" bestFit="1" customWidth="1"/>
    <col min="3302" max="3302" width="14.140625" style="110" bestFit="1" customWidth="1"/>
    <col min="3303" max="3303" width="16.7109375" style="110" customWidth="1"/>
    <col min="3304" max="3304" width="16.5703125" style="110" customWidth="1"/>
    <col min="3305" max="3306" width="7.85546875" style="110" bestFit="1" customWidth="1"/>
    <col min="3307" max="3307" width="8" style="110" bestFit="1" customWidth="1"/>
    <col min="3308" max="3309" width="7.85546875" style="110" bestFit="1" customWidth="1"/>
    <col min="3310" max="3310" width="9.7109375" style="110" customWidth="1"/>
    <col min="3311" max="3311" width="12.85546875" style="110" customWidth="1"/>
    <col min="3312" max="3548" width="9.140625" style="110"/>
    <col min="3549" max="3549" width="9" style="110" bestFit="1" customWidth="1"/>
    <col min="3550" max="3550" width="9.85546875" style="110" bestFit="1" customWidth="1"/>
    <col min="3551" max="3551" width="9.140625" style="110" bestFit="1" customWidth="1"/>
    <col min="3552" max="3552" width="16" style="110" bestFit="1" customWidth="1"/>
    <col min="3553" max="3553" width="9" style="110" bestFit="1" customWidth="1"/>
    <col min="3554" max="3554" width="7.85546875" style="110" bestFit="1" customWidth="1"/>
    <col min="3555" max="3555" width="11.7109375" style="110" bestFit="1" customWidth="1"/>
    <col min="3556" max="3556" width="14.28515625" style="110" customWidth="1"/>
    <col min="3557" max="3557" width="11.7109375" style="110" bestFit="1" customWidth="1"/>
    <col min="3558" max="3558" width="14.140625" style="110" bestFit="1" customWidth="1"/>
    <col min="3559" max="3559" width="16.7109375" style="110" customWidth="1"/>
    <col min="3560" max="3560" width="16.5703125" style="110" customWidth="1"/>
    <col min="3561" max="3562" width="7.85546875" style="110" bestFit="1" customWidth="1"/>
    <col min="3563" max="3563" width="8" style="110" bestFit="1" customWidth="1"/>
    <col min="3564" max="3565" width="7.85546875" style="110" bestFit="1" customWidth="1"/>
    <col min="3566" max="3566" width="9.7109375" style="110" customWidth="1"/>
    <col min="3567" max="3567" width="12.85546875" style="110" customWidth="1"/>
    <col min="3568" max="3804" width="9.140625" style="110"/>
    <col min="3805" max="3805" width="9" style="110" bestFit="1" customWidth="1"/>
    <col min="3806" max="3806" width="9.85546875" style="110" bestFit="1" customWidth="1"/>
    <col min="3807" max="3807" width="9.140625" style="110" bestFit="1" customWidth="1"/>
    <col min="3808" max="3808" width="16" style="110" bestFit="1" customWidth="1"/>
    <col min="3809" max="3809" width="9" style="110" bestFit="1" customWidth="1"/>
    <col min="3810" max="3810" width="7.85546875" style="110" bestFit="1" customWidth="1"/>
    <col min="3811" max="3811" width="11.7109375" style="110" bestFit="1" customWidth="1"/>
    <col min="3812" max="3812" width="14.28515625" style="110" customWidth="1"/>
    <col min="3813" max="3813" width="11.7109375" style="110" bestFit="1" customWidth="1"/>
    <col min="3814" max="3814" width="14.140625" style="110" bestFit="1" customWidth="1"/>
    <col min="3815" max="3815" width="16.7109375" style="110" customWidth="1"/>
    <col min="3816" max="3816" width="16.5703125" style="110" customWidth="1"/>
    <col min="3817" max="3818" width="7.85546875" style="110" bestFit="1" customWidth="1"/>
    <col min="3819" max="3819" width="8" style="110" bestFit="1" customWidth="1"/>
    <col min="3820" max="3821" width="7.85546875" style="110" bestFit="1" customWidth="1"/>
    <col min="3822" max="3822" width="9.7109375" style="110" customWidth="1"/>
    <col min="3823" max="3823" width="12.85546875" style="110" customWidth="1"/>
    <col min="3824" max="4060" width="9.140625" style="110"/>
    <col min="4061" max="4061" width="9" style="110" bestFit="1" customWidth="1"/>
    <col min="4062" max="4062" width="9.85546875" style="110" bestFit="1" customWidth="1"/>
    <col min="4063" max="4063" width="9.140625" style="110" bestFit="1" customWidth="1"/>
    <col min="4064" max="4064" width="16" style="110" bestFit="1" customWidth="1"/>
    <col min="4065" max="4065" width="9" style="110" bestFit="1" customWidth="1"/>
    <col min="4066" max="4066" width="7.85546875" style="110" bestFit="1" customWidth="1"/>
    <col min="4067" max="4067" width="11.7109375" style="110" bestFit="1" customWidth="1"/>
    <col min="4068" max="4068" width="14.28515625" style="110" customWidth="1"/>
    <col min="4069" max="4069" width="11.7109375" style="110" bestFit="1" customWidth="1"/>
    <col min="4070" max="4070" width="14.140625" style="110" bestFit="1" customWidth="1"/>
    <col min="4071" max="4071" width="16.7109375" style="110" customWidth="1"/>
    <col min="4072" max="4072" width="16.5703125" style="110" customWidth="1"/>
    <col min="4073" max="4074" width="7.85546875" style="110" bestFit="1" customWidth="1"/>
    <col min="4075" max="4075" width="8" style="110" bestFit="1" customWidth="1"/>
    <col min="4076" max="4077" width="7.85546875" style="110" bestFit="1" customWidth="1"/>
    <col min="4078" max="4078" width="9.7109375" style="110" customWidth="1"/>
    <col min="4079" max="4079" width="12.85546875" style="110" customWidth="1"/>
    <col min="4080" max="4316" width="9.140625" style="110"/>
    <col min="4317" max="4317" width="9" style="110" bestFit="1" customWidth="1"/>
    <col min="4318" max="4318" width="9.85546875" style="110" bestFit="1" customWidth="1"/>
    <col min="4319" max="4319" width="9.140625" style="110" bestFit="1" customWidth="1"/>
    <col min="4320" max="4320" width="16" style="110" bestFit="1" customWidth="1"/>
    <col min="4321" max="4321" width="9" style="110" bestFit="1" customWidth="1"/>
    <col min="4322" max="4322" width="7.85546875" style="110" bestFit="1" customWidth="1"/>
    <col min="4323" max="4323" width="11.7109375" style="110" bestFit="1" customWidth="1"/>
    <col min="4324" max="4324" width="14.28515625" style="110" customWidth="1"/>
    <col min="4325" max="4325" width="11.7109375" style="110" bestFit="1" customWidth="1"/>
    <col min="4326" max="4326" width="14.140625" style="110" bestFit="1" customWidth="1"/>
    <col min="4327" max="4327" width="16.7109375" style="110" customWidth="1"/>
    <col min="4328" max="4328" width="16.5703125" style="110" customWidth="1"/>
    <col min="4329" max="4330" width="7.85546875" style="110" bestFit="1" customWidth="1"/>
    <col min="4331" max="4331" width="8" style="110" bestFit="1" customWidth="1"/>
    <col min="4332" max="4333" width="7.85546875" style="110" bestFit="1" customWidth="1"/>
    <col min="4334" max="4334" width="9.7109375" style="110" customWidth="1"/>
    <col min="4335" max="4335" width="12.85546875" style="110" customWidth="1"/>
    <col min="4336" max="4572" width="9.140625" style="110"/>
    <col min="4573" max="4573" width="9" style="110" bestFit="1" customWidth="1"/>
    <col min="4574" max="4574" width="9.85546875" style="110" bestFit="1" customWidth="1"/>
    <col min="4575" max="4575" width="9.140625" style="110" bestFit="1" customWidth="1"/>
    <col min="4576" max="4576" width="16" style="110" bestFit="1" customWidth="1"/>
    <col min="4577" max="4577" width="9" style="110" bestFit="1" customWidth="1"/>
    <col min="4578" max="4578" width="7.85546875" style="110" bestFit="1" customWidth="1"/>
    <col min="4579" max="4579" width="11.7109375" style="110" bestFit="1" customWidth="1"/>
    <col min="4580" max="4580" width="14.28515625" style="110" customWidth="1"/>
    <col min="4581" max="4581" width="11.7109375" style="110" bestFit="1" customWidth="1"/>
    <col min="4582" max="4582" width="14.140625" style="110" bestFit="1" customWidth="1"/>
    <col min="4583" max="4583" width="16.7109375" style="110" customWidth="1"/>
    <col min="4584" max="4584" width="16.5703125" style="110" customWidth="1"/>
    <col min="4585" max="4586" width="7.85546875" style="110" bestFit="1" customWidth="1"/>
    <col min="4587" max="4587" width="8" style="110" bestFit="1" customWidth="1"/>
    <col min="4588" max="4589" width="7.85546875" style="110" bestFit="1" customWidth="1"/>
    <col min="4590" max="4590" width="9.7109375" style="110" customWidth="1"/>
    <col min="4591" max="4591" width="12.85546875" style="110" customWidth="1"/>
    <col min="4592" max="4828" width="9.140625" style="110"/>
    <col min="4829" max="4829" width="9" style="110" bestFit="1" customWidth="1"/>
    <col min="4830" max="4830" width="9.85546875" style="110" bestFit="1" customWidth="1"/>
    <col min="4831" max="4831" width="9.140625" style="110" bestFit="1" customWidth="1"/>
    <col min="4832" max="4832" width="16" style="110" bestFit="1" customWidth="1"/>
    <col min="4833" max="4833" width="9" style="110" bestFit="1" customWidth="1"/>
    <col min="4834" max="4834" width="7.85546875" style="110" bestFit="1" customWidth="1"/>
    <col min="4835" max="4835" width="11.7109375" style="110" bestFit="1" customWidth="1"/>
    <col min="4836" max="4836" width="14.28515625" style="110" customWidth="1"/>
    <col min="4837" max="4837" width="11.7109375" style="110" bestFit="1" customWidth="1"/>
    <col min="4838" max="4838" width="14.140625" style="110" bestFit="1" customWidth="1"/>
    <col min="4839" max="4839" width="16.7109375" style="110" customWidth="1"/>
    <col min="4840" max="4840" width="16.5703125" style="110" customWidth="1"/>
    <col min="4841" max="4842" width="7.85546875" style="110" bestFit="1" customWidth="1"/>
    <col min="4843" max="4843" width="8" style="110" bestFit="1" customWidth="1"/>
    <col min="4844" max="4845" width="7.85546875" style="110" bestFit="1" customWidth="1"/>
    <col min="4846" max="4846" width="9.7109375" style="110" customWidth="1"/>
    <col min="4847" max="4847" width="12.85546875" style="110" customWidth="1"/>
    <col min="4848" max="5084" width="9.140625" style="110"/>
    <col min="5085" max="5085" width="9" style="110" bestFit="1" customWidth="1"/>
    <col min="5086" max="5086" width="9.85546875" style="110" bestFit="1" customWidth="1"/>
    <col min="5087" max="5087" width="9.140625" style="110" bestFit="1" customWidth="1"/>
    <col min="5088" max="5088" width="16" style="110" bestFit="1" customWidth="1"/>
    <col min="5089" max="5089" width="9" style="110" bestFit="1" customWidth="1"/>
    <col min="5090" max="5090" width="7.85546875" style="110" bestFit="1" customWidth="1"/>
    <col min="5091" max="5091" width="11.7109375" style="110" bestFit="1" customWidth="1"/>
    <col min="5092" max="5092" width="14.28515625" style="110" customWidth="1"/>
    <col min="5093" max="5093" width="11.7109375" style="110" bestFit="1" customWidth="1"/>
    <col min="5094" max="5094" width="14.140625" style="110" bestFit="1" customWidth="1"/>
    <col min="5095" max="5095" width="16.7109375" style="110" customWidth="1"/>
    <col min="5096" max="5096" width="16.5703125" style="110" customWidth="1"/>
    <col min="5097" max="5098" width="7.85546875" style="110" bestFit="1" customWidth="1"/>
    <col min="5099" max="5099" width="8" style="110" bestFit="1" customWidth="1"/>
    <col min="5100" max="5101" width="7.85546875" style="110" bestFit="1" customWidth="1"/>
    <col min="5102" max="5102" width="9.7109375" style="110" customWidth="1"/>
    <col min="5103" max="5103" width="12.85546875" style="110" customWidth="1"/>
    <col min="5104" max="5340" width="9.140625" style="110"/>
    <col min="5341" max="5341" width="9" style="110" bestFit="1" customWidth="1"/>
    <col min="5342" max="5342" width="9.85546875" style="110" bestFit="1" customWidth="1"/>
    <col min="5343" max="5343" width="9.140625" style="110" bestFit="1" customWidth="1"/>
    <col min="5344" max="5344" width="16" style="110" bestFit="1" customWidth="1"/>
    <col min="5345" max="5345" width="9" style="110" bestFit="1" customWidth="1"/>
    <col min="5346" max="5346" width="7.85546875" style="110" bestFit="1" customWidth="1"/>
    <col min="5347" max="5347" width="11.7109375" style="110" bestFit="1" customWidth="1"/>
    <col min="5348" max="5348" width="14.28515625" style="110" customWidth="1"/>
    <col min="5349" max="5349" width="11.7109375" style="110" bestFit="1" customWidth="1"/>
    <col min="5350" max="5350" width="14.140625" style="110" bestFit="1" customWidth="1"/>
    <col min="5351" max="5351" width="16.7109375" style="110" customWidth="1"/>
    <col min="5352" max="5352" width="16.5703125" style="110" customWidth="1"/>
    <col min="5353" max="5354" width="7.85546875" style="110" bestFit="1" customWidth="1"/>
    <col min="5355" max="5355" width="8" style="110" bestFit="1" customWidth="1"/>
    <col min="5356" max="5357" width="7.85546875" style="110" bestFit="1" customWidth="1"/>
    <col min="5358" max="5358" width="9.7109375" style="110" customWidth="1"/>
    <col min="5359" max="5359" width="12.85546875" style="110" customWidth="1"/>
    <col min="5360" max="5596" width="9.140625" style="110"/>
    <col min="5597" max="5597" width="9" style="110" bestFit="1" customWidth="1"/>
    <col min="5598" max="5598" width="9.85546875" style="110" bestFit="1" customWidth="1"/>
    <col min="5599" max="5599" width="9.140625" style="110" bestFit="1" customWidth="1"/>
    <col min="5600" max="5600" width="16" style="110" bestFit="1" customWidth="1"/>
    <col min="5601" max="5601" width="9" style="110" bestFit="1" customWidth="1"/>
    <col min="5602" max="5602" width="7.85546875" style="110" bestFit="1" customWidth="1"/>
    <col min="5603" max="5603" width="11.7109375" style="110" bestFit="1" customWidth="1"/>
    <col min="5604" max="5604" width="14.28515625" style="110" customWidth="1"/>
    <col min="5605" max="5605" width="11.7109375" style="110" bestFit="1" customWidth="1"/>
    <col min="5606" max="5606" width="14.140625" style="110" bestFit="1" customWidth="1"/>
    <col min="5607" max="5607" width="16.7109375" style="110" customWidth="1"/>
    <col min="5608" max="5608" width="16.5703125" style="110" customWidth="1"/>
    <col min="5609" max="5610" width="7.85546875" style="110" bestFit="1" customWidth="1"/>
    <col min="5611" max="5611" width="8" style="110" bestFit="1" customWidth="1"/>
    <col min="5612" max="5613" width="7.85546875" style="110" bestFit="1" customWidth="1"/>
    <col min="5614" max="5614" width="9.7109375" style="110" customWidth="1"/>
    <col min="5615" max="5615" width="12.85546875" style="110" customWidth="1"/>
    <col min="5616" max="5852" width="9.140625" style="110"/>
    <col min="5853" max="5853" width="9" style="110" bestFit="1" customWidth="1"/>
    <col min="5854" max="5854" width="9.85546875" style="110" bestFit="1" customWidth="1"/>
    <col min="5855" max="5855" width="9.140625" style="110" bestFit="1" customWidth="1"/>
    <col min="5856" max="5856" width="16" style="110" bestFit="1" customWidth="1"/>
    <col min="5857" max="5857" width="9" style="110" bestFit="1" customWidth="1"/>
    <col min="5858" max="5858" width="7.85546875" style="110" bestFit="1" customWidth="1"/>
    <col min="5859" max="5859" width="11.7109375" style="110" bestFit="1" customWidth="1"/>
    <col min="5860" max="5860" width="14.28515625" style="110" customWidth="1"/>
    <col min="5861" max="5861" width="11.7109375" style="110" bestFit="1" customWidth="1"/>
    <col min="5862" max="5862" width="14.140625" style="110" bestFit="1" customWidth="1"/>
    <col min="5863" max="5863" width="16.7109375" style="110" customWidth="1"/>
    <col min="5864" max="5864" width="16.5703125" style="110" customWidth="1"/>
    <col min="5865" max="5866" width="7.85546875" style="110" bestFit="1" customWidth="1"/>
    <col min="5867" max="5867" width="8" style="110" bestFit="1" customWidth="1"/>
    <col min="5868" max="5869" width="7.85546875" style="110" bestFit="1" customWidth="1"/>
    <col min="5870" max="5870" width="9.7109375" style="110" customWidth="1"/>
    <col min="5871" max="5871" width="12.85546875" style="110" customWidth="1"/>
    <col min="5872" max="6108" width="9.140625" style="110"/>
    <col min="6109" max="6109" width="9" style="110" bestFit="1" customWidth="1"/>
    <col min="6110" max="6110" width="9.85546875" style="110" bestFit="1" customWidth="1"/>
    <col min="6111" max="6111" width="9.140625" style="110" bestFit="1" customWidth="1"/>
    <col min="6112" max="6112" width="16" style="110" bestFit="1" customWidth="1"/>
    <col min="6113" max="6113" width="9" style="110" bestFit="1" customWidth="1"/>
    <col min="6114" max="6114" width="7.85546875" style="110" bestFit="1" customWidth="1"/>
    <col min="6115" max="6115" width="11.7109375" style="110" bestFit="1" customWidth="1"/>
    <col min="6116" max="6116" width="14.28515625" style="110" customWidth="1"/>
    <col min="6117" max="6117" width="11.7109375" style="110" bestFit="1" customWidth="1"/>
    <col min="6118" max="6118" width="14.140625" style="110" bestFit="1" customWidth="1"/>
    <col min="6119" max="6119" width="16.7109375" style="110" customWidth="1"/>
    <col min="6120" max="6120" width="16.5703125" style="110" customWidth="1"/>
    <col min="6121" max="6122" width="7.85546875" style="110" bestFit="1" customWidth="1"/>
    <col min="6123" max="6123" width="8" style="110" bestFit="1" customWidth="1"/>
    <col min="6124" max="6125" width="7.85546875" style="110" bestFit="1" customWidth="1"/>
    <col min="6126" max="6126" width="9.7109375" style="110" customWidth="1"/>
    <col min="6127" max="6127" width="12.85546875" style="110" customWidth="1"/>
    <col min="6128" max="6364" width="9.140625" style="110"/>
    <col min="6365" max="6365" width="9" style="110" bestFit="1" customWidth="1"/>
    <col min="6366" max="6366" width="9.85546875" style="110" bestFit="1" customWidth="1"/>
    <col min="6367" max="6367" width="9.140625" style="110" bestFit="1" customWidth="1"/>
    <col min="6368" max="6368" width="16" style="110" bestFit="1" customWidth="1"/>
    <col min="6369" max="6369" width="9" style="110" bestFit="1" customWidth="1"/>
    <col min="6370" max="6370" width="7.85546875" style="110" bestFit="1" customWidth="1"/>
    <col min="6371" max="6371" width="11.7109375" style="110" bestFit="1" customWidth="1"/>
    <col min="6372" max="6372" width="14.28515625" style="110" customWidth="1"/>
    <col min="6373" max="6373" width="11.7109375" style="110" bestFit="1" customWidth="1"/>
    <col min="6374" max="6374" width="14.140625" style="110" bestFit="1" customWidth="1"/>
    <col min="6375" max="6375" width="16.7109375" style="110" customWidth="1"/>
    <col min="6376" max="6376" width="16.5703125" style="110" customWidth="1"/>
    <col min="6377" max="6378" width="7.85546875" style="110" bestFit="1" customWidth="1"/>
    <col min="6379" max="6379" width="8" style="110" bestFit="1" customWidth="1"/>
    <col min="6380" max="6381" width="7.85546875" style="110" bestFit="1" customWidth="1"/>
    <col min="6382" max="6382" width="9.7109375" style="110" customWidth="1"/>
    <col min="6383" max="6383" width="12.85546875" style="110" customWidth="1"/>
    <col min="6384" max="6620" width="9.140625" style="110"/>
    <col min="6621" max="6621" width="9" style="110" bestFit="1" customWidth="1"/>
    <col min="6622" max="6622" width="9.85546875" style="110" bestFit="1" customWidth="1"/>
    <col min="6623" max="6623" width="9.140625" style="110" bestFit="1" customWidth="1"/>
    <col min="6624" max="6624" width="16" style="110" bestFit="1" customWidth="1"/>
    <col min="6625" max="6625" width="9" style="110" bestFit="1" customWidth="1"/>
    <col min="6626" max="6626" width="7.85546875" style="110" bestFit="1" customWidth="1"/>
    <col min="6627" max="6627" width="11.7109375" style="110" bestFit="1" customWidth="1"/>
    <col min="6628" max="6628" width="14.28515625" style="110" customWidth="1"/>
    <col min="6629" max="6629" width="11.7109375" style="110" bestFit="1" customWidth="1"/>
    <col min="6630" max="6630" width="14.140625" style="110" bestFit="1" customWidth="1"/>
    <col min="6631" max="6631" width="16.7109375" style="110" customWidth="1"/>
    <col min="6632" max="6632" width="16.5703125" style="110" customWidth="1"/>
    <col min="6633" max="6634" width="7.85546875" style="110" bestFit="1" customWidth="1"/>
    <col min="6635" max="6635" width="8" style="110" bestFit="1" customWidth="1"/>
    <col min="6636" max="6637" width="7.85546875" style="110" bestFit="1" customWidth="1"/>
    <col min="6638" max="6638" width="9.7109375" style="110" customWidth="1"/>
    <col min="6639" max="6639" width="12.85546875" style="110" customWidth="1"/>
    <col min="6640" max="6876" width="9.140625" style="110"/>
    <col min="6877" max="6877" width="9" style="110" bestFit="1" customWidth="1"/>
    <col min="6878" max="6878" width="9.85546875" style="110" bestFit="1" customWidth="1"/>
    <col min="6879" max="6879" width="9.140625" style="110" bestFit="1" customWidth="1"/>
    <col min="6880" max="6880" width="16" style="110" bestFit="1" customWidth="1"/>
    <col min="6881" max="6881" width="9" style="110" bestFit="1" customWidth="1"/>
    <col min="6882" max="6882" width="7.85546875" style="110" bestFit="1" customWidth="1"/>
    <col min="6883" max="6883" width="11.7109375" style="110" bestFit="1" customWidth="1"/>
    <col min="6884" max="6884" width="14.28515625" style="110" customWidth="1"/>
    <col min="6885" max="6885" width="11.7109375" style="110" bestFit="1" customWidth="1"/>
    <col min="6886" max="6886" width="14.140625" style="110" bestFit="1" customWidth="1"/>
    <col min="6887" max="6887" width="16.7109375" style="110" customWidth="1"/>
    <col min="6888" max="6888" width="16.5703125" style="110" customWidth="1"/>
    <col min="6889" max="6890" width="7.85546875" style="110" bestFit="1" customWidth="1"/>
    <col min="6891" max="6891" width="8" style="110" bestFit="1" customWidth="1"/>
    <col min="6892" max="6893" width="7.85546875" style="110" bestFit="1" customWidth="1"/>
    <col min="6894" max="6894" width="9.7109375" style="110" customWidth="1"/>
    <col min="6895" max="6895" width="12.85546875" style="110" customWidth="1"/>
    <col min="6896" max="7132" width="9.140625" style="110"/>
    <col min="7133" max="7133" width="9" style="110" bestFit="1" customWidth="1"/>
    <col min="7134" max="7134" width="9.85546875" style="110" bestFit="1" customWidth="1"/>
    <col min="7135" max="7135" width="9.140625" style="110" bestFit="1" customWidth="1"/>
    <col min="7136" max="7136" width="16" style="110" bestFit="1" customWidth="1"/>
    <col min="7137" max="7137" width="9" style="110" bestFit="1" customWidth="1"/>
    <col min="7138" max="7138" width="7.85546875" style="110" bestFit="1" customWidth="1"/>
    <col min="7139" max="7139" width="11.7109375" style="110" bestFit="1" customWidth="1"/>
    <col min="7140" max="7140" width="14.28515625" style="110" customWidth="1"/>
    <col min="7141" max="7141" width="11.7109375" style="110" bestFit="1" customWidth="1"/>
    <col min="7142" max="7142" width="14.140625" style="110" bestFit="1" customWidth="1"/>
    <col min="7143" max="7143" width="16.7109375" style="110" customWidth="1"/>
    <col min="7144" max="7144" width="16.5703125" style="110" customWidth="1"/>
    <col min="7145" max="7146" width="7.85546875" style="110" bestFit="1" customWidth="1"/>
    <col min="7147" max="7147" width="8" style="110" bestFit="1" customWidth="1"/>
    <col min="7148" max="7149" width="7.85546875" style="110" bestFit="1" customWidth="1"/>
    <col min="7150" max="7150" width="9.7109375" style="110" customWidth="1"/>
    <col min="7151" max="7151" width="12.85546875" style="110" customWidth="1"/>
    <col min="7152" max="7388" width="9.140625" style="110"/>
    <col min="7389" max="7389" width="9" style="110" bestFit="1" customWidth="1"/>
    <col min="7390" max="7390" width="9.85546875" style="110" bestFit="1" customWidth="1"/>
    <col min="7391" max="7391" width="9.140625" style="110" bestFit="1" customWidth="1"/>
    <col min="7392" max="7392" width="16" style="110" bestFit="1" customWidth="1"/>
    <col min="7393" max="7393" width="9" style="110" bestFit="1" customWidth="1"/>
    <col min="7394" max="7394" width="7.85546875" style="110" bestFit="1" customWidth="1"/>
    <col min="7395" max="7395" width="11.7109375" style="110" bestFit="1" customWidth="1"/>
    <col min="7396" max="7396" width="14.28515625" style="110" customWidth="1"/>
    <col min="7397" max="7397" width="11.7109375" style="110" bestFit="1" customWidth="1"/>
    <col min="7398" max="7398" width="14.140625" style="110" bestFit="1" customWidth="1"/>
    <col min="7399" max="7399" width="16.7109375" style="110" customWidth="1"/>
    <col min="7400" max="7400" width="16.5703125" style="110" customWidth="1"/>
    <col min="7401" max="7402" width="7.85546875" style="110" bestFit="1" customWidth="1"/>
    <col min="7403" max="7403" width="8" style="110" bestFit="1" customWidth="1"/>
    <col min="7404" max="7405" width="7.85546875" style="110" bestFit="1" customWidth="1"/>
    <col min="7406" max="7406" width="9.7109375" style="110" customWidth="1"/>
    <col min="7407" max="7407" width="12.85546875" style="110" customWidth="1"/>
    <col min="7408" max="7644" width="9.140625" style="110"/>
    <col min="7645" max="7645" width="9" style="110" bestFit="1" customWidth="1"/>
    <col min="7646" max="7646" width="9.85546875" style="110" bestFit="1" customWidth="1"/>
    <col min="7647" max="7647" width="9.140625" style="110" bestFit="1" customWidth="1"/>
    <col min="7648" max="7648" width="16" style="110" bestFit="1" customWidth="1"/>
    <col min="7649" max="7649" width="9" style="110" bestFit="1" customWidth="1"/>
    <col min="7650" max="7650" width="7.85546875" style="110" bestFit="1" customWidth="1"/>
    <col min="7651" max="7651" width="11.7109375" style="110" bestFit="1" customWidth="1"/>
    <col min="7652" max="7652" width="14.28515625" style="110" customWidth="1"/>
    <col min="7653" max="7653" width="11.7109375" style="110" bestFit="1" customWidth="1"/>
    <col min="7654" max="7654" width="14.140625" style="110" bestFit="1" customWidth="1"/>
    <col min="7655" max="7655" width="16.7109375" style="110" customWidth="1"/>
    <col min="7656" max="7656" width="16.5703125" style="110" customWidth="1"/>
    <col min="7657" max="7658" width="7.85546875" style="110" bestFit="1" customWidth="1"/>
    <col min="7659" max="7659" width="8" style="110" bestFit="1" customWidth="1"/>
    <col min="7660" max="7661" width="7.85546875" style="110" bestFit="1" customWidth="1"/>
    <col min="7662" max="7662" width="9.7109375" style="110" customWidth="1"/>
    <col min="7663" max="7663" width="12.85546875" style="110" customWidth="1"/>
    <col min="7664" max="7900" width="9.140625" style="110"/>
    <col min="7901" max="7901" width="9" style="110" bestFit="1" customWidth="1"/>
    <col min="7902" max="7902" width="9.85546875" style="110" bestFit="1" customWidth="1"/>
    <col min="7903" max="7903" width="9.140625" style="110" bestFit="1" customWidth="1"/>
    <col min="7904" max="7904" width="16" style="110" bestFit="1" customWidth="1"/>
    <col min="7905" max="7905" width="9" style="110" bestFit="1" customWidth="1"/>
    <col min="7906" max="7906" width="7.85546875" style="110" bestFit="1" customWidth="1"/>
    <col min="7907" max="7907" width="11.7109375" style="110" bestFit="1" customWidth="1"/>
    <col min="7908" max="7908" width="14.28515625" style="110" customWidth="1"/>
    <col min="7909" max="7909" width="11.7109375" style="110" bestFit="1" customWidth="1"/>
    <col min="7910" max="7910" width="14.140625" style="110" bestFit="1" customWidth="1"/>
    <col min="7911" max="7911" width="16.7109375" style="110" customWidth="1"/>
    <col min="7912" max="7912" width="16.5703125" style="110" customWidth="1"/>
    <col min="7913" max="7914" width="7.85546875" style="110" bestFit="1" customWidth="1"/>
    <col min="7915" max="7915" width="8" style="110" bestFit="1" customWidth="1"/>
    <col min="7916" max="7917" width="7.85546875" style="110" bestFit="1" customWidth="1"/>
    <col min="7918" max="7918" width="9.7109375" style="110" customWidth="1"/>
    <col min="7919" max="7919" width="12.85546875" style="110" customWidth="1"/>
    <col min="7920" max="8156" width="9.140625" style="110"/>
    <col min="8157" max="8157" width="9" style="110" bestFit="1" customWidth="1"/>
    <col min="8158" max="8158" width="9.85546875" style="110" bestFit="1" customWidth="1"/>
    <col min="8159" max="8159" width="9.140625" style="110" bestFit="1" customWidth="1"/>
    <col min="8160" max="8160" width="16" style="110" bestFit="1" customWidth="1"/>
    <col min="8161" max="8161" width="9" style="110" bestFit="1" customWidth="1"/>
    <col min="8162" max="8162" width="7.85546875" style="110" bestFit="1" customWidth="1"/>
    <col min="8163" max="8163" width="11.7109375" style="110" bestFit="1" customWidth="1"/>
    <col min="8164" max="8164" width="14.28515625" style="110" customWidth="1"/>
    <col min="8165" max="8165" width="11.7109375" style="110" bestFit="1" customWidth="1"/>
    <col min="8166" max="8166" width="14.140625" style="110" bestFit="1" customWidth="1"/>
    <col min="8167" max="8167" width="16.7109375" style="110" customWidth="1"/>
    <col min="8168" max="8168" width="16.5703125" style="110" customWidth="1"/>
    <col min="8169" max="8170" width="7.85546875" style="110" bestFit="1" customWidth="1"/>
    <col min="8171" max="8171" width="8" style="110" bestFit="1" customWidth="1"/>
    <col min="8172" max="8173" width="7.85546875" style="110" bestFit="1" customWidth="1"/>
    <col min="8174" max="8174" width="9.7109375" style="110" customWidth="1"/>
    <col min="8175" max="8175" width="12.85546875" style="110" customWidth="1"/>
    <col min="8176" max="8412" width="9.140625" style="110"/>
    <col min="8413" max="8413" width="9" style="110" bestFit="1" customWidth="1"/>
    <col min="8414" max="8414" width="9.85546875" style="110" bestFit="1" customWidth="1"/>
    <col min="8415" max="8415" width="9.140625" style="110" bestFit="1" customWidth="1"/>
    <col min="8416" max="8416" width="16" style="110" bestFit="1" customWidth="1"/>
    <col min="8417" max="8417" width="9" style="110" bestFit="1" customWidth="1"/>
    <col min="8418" max="8418" width="7.85546875" style="110" bestFit="1" customWidth="1"/>
    <col min="8419" max="8419" width="11.7109375" style="110" bestFit="1" customWidth="1"/>
    <col min="8420" max="8420" width="14.28515625" style="110" customWidth="1"/>
    <col min="8421" max="8421" width="11.7109375" style="110" bestFit="1" customWidth="1"/>
    <col min="8422" max="8422" width="14.140625" style="110" bestFit="1" customWidth="1"/>
    <col min="8423" max="8423" width="16.7109375" style="110" customWidth="1"/>
    <col min="8424" max="8424" width="16.5703125" style="110" customWidth="1"/>
    <col min="8425" max="8426" width="7.85546875" style="110" bestFit="1" customWidth="1"/>
    <col min="8427" max="8427" width="8" style="110" bestFit="1" customWidth="1"/>
    <col min="8428" max="8429" width="7.85546875" style="110" bestFit="1" customWidth="1"/>
    <col min="8430" max="8430" width="9.7109375" style="110" customWidth="1"/>
    <col min="8431" max="8431" width="12.85546875" style="110" customWidth="1"/>
    <col min="8432" max="8668" width="9.140625" style="110"/>
    <col min="8669" max="8669" width="9" style="110" bestFit="1" customWidth="1"/>
    <col min="8670" max="8670" width="9.85546875" style="110" bestFit="1" customWidth="1"/>
    <col min="8671" max="8671" width="9.140625" style="110" bestFit="1" customWidth="1"/>
    <col min="8672" max="8672" width="16" style="110" bestFit="1" customWidth="1"/>
    <col min="8673" max="8673" width="9" style="110" bestFit="1" customWidth="1"/>
    <col min="8674" max="8674" width="7.85546875" style="110" bestFit="1" customWidth="1"/>
    <col min="8675" max="8675" width="11.7109375" style="110" bestFit="1" customWidth="1"/>
    <col min="8676" max="8676" width="14.28515625" style="110" customWidth="1"/>
    <col min="8677" max="8677" width="11.7109375" style="110" bestFit="1" customWidth="1"/>
    <col min="8678" max="8678" width="14.140625" style="110" bestFit="1" customWidth="1"/>
    <col min="8679" max="8679" width="16.7109375" style="110" customWidth="1"/>
    <col min="8680" max="8680" width="16.5703125" style="110" customWidth="1"/>
    <col min="8681" max="8682" width="7.85546875" style="110" bestFit="1" customWidth="1"/>
    <col min="8683" max="8683" width="8" style="110" bestFit="1" customWidth="1"/>
    <col min="8684" max="8685" width="7.85546875" style="110" bestFit="1" customWidth="1"/>
    <col min="8686" max="8686" width="9.7109375" style="110" customWidth="1"/>
    <col min="8687" max="8687" width="12.85546875" style="110" customWidth="1"/>
    <col min="8688" max="8924" width="9.140625" style="110"/>
    <col min="8925" max="8925" width="9" style="110" bestFit="1" customWidth="1"/>
    <col min="8926" max="8926" width="9.85546875" style="110" bestFit="1" customWidth="1"/>
    <col min="8927" max="8927" width="9.140625" style="110" bestFit="1" customWidth="1"/>
    <col min="8928" max="8928" width="16" style="110" bestFit="1" customWidth="1"/>
    <col min="8929" max="8929" width="9" style="110" bestFit="1" customWidth="1"/>
    <col min="8930" max="8930" width="7.85546875" style="110" bestFit="1" customWidth="1"/>
    <col min="8931" max="8931" width="11.7109375" style="110" bestFit="1" customWidth="1"/>
    <col min="8932" max="8932" width="14.28515625" style="110" customWidth="1"/>
    <col min="8933" max="8933" width="11.7109375" style="110" bestFit="1" customWidth="1"/>
    <col min="8934" max="8934" width="14.140625" style="110" bestFit="1" customWidth="1"/>
    <col min="8935" max="8935" width="16.7109375" style="110" customWidth="1"/>
    <col min="8936" max="8936" width="16.5703125" style="110" customWidth="1"/>
    <col min="8937" max="8938" width="7.85546875" style="110" bestFit="1" customWidth="1"/>
    <col min="8939" max="8939" width="8" style="110" bestFit="1" customWidth="1"/>
    <col min="8940" max="8941" width="7.85546875" style="110" bestFit="1" customWidth="1"/>
    <col min="8942" max="8942" width="9.7109375" style="110" customWidth="1"/>
    <col min="8943" max="8943" width="12.85546875" style="110" customWidth="1"/>
    <col min="8944" max="9180" width="9.140625" style="110"/>
    <col min="9181" max="9181" width="9" style="110" bestFit="1" customWidth="1"/>
    <col min="9182" max="9182" width="9.85546875" style="110" bestFit="1" customWidth="1"/>
    <col min="9183" max="9183" width="9.140625" style="110" bestFit="1" customWidth="1"/>
    <col min="9184" max="9184" width="16" style="110" bestFit="1" customWidth="1"/>
    <col min="9185" max="9185" width="9" style="110" bestFit="1" customWidth="1"/>
    <col min="9186" max="9186" width="7.85546875" style="110" bestFit="1" customWidth="1"/>
    <col min="9187" max="9187" width="11.7109375" style="110" bestFit="1" customWidth="1"/>
    <col min="9188" max="9188" width="14.28515625" style="110" customWidth="1"/>
    <col min="9189" max="9189" width="11.7109375" style="110" bestFit="1" customWidth="1"/>
    <col min="9190" max="9190" width="14.140625" style="110" bestFit="1" customWidth="1"/>
    <col min="9191" max="9191" width="16.7109375" style="110" customWidth="1"/>
    <col min="9192" max="9192" width="16.5703125" style="110" customWidth="1"/>
    <col min="9193" max="9194" width="7.85546875" style="110" bestFit="1" customWidth="1"/>
    <col min="9195" max="9195" width="8" style="110" bestFit="1" customWidth="1"/>
    <col min="9196" max="9197" width="7.85546875" style="110" bestFit="1" customWidth="1"/>
    <col min="9198" max="9198" width="9.7109375" style="110" customWidth="1"/>
    <col min="9199" max="9199" width="12.85546875" style="110" customWidth="1"/>
    <col min="9200" max="9436" width="9.140625" style="110"/>
    <col min="9437" max="9437" width="9" style="110" bestFit="1" customWidth="1"/>
    <col min="9438" max="9438" width="9.85546875" style="110" bestFit="1" customWidth="1"/>
    <col min="9439" max="9439" width="9.140625" style="110" bestFit="1" customWidth="1"/>
    <col min="9440" max="9440" width="16" style="110" bestFit="1" customWidth="1"/>
    <col min="9441" max="9441" width="9" style="110" bestFit="1" customWidth="1"/>
    <col min="9442" max="9442" width="7.85546875" style="110" bestFit="1" customWidth="1"/>
    <col min="9443" max="9443" width="11.7109375" style="110" bestFit="1" customWidth="1"/>
    <col min="9444" max="9444" width="14.28515625" style="110" customWidth="1"/>
    <col min="9445" max="9445" width="11.7109375" style="110" bestFit="1" customWidth="1"/>
    <col min="9446" max="9446" width="14.140625" style="110" bestFit="1" customWidth="1"/>
    <col min="9447" max="9447" width="16.7109375" style="110" customWidth="1"/>
    <col min="9448" max="9448" width="16.5703125" style="110" customWidth="1"/>
    <col min="9449" max="9450" width="7.85546875" style="110" bestFit="1" customWidth="1"/>
    <col min="9451" max="9451" width="8" style="110" bestFit="1" customWidth="1"/>
    <col min="9452" max="9453" width="7.85546875" style="110" bestFit="1" customWidth="1"/>
    <col min="9454" max="9454" width="9.7109375" style="110" customWidth="1"/>
    <col min="9455" max="9455" width="12.85546875" style="110" customWidth="1"/>
    <col min="9456" max="9692" width="9.140625" style="110"/>
    <col min="9693" max="9693" width="9" style="110" bestFit="1" customWidth="1"/>
    <col min="9694" max="9694" width="9.85546875" style="110" bestFit="1" customWidth="1"/>
    <col min="9695" max="9695" width="9.140625" style="110" bestFit="1" customWidth="1"/>
    <col min="9696" max="9696" width="16" style="110" bestFit="1" customWidth="1"/>
    <col min="9697" max="9697" width="9" style="110" bestFit="1" customWidth="1"/>
    <col min="9698" max="9698" width="7.85546875" style="110" bestFit="1" customWidth="1"/>
    <col min="9699" max="9699" width="11.7109375" style="110" bestFit="1" customWidth="1"/>
    <col min="9700" max="9700" width="14.28515625" style="110" customWidth="1"/>
    <col min="9701" max="9701" width="11.7109375" style="110" bestFit="1" customWidth="1"/>
    <col min="9702" max="9702" width="14.140625" style="110" bestFit="1" customWidth="1"/>
    <col min="9703" max="9703" width="16.7109375" style="110" customWidth="1"/>
    <col min="9704" max="9704" width="16.5703125" style="110" customWidth="1"/>
    <col min="9705" max="9706" width="7.85546875" style="110" bestFit="1" customWidth="1"/>
    <col min="9707" max="9707" width="8" style="110" bestFit="1" customWidth="1"/>
    <col min="9708" max="9709" width="7.85546875" style="110" bestFit="1" customWidth="1"/>
    <col min="9710" max="9710" width="9.7109375" style="110" customWidth="1"/>
    <col min="9711" max="9711" width="12.85546875" style="110" customWidth="1"/>
    <col min="9712" max="9948" width="9.140625" style="110"/>
    <col min="9949" max="9949" width="9" style="110" bestFit="1" customWidth="1"/>
    <col min="9950" max="9950" width="9.85546875" style="110" bestFit="1" customWidth="1"/>
    <col min="9951" max="9951" width="9.140625" style="110" bestFit="1" customWidth="1"/>
    <col min="9952" max="9952" width="16" style="110" bestFit="1" customWidth="1"/>
    <col min="9953" max="9953" width="9" style="110" bestFit="1" customWidth="1"/>
    <col min="9954" max="9954" width="7.85546875" style="110" bestFit="1" customWidth="1"/>
    <col min="9955" max="9955" width="11.7109375" style="110" bestFit="1" customWidth="1"/>
    <col min="9956" max="9956" width="14.28515625" style="110" customWidth="1"/>
    <col min="9957" max="9957" width="11.7109375" style="110" bestFit="1" customWidth="1"/>
    <col min="9958" max="9958" width="14.140625" style="110" bestFit="1" customWidth="1"/>
    <col min="9959" max="9959" width="16.7109375" style="110" customWidth="1"/>
    <col min="9960" max="9960" width="16.5703125" style="110" customWidth="1"/>
    <col min="9961" max="9962" width="7.85546875" style="110" bestFit="1" customWidth="1"/>
    <col min="9963" max="9963" width="8" style="110" bestFit="1" customWidth="1"/>
    <col min="9964" max="9965" width="7.85546875" style="110" bestFit="1" customWidth="1"/>
    <col min="9966" max="9966" width="9.7109375" style="110" customWidth="1"/>
    <col min="9967" max="9967" width="12.85546875" style="110" customWidth="1"/>
    <col min="9968" max="10204" width="9.140625" style="110"/>
    <col min="10205" max="10205" width="9" style="110" bestFit="1" customWidth="1"/>
    <col min="10206" max="10206" width="9.85546875" style="110" bestFit="1" customWidth="1"/>
    <col min="10207" max="10207" width="9.140625" style="110" bestFit="1" customWidth="1"/>
    <col min="10208" max="10208" width="16" style="110" bestFit="1" customWidth="1"/>
    <col min="10209" max="10209" width="9" style="110" bestFit="1" customWidth="1"/>
    <col min="10210" max="10210" width="7.85546875" style="110" bestFit="1" customWidth="1"/>
    <col min="10211" max="10211" width="11.7109375" style="110" bestFit="1" customWidth="1"/>
    <col min="10212" max="10212" width="14.28515625" style="110" customWidth="1"/>
    <col min="10213" max="10213" width="11.7109375" style="110" bestFit="1" customWidth="1"/>
    <col min="10214" max="10214" width="14.140625" style="110" bestFit="1" customWidth="1"/>
    <col min="10215" max="10215" width="16.7109375" style="110" customWidth="1"/>
    <col min="10216" max="10216" width="16.5703125" style="110" customWidth="1"/>
    <col min="10217" max="10218" width="7.85546875" style="110" bestFit="1" customWidth="1"/>
    <col min="10219" max="10219" width="8" style="110" bestFit="1" customWidth="1"/>
    <col min="10220" max="10221" width="7.85546875" style="110" bestFit="1" customWidth="1"/>
    <col min="10222" max="10222" width="9.7109375" style="110" customWidth="1"/>
    <col min="10223" max="10223" width="12.85546875" style="110" customWidth="1"/>
    <col min="10224" max="10460" width="9.140625" style="110"/>
    <col min="10461" max="10461" width="9" style="110" bestFit="1" customWidth="1"/>
    <col min="10462" max="10462" width="9.85546875" style="110" bestFit="1" customWidth="1"/>
    <col min="10463" max="10463" width="9.140625" style="110" bestFit="1" customWidth="1"/>
    <col min="10464" max="10464" width="16" style="110" bestFit="1" customWidth="1"/>
    <col min="10465" max="10465" width="9" style="110" bestFit="1" customWidth="1"/>
    <col min="10466" max="10466" width="7.85546875" style="110" bestFit="1" customWidth="1"/>
    <col min="10467" max="10467" width="11.7109375" style="110" bestFit="1" customWidth="1"/>
    <col min="10468" max="10468" width="14.28515625" style="110" customWidth="1"/>
    <col min="10469" max="10469" width="11.7109375" style="110" bestFit="1" customWidth="1"/>
    <col min="10470" max="10470" width="14.140625" style="110" bestFit="1" customWidth="1"/>
    <col min="10471" max="10471" width="16.7109375" style="110" customWidth="1"/>
    <col min="10472" max="10472" width="16.5703125" style="110" customWidth="1"/>
    <col min="10473" max="10474" width="7.85546875" style="110" bestFit="1" customWidth="1"/>
    <col min="10475" max="10475" width="8" style="110" bestFit="1" customWidth="1"/>
    <col min="10476" max="10477" width="7.85546875" style="110" bestFit="1" customWidth="1"/>
    <col min="10478" max="10478" width="9.7109375" style="110" customWidth="1"/>
    <col min="10479" max="10479" width="12.85546875" style="110" customWidth="1"/>
    <col min="10480" max="10716" width="9.140625" style="110"/>
    <col min="10717" max="10717" width="9" style="110" bestFit="1" customWidth="1"/>
    <col min="10718" max="10718" width="9.85546875" style="110" bestFit="1" customWidth="1"/>
    <col min="10719" max="10719" width="9.140625" style="110" bestFit="1" customWidth="1"/>
    <col min="10720" max="10720" width="16" style="110" bestFit="1" customWidth="1"/>
    <col min="10721" max="10721" width="9" style="110" bestFit="1" customWidth="1"/>
    <col min="10722" max="10722" width="7.85546875" style="110" bestFit="1" customWidth="1"/>
    <col min="10723" max="10723" width="11.7109375" style="110" bestFit="1" customWidth="1"/>
    <col min="10724" max="10724" width="14.28515625" style="110" customWidth="1"/>
    <col min="10725" max="10725" width="11.7109375" style="110" bestFit="1" customWidth="1"/>
    <col min="10726" max="10726" width="14.140625" style="110" bestFit="1" customWidth="1"/>
    <col min="10727" max="10727" width="16.7109375" style="110" customWidth="1"/>
    <col min="10728" max="10728" width="16.5703125" style="110" customWidth="1"/>
    <col min="10729" max="10730" width="7.85546875" style="110" bestFit="1" customWidth="1"/>
    <col min="10731" max="10731" width="8" style="110" bestFit="1" customWidth="1"/>
    <col min="10732" max="10733" width="7.85546875" style="110" bestFit="1" customWidth="1"/>
    <col min="10734" max="10734" width="9.7109375" style="110" customWidth="1"/>
    <col min="10735" max="10735" width="12.85546875" style="110" customWidth="1"/>
    <col min="10736" max="10972" width="9.140625" style="110"/>
    <col min="10973" max="10973" width="9" style="110" bestFit="1" customWidth="1"/>
    <col min="10974" max="10974" width="9.85546875" style="110" bestFit="1" customWidth="1"/>
    <col min="10975" max="10975" width="9.140625" style="110" bestFit="1" customWidth="1"/>
    <col min="10976" max="10976" width="16" style="110" bestFit="1" customWidth="1"/>
    <col min="10977" max="10977" width="9" style="110" bestFit="1" customWidth="1"/>
    <col min="10978" max="10978" width="7.85546875" style="110" bestFit="1" customWidth="1"/>
    <col min="10979" max="10979" width="11.7109375" style="110" bestFit="1" customWidth="1"/>
    <col min="10980" max="10980" width="14.28515625" style="110" customWidth="1"/>
    <col min="10981" max="10981" width="11.7109375" style="110" bestFit="1" customWidth="1"/>
    <col min="10982" max="10982" width="14.140625" style="110" bestFit="1" customWidth="1"/>
    <col min="10983" max="10983" width="16.7109375" style="110" customWidth="1"/>
    <col min="10984" max="10984" width="16.5703125" style="110" customWidth="1"/>
    <col min="10985" max="10986" width="7.85546875" style="110" bestFit="1" customWidth="1"/>
    <col min="10987" max="10987" width="8" style="110" bestFit="1" customWidth="1"/>
    <col min="10988" max="10989" width="7.85546875" style="110" bestFit="1" customWidth="1"/>
    <col min="10990" max="10990" width="9.7109375" style="110" customWidth="1"/>
    <col min="10991" max="10991" width="12.85546875" style="110" customWidth="1"/>
    <col min="10992" max="11228" width="9.140625" style="110"/>
    <col min="11229" max="11229" width="9" style="110" bestFit="1" customWidth="1"/>
    <col min="11230" max="11230" width="9.85546875" style="110" bestFit="1" customWidth="1"/>
    <col min="11231" max="11231" width="9.140625" style="110" bestFit="1" customWidth="1"/>
    <col min="11232" max="11232" width="16" style="110" bestFit="1" customWidth="1"/>
    <col min="11233" max="11233" width="9" style="110" bestFit="1" customWidth="1"/>
    <col min="11234" max="11234" width="7.85546875" style="110" bestFit="1" customWidth="1"/>
    <col min="11235" max="11235" width="11.7109375" style="110" bestFit="1" customWidth="1"/>
    <col min="11236" max="11236" width="14.28515625" style="110" customWidth="1"/>
    <col min="11237" max="11237" width="11.7109375" style="110" bestFit="1" customWidth="1"/>
    <col min="11238" max="11238" width="14.140625" style="110" bestFit="1" customWidth="1"/>
    <col min="11239" max="11239" width="16.7109375" style="110" customWidth="1"/>
    <col min="11240" max="11240" width="16.5703125" style="110" customWidth="1"/>
    <col min="11241" max="11242" width="7.85546875" style="110" bestFit="1" customWidth="1"/>
    <col min="11243" max="11243" width="8" style="110" bestFit="1" customWidth="1"/>
    <col min="11244" max="11245" width="7.85546875" style="110" bestFit="1" customWidth="1"/>
    <col min="11246" max="11246" width="9.7109375" style="110" customWidth="1"/>
    <col min="11247" max="11247" width="12.85546875" style="110" customWidth="1"/>
    <col min="11248" max="11484" width="9.140625" style="110"/>
    <col min="11485" max="11485" width="9" style="110" bestFit="1" customWidth="1"/>
    <col min="11486" max="11486" width="9.85546875" style="110" bestFit="1" customWidth="1"/>
    <col min="11487" max="11487" width="9.140625" style="110" bestFit="1" customWidth="1"/>
    <col min="11488" max="11488" width="16" style="110" bestFit="1" customWidth="1"/>
    <col min="11489" max="11489" width="9" style="110" bestFit="1" customWidth="1"/>
    <col min="11490" max="11490" width="7.85546875" style="110" bestFit="1" customWidth="1"/>
    <col min="11491" max="11491" width="11.7109375" style="110" bestFit="1" customWidth="1"/>
    <col min="11492" max="11492" width="14.28515625" style="110" customWidth="1"/>
    <col min="11493" max="11493" width="11.7109375" style="110" bestFit="1" customWidth="1"/>
    <col min="11494" max="11494" width="14.140625" style="110" bestFit="1" customWidth="1"/>
    <col min="11495" max="11495" width="16.7109375" style="110" customWidth="1"/>
    <col min="11496" max="11496" width="16.5703125" style="110" customWidth="1"/>
    <col min="11497" max="11498" width="7.85546875" style="110" bestFit="1" customWidth="1"/>
    <col min="11499" max="11499" width="8" style="110" bestFit="1" customWidth="1"/>
    <col min="11500" max="11501" width="7.85546875" style="110" bestFit="1" customWidth="1"/>
    <col min="11502" max="11502" width="9.7109375" style="110" customWidth="1"/>
    <col min="11503" max="11503" width="12.85546875" style="110" customWidth="1"/>
    <col min="11504" max="11740" width="9.140625" style="110"/>
    <col min="11741" max="11741" width="9" style="110" bestFit="1" customWidth="1"/>
    <col min="11742" max="11742" width="9.85546875" style="110" bestFit="1" customWidth="1"/>
    <col min="11743" max="11743" width="9.140625" style="110" bestFit="1" customWidth="1"/>
    <col min="11744" max="11744" width="16" style="110" bestFit="1" customWidth="1"/>
    <col min="11745" max="11745" width="9" style="110" bestFit="1" customWidth="1"/>
    <col min="11746" max="11746" width="7.85546875" style="110" bestFit="1" customWidth="1"/>
    <col min="11747" max="11747" width="11.7109375" style="110" bestFit="1" customWidth="1"/>
    <col min="11748" max="11748" width="14.28515625" style="110" customWidth="1"/>
    <col min="11749" max="11749" width="11.7109375" style="110" bestFit="1" customWidth="1"/>
    <col min="11750" max="11750" width="14.140625" style="110" bestFit="1" customWidth="1"/>
    <col min="11751" max="11751" width="16.7109375" style="110" customWidth="1"/>
    <col min="11752" max="11752" width="16.5703125" style="110" customWidth="1"/>
    <col min="11753" max="11754" width="7.85546875" style="110" bestFit="1" customWidth="1"/>
    <col min="11755" max="11755" width="8" style="110" bestFit="1" customWidth="1"/>
    <col min="11756" max="11757" width="7.85546875" style="110" bestFit="1" customWidth="1"/>
    <col min="11758" max="11758" width="9.7109375" style="110" customWidth="1"/>
    <col min="11759" max="11759" width="12.85546875" style="110" customWidth="1"/>
    <col min="11760" max="11996" width="9.140625" style="110"/>
    <col min="11997" max="11997" width="9" style="110" bestFit="1" customWidth="1"/>
    <col min="11998" max="11998" width="9.85546875" style="110" bestFit="1" customWidth="1"/>
    <col min="11999" max="11999" width="9.140625" style="110" bestFit="1" customWidth="1"/>
    <col min="12000" max="12000" width="16" style="110" bestFit="1" customWidth="1"/>
    <col min="12001" max="12001" width="9" style="110" bestFit="1" customWidth="1"/>
    <col min="12002" max="12002" width="7.85546875" style="110" bestFit="1" customWidth="1"/>
    <col min="12003" max="12003" width="11.7109375" style="110" bestFit="1" customWidth="1"/>
    <col min="12004" max="12004" width="14.28515625" style="110" customWidth="1"/>
    <col min="12005" max="12005" width="11.7109375" style="110" bestFit="1" customWidth="1"/>
    <col min="12006" max="12006" width="14.140625" style="110" bestFit="1" customWidth="1"/>
    <col min="12007" max="12007" width="16.7109375" style="110" customWidth="1"/>
    <col min="12008" max="12008" width="16.5703125" style="110" customWidth="1"/>
    <col min="12009" max="12010" width="7.85546875" style="110" bestFit="1" customWidth="1"/>
    <col min="12011" max="12011" width="8" style="110" bestFit="1" customWidth="1"/>
    <col min="12012" max="12013" width="7.85546875" style="110" bestFit="1" customWidth="1"/>
    <col min="12014" max="12014" width="9.7109375" style="110" customWidth="1"/>
    <col min="12015" max="12015" width="12.85546875" style="110" customWidth="1"/>
    <col min="12016" max="12252" width="9.140625" style="110"/>
    <col min="12253" max="12253" width="9" style="110" bestFit="1" customWidth="1"/>
    <col min="12254" max="12254" width="9.85546875" style="110" bestFit="1" customWidth="1"/>
    <col min="12255" max="12255" width="9.140625" style="110" bestFit="1" customWidth="1"/>
    <col min="12256" max="12256" width="16" style="110" bestFit="1" customWidth="1"/>
    <col min="12257" max="12257" width="9" style="110" bestFit="1" customWidth="1"/>
    <col min="12258" max="12258" width="7.85546875" style="110" bestFit="1" customWidth="1"/>
    <col min="12259" max="12259" width="11.7109375" style="110" bestFit="1" customWidth="1"/>
    <col min="12260" max="12260" width="14.28515625" style="110" customWidth="1"/>
    <col min="12261" max="12261" width="11.7109375" style="110" bestFit="1" customWidth="1"/>
    <col min="12262" max="12262" width="14.140625" style="110" bestFit="1" customWidth="1"/>
    <col min="12263" max="12263" width="16.7109375" style="110" customWidth="1"/>
    <col min="12264" max="12264" width="16.5703125" style="110" customWidth="1"/>
    <col min="12265" max="12266" width="7.85546875" style="110" bestFit="1" customWidth="1"/>
    <col min="12267" max="12267" width="8" style="110" bestFit="1" customWidth="1"/>
    <col min="12268" max="12269" width="7.85546875" style="110" bestFit="1" customWidth="1"/>
    <col min="12270" max="12270" width="9.7109375" style="110" customWidth="1"/>
    <col min="12271" max="12271" width="12.85546875" style="110" customWidth="1"/>
    <col min="12272" max="12508" width="9.140625" style="110"/>
    <col min="12509" max="12509" width="9" style="110" bestFit="1" customWidth="1"/>
    <col min="12510" max="12510" width="9.85546875" style="110" bestFit="1" customWidth="1"/>
    <col min="12511" max="12511" width="9.140625" style="110" bestFit="1" customWidth="1"/>
    <col min="12512" max="12512" width="16" style="110" bestFit="1" customWidth="1"/>
    <col min="12513" max="12513" width="9" style="110" bestFit="1" customWidth="1"/>
    <col min="12514" max="12514" width="7.85546875" style="110" bestFit="1" customWidth="1"/>
    <col min="12515" max="12515" width="11.7109375" style="110" bestFit="1" customWidth="1"/>
    <col min="12516" max="12516" width="14.28515625" style="110" customWidth="1"/>
    <col min="12517" max="12517" width="11.7109375" style="110" bestFit="1" customWidth="1"/>
    <col min="12518" max="12518" width="14.140625" style="110" bestFit="1" customWidth="1"/>
    <col min="12519" max="12519" width="16.7109375" style="110" customWidth="1"/>
    <col min="12520" max="12520" width="16.5703125" style="110" customWidth="1"/>
    <col min="12521" max="12522" width="7.85546875" style="110" bestFit="1" customWidth="1"/>
    <col min="12523" max="12523" width="8" style="110" bestFit="1" customWidth="1"/>
    <col min="12524" max="12525" width="7.85546875" style="110" bestFit="1" customWidth="1"/>
    <col min="12526" max="12526" width="9.7109375" style="110" customWidth="1"/>
    <col min="12527" max="12527" width="12.85546875" style="110" customWidth="1"/>
    <col min="12528" max="12764" width="9.140625" style="110"/>
    <col min="12765" max="12765" width="9" style="110" bestFit="1" customWidth="1"/>
    <col min="12766" max="12766" width="9.85546875" style="110" bestFit="1" customWidth="1"/>
    <col min="12767" max="12767" width="9.140625" style="110" bestFit="1" customWidth="1"/>
    <col min="12768" max="12768" width="16" style="110" bestFit="1" customWidth="1"/>
    <col min="12769" max="12769" width="9" style="110" bestFit="1" customWidth="1"/>
    <col min="12770" max="12770" width="7.85546875" style="110" bestFit="1" customWidth="1"/>
    <col min="12771" max="12771" width="11.7109375" style="110" bestFit="1" customWidth="1"/>
    <col min="12772" max="12772" width="14.28515625" style="110" customWidth="1"/>
    <col min="12773" max="12773" width="11.7109375" style="110" bestFit="1" customWidth="1"/>
    <col min="12774" max="12774" width="14.140625" style="110" bestFit="1" customWidth="1"/>
    <col min="12775" max="12775" width="16.7109375" style="110" customWidth="1"/>
    <col min="12776" max="12776" width="16.5703125" style="110" customWidth="1"/>
    <col min="12777" max="12778" width="7.85546875" style="110" bestFit="1" customWidth="1"/>
    <col min="12779" max="12779" width="8" style="110" bestFit="1" customWidth="1"/>
    <col min="12780" max="12781" width="7.85546875" style="110" bestFit="1" customWidth="1"/>
    <col min="12782" max="12782" width="9.7109375" style="110" customWidth="1"/>
    <col min="12783" max="12783" width="12.85546875" style="110" customWidth="1"/>
    <col min="12784" max="13020" width="9.140625" style="110"/>
    <col min="13021" max="13021" width="9" style="110" bestFit="1" customWidth="1"/>
    <col min="13022" max="13022" width="9.85546875" style="110" bestFit="1" customWidth="1"/>
    <col min="13023" max="13023" width="9.140625" style="110" bestFit="1" customWidth="1"/>
    <col min="13024" max="13024" width="16" style="110" bestFit="1" customWidth="1"/>
    <col min="13025" max="13025" width="9" style="110" bestFit="1" customWidth="1"/>
    <col min="13026" max="13026" width="7.85546875" style="110" bestFit="1" customWidth="1"/>
    <col min="13027" max="13027" width="11.7109375" style="110" bestFit="1" customWidth="1"/>
    <col min="13028" max="13028" width="14.28515625" style="110" customWidth="1"/>
    <col min="13029" max="13029" width="11.7109375" style="110" bestFit="1" customWidth="1"/>
    <col min="13030" max="13030" width="14.140625" style="110" bestFit="1" customWidth="1"/>
    <col min="13031" max="13031" width="16.7109375" style="110" customWidth="1"/>
    <col min="13032" max="13032" width="16.5703125" style="110" customWidth="1"/>
    <col min="13033" max="13034" width="7.85546875" style="110" bestFit="1" customWidth="1"/>
    <col min="13035" max="13035" width="8" style="110" bestFit="1" customWidth="1"/>
    <col min="13036" max="13037" width="7.85546875" style="110" bestFit="1" customWidth="1"/>
    <col min="13038" max="13038" width="9.7109375" style="110" customWidth="1"/>
    <col min="13039" max="13039" width="12.85546875" style="110" customWidth="1"/>
    <col min="13040" max="13276" width="9.140625" style="110"/>
    <col min="13277" max="13277" width="9" style="110" bestFit="1" customWidth="1"/>
    <col min="13278" max="13278" width="9.85546875" style="110" bestFit="1" customWidth="1"/>
    <col min="13279" max="13279" width="9.140625" style="110" bestFit="1" customWidth="1"/>
    <col min="13280" max="13280" width="16" style="110" bestFit="1" customWidth="1"/>
    <col min="13281" max="13281" width="9" style="110" bestFit="1" customWidth="1"/>
    <col min="13282" max="13282" width="7.85546875" style="110" bestFit="1" customWidth="1"/>
    <col min="13283" max="13283" width="11.7109375" style="110" bestFit="1" customWidth="1"/>
    <col min="13284" max="13284" width="14.28515625" style="110" customWidth="1"/>
    <col min="13285" max="13285" width="11.7109375" style="110" bestFit="1" customWidth="1"/>
    <col min="13286" max="13286" width="14.140625" style="110" bestFit="1" customWidth="1"/>
    <col min="13287" max="13287" width="16.7109375" style="110" customWidth="1"/>
    <col min="13288" max="13288" width="16.5703125" style="110" customWidth="1"/>
    <col min="13289" max="13290" width="7.85546875" style="110" bestFit="1" customWidth="1"/>
    <col min="13291" max="13291" width="8" style="110" bestFit="1" customWidth="1"/>
    <col min="13292" max="13293" width="7.85546875" style="110" bestFit="1" customWidth="1"/>
    <col min="13294" max="13294" width="9.7109375" style="110" customWidth="1"/>
    <col min="13295" max="13295" width="12.85546875" style="110" customWidth="1"/>
    <col min="13296" max="13532" width="9.140625" style="110"/>
    <col min="13533" max="13533" width="9" style="110" bestFit="1" customWidth="1"/>
    <col min="13534" max="13534" width="9.85546875" style="110" bestFit="1" customWidth="1"/>
    <col min="13535" max="13535" width="9.140625" style="110" bestFit="1" customWidth="1"/>
    <col min="13536" max="13536" width="16" style="110" bestFit="1" customWidth="1"/>
    <col min="13537" max="13537" width="9" style="110" bestFit="1" customWidth="1"/>
    <col min="13538" max="13538" width="7.85546875" style="110" bestFit="1" customWidth="1"/>
    <col min="13539" max="13539" width="11.7109375" style="110" bestFit="1" customWidth="1"/>
    <col min="13540" max="13540" width="14.28515625" style="110" customWidth="1"/>
    <col min="13541" max="13541" width="11.7109375" style="110" bestFit="1" customWidth="1"/>
    <col min="13542" max="13542" width="14.140625" style="110" bestFit="1" customWidth="1"/>
    <col min="13543" max="13543" width="16.7109375" style="110" customWidth="1"/>
    <col min="13544" max="13544" width="16.5703125" style="110" customWidth="1"/>
    <col min="13545" max="13546" width="7.85546875" style="110" bestFit="1" customWidth="1"/>
    <col min="13547" max="13547" width="8" style="110" bestFit="1" customWidth="1"/>
    <col min="13548" max="13549" width="7.85546875" style="110" bestFit="1" customWidth="1"/>
    <col min="13550" max="13550" width="9.7109375" style="110" customWidth="1"/>
    <col min="13551" max="13551" width="12.85546875" style="110" customWidth="1"/>
    <col min="13552" max="13788" width="9.140625" style="110"/>
    <col min="13789" max="13789" width="9" style="110" bestFit="1" customWidth="1"/>
    <col min="13790" max="13790" width="9.85546875" style="110" bestFit="1" customWidth="1"/>
    <col min="13791" max="13791" width="9.140625" style="110" bestFit="1" customWidth="1"/>
    <col min="13792" max="13792" width="16" style="110" bestFit="1" customWidth="1"/>
    <col min="13793" max="13793" width="9" style="110" bestFit="1" customWidth="1"/>
    <col min="13794" max="13794" width="7.85546875" style="110" bestFit="1" customWidth="1"/>
    <col min="13795" max="13795" width="11.7109375" style="110" bestFit="1" customWidth="1"/>
    <col min="13796" max="13796" width="14.28515625" style="110" customWidth="1"/>
    <col min="13797" max="13797" width="11.7109375" style="110" bestFit="1" customWidth="1"/>
    <col min="13798" max="13798" width="14.140625" style="110" bestFit="1" customWidth="1"/>
    <col min="13799" max="13799" width="16.7109375" style="110" customWidth="1"/>
    <col min="13800" max="13800" width="16.5703125" style="110" customWidth="1"/>
    <col min="13801" max="13802" width="7.85546875" style="110" bestFit="1" customWidth="1"/>
    <col min="13803" max="13803" width="8" style="110" bestFit="1" customWidth="1"/>
    <col min="13804" max="13805" width="7.85546875" style="110" bestFit="1" customWidth="1"/>
    <col min="13806" max="13806" width="9.7109375" style="110" customWidth="1"/>
    <col min="13807" max="13807" width="12.85546875" style="110" customWidth="1"/>
    <col min="13808" max="14044" width="9.140625" style="110"/>
    <col min="14045" max="14045" width="9" style="110" bestFit="1" customWidth="1"/>
    <col min="14046" max="14046" width="9.85546875" style="110" bestFit="1" customWidth="1"/>
    <col min="14047" max="14047" width="9.140625" style="110" bestFit="1" customWidth="1"/>
    <col min="14048" max="14048" width="16" style="110" bestFit="1" customWidth="1"/>
    <col min="14049" max="14049" width="9" style="110" bestFit="1" customWidth="1"/>
    <col min="14050" max="14050" width="7.85546875" style="110" bestFit="1" customWidth="1"/>
    <col min="14051" max="14051" width="11.7109375" style="110" bestFit="1" customWidth="1"/>
    <col min="14052" max="14052" width="14.28515625" style="110" customWidth="1"/>
    <col min="14053" max="14053" width="11.7109375" style="110" bestFit="1" customWidth="1"/>
    <col min="14054" max="14054" width="14.140625" style="110" bestFit="1" customWidth="1"/>
    <col min="14055" max="14055" width="16.7109375" style="110" customWidth="1"/>
    <col min="14056" max="14056" width="16.5703125" style="110" customWidth="1"/>
    <col min="14057" max="14058" width="7.85546875" style="110" bestFit="1" customWidth="1"/>
    <col min="14059" max="14059" width="8" style="110" bestFit="1" customWidth="1"/>
    <col min="14060" max="14061" width="7.85546875" style="110" bestFit="1" customWidth="1"/>
    <col min="14062" max="14062" width="9.7109375" style="110" customWidth="1"/>
    <col min="14063" max="14063" width="12.85546875" style="110" customWidth="1"/>
    <col min="14064" max="14300" width="9.140625" style="110"/>
    <col min="14301" max="14301" width="9" style="110" bestFit="1" customWidth="1"/>
    <col min="14302" max="14302" width="9.85546875" style="110" bestFit="1" customWidth="1"/>
    <col min="14303" max="14303" width="9.140625" style="110" bestFit="1" customWidth="1"/>
    <col min="14304" max="14304" width="16" style="110" bestFit="1" customWidth="1"/>
    <col min="14305" max="14305" width="9" style="110" bestFit="1" customWidth="1"/>
    <col min="14306" max="14306" width="7.85546875" style="110" bestFit="1" customWidth="1"/>
    <col min="14307" max="14307" width="11.7109375" style="110" bestFit="1" customWidth="1"/>
    <col min="14308" max="14308" width="14.28515625" style="110" customWidth="1"/>
    <col min="14309" max="14309" width="11.7109375" style="110" bestFit="1" customWidth="1"/>
    <col min="14310" max="14310" width="14.140625" style="110" bestFit="1" customWidth="1"/>
    <col min="14311" max="14311" width="16.7109375" style="110" customWidth="1"/>
    <col min="14312" max="14312" width="16.5703125" style="110" customWidth="1"/>
    <col min="14313" max="14314" width="7.85546875" style="110" bestFit="1" customWidth="1"/>
    <col min="14315" max="14315" width="8" style="110" bestFit="1" customWidth="1"/>
    <col min="14316" max="14317" width="7.85546875" style="110" bestFit="1" customWidth="1"/>
    <col min="14318" max="14318" width="9.7109375" style="110" customWidth="1"/>
    <col min="14319" max="14319" width="12.85546875" style="110" customWidth="1"/>
    <col min="14320" max="14556" width="9.140625" style="110"/>
    <col min="14557" max="14557" width="9" style="110" bestFit="1" customWidth="1"/>
    <col min="14558" max="14558" width="9.85546875" style="110" bestFit="1" customWidth="1"/>
    <col min="14559" max="14559" width="9.140625" style="110" bestFit="1" customWidth="1"/>
    <col min="14560" max="14560" width="16" style="110" bestFit="1" customWidth="1"/>
    <col min="14561" max="14561" width="9" style="110" bestFit="1" customWidth="1"/>
    <col min="14562" max="14562" width="7.85546875" style="110" bestFit="1" customWidth="1"/>
    <col min="14563" max="14563" width="11.7109375" style="110" bestFit="1" customWidth="1"/>
    <col min="14564" max="14564" width="14.28515625" style="110" customWidth="1"/>
    <col min="14565" max="14565" width="11.7109375" style="110" bestFit="1" customWidth="1"/>
    <col min="14566" max="14566" width="14.140625" style="110" bestFit="1" customWidth="1"/>
    <col min="14567" max="14567" width="16.7109375" style="110" customWidth="1"/>
    <col min="14568" max="14568" width="16.5703125" style="110" customWidth="1"/>
    <col min="14569" max="14570" width="7.85546875" style="110" bestFit="1" customWidth="1"/>
    <col min="14571" max="14571" width="8" style="110" bestFit="1" customWidth="1"/>
    <col min="14572" max="14573" width="7.85546875" style="110" bestFit="1" customWidth="1"/>
    <col min="14574" max="14574" width="9.7109375" style="110" customWidth="1"/>
    <col min="14575" max="14575" width="12.85546875" style="110" customWidth="1"/>
    <col min="14576" max="14812" width="9.140625" style="110"/>
    <col min="14813" max="14813" width="9" style="110" bestFit="1" customWidth="1"/>
    <col min="14814" max="14814" width="9.85546875" style="110" bestFit="1" customWidth="1"/>
    <col min="14815" max="14815" width="9.140625" style="110" bestFit="1" customWidth="1"/>
    <col min="14816" max="14816" width="16" style="110" bestFit="1" customWidth="1"/>
    <col min="14817" max="14817" width="9" style="110" bestFit="1" customWidth="1"/>
    <col min="14818" max="14818" width="7.85546875" style="110" bestFit="1" customWidth="1"/>
    <col min="14819" max="14819" width="11.7109375" style="110" bestFit="1" customWidth="1"/>
    <col min="14820" max="14820" width="14.28515625" style="110" customWidth="1"/>
    <col min="14821" max="14821" width="11.7109375" style="110" bestFit="1" customWidth="1"/>
    <col min="14822" max="14822" width="14.140625" style="110" bestFit="1" customWidth="1"/>
    <col min="14823" max="14823" width="16.7109375" style="110" customWidth="1"/>
    <col min="14824" max="14824" width="16.5703125" style="110" customWidth="1"/>
    <col min="14825" max="14826" width="7.85546875" style="110" bestFit="1" customWidth="1"/>
    <col min="14827" max="14827" width="8" style="110" bestFit="1" customWidth="1"/>
    <col min="14828" max="14829" width="7.85546875" style="110" bestFit="1" customWidth="1"/>
    <col min="14830" max="14830" width="9.7109375" style="110" customWidth="1"/>
    <col min="14831" max="14831" width="12.85546875" style="110" customWidth="1"/>
    <col min="14832" max="15068" width="9.140625" style="110"/>
    <col min="15069" max="15069" width="9" style="110" bestFit="1" customWidth="1"/>
    <col min="15070" max="15070" width="9.85546875" style="110" bestFit="1" customWidth="1"/>
    <col min="15071" max="15071" width="9.140625" style="110" bestFit="1" customWidth="1"/>
    <col min="15072" max="15072" width="16" style="110" bestFit="1" customWidth="1"/>
    <col min="15073" max="15073" width="9" style="110" bestFit="1" customWidth="1"/>
    <col min="15074" max="15074" width="7.85546875" style="110" bestFit="1" customWidth="1"/>
    <col min="15075" max="15075" width="11.7109375" style="110" bestFit="1" customWidth="1"/>
    <col min="15076" max="15076" width="14.28515625" style="110" customWidth="1"/>
    <col min="15077" max="15077" width="11.7109375" style="110" bestFit="1" customWidth="1"/>
    <col min="15078" max="15078" width="14.140625" style="110" bestFit="1" customWidth="1"/>
    <col min="15079" max="15079" width="16.7109375" style="110" customWidth="1"/>
    <col min="15080" max="15080" width="16.5703125" style="110" customWidth="1"/>
    <col min="15081" max="15082" width="7.85546875" style="110" bestFit="1" customWidth="1"/>
    <col min="15083" max="15083" width="8" style="110" bestFit="1" customWidth="1"/>
    <col min="15084" max="15085" width="7.85546875" style="110" bestFit="1" customWidth="1"/>
    <col min="15086" max="15086" width="9.7109375" style="110" customWidth="1"/>
    <col min="15087" max="15087" width="12.85546875" style="110" customWidth="1"/>
    <col min="15088" max="15324" width="9.140625" style="110"/>
    <col min="15325" max="15325" width="9" style="110" bestFit="1" customWidth="1"/>
    <col min="15326" max="15326" width="9.85546875" style="110" bestFit="1" customWidth="1"/>
    <col min="15327" max="15327" width="9.140625" style="110" bestFit="1" customWidth="1"/>
    <col min="15328" max="15328" width="16" style="110" bestFit="1" customWidth="1"/>
    <col min="15329" max="15329" width="9" style="110" bestFit="1" customWidth="1"/>
    <col min="15330" max="15330" width="7.85546875" style="110" bestFit="1" customWidth="1"/>
    <col min="15331" max="15331" width="11.7109375" style="110" bestFit="1" customWidth="1"/>
    <col min="15332" max="15332" width="14.28515625" style="110" customWidth="1"/>
    <col min="15333" max="15333" width="11.7109375" style="110" bestFit="1" customWidth="1"/>
    <col min="15334" max="15334" width="14.140625" style="110" bestFit="1" customWidth="1"/>
    <col min="15335" max="15335" width="16.7109375" style="110" customWidth="1"/>
    <col min="15336" max="15336" width="16.5703125" style="110" customWidth="1"/>
    <col min="15337" max="15338" width="7.85546875" style="110" bestFit="1" customWidth="1"/>
    <col min="15339" max="15339" width="8" style="110" bestFit="1" customWidth="1"/>
    <col min="15340" max="15341" width="7.85546875" style="110" bestFit="1" customWidth="1"/>
    <col min="15342" max="15342" width="9.7109375" style="110" customWidth="1"/>
    <col min="15343" max="15343" width="12.85546875" style="110" customWidth="1"/>
    <col min="15344" max="15580" width="9.140625" style="110"/>
    <col min="15581" max="15581" width="9" style="110" bestFit="1" customWidth="1"/>
    <col min="15582" max="15582" width="9.85546875" style="110" bestFit="1" customWidth="1"/>
    <col min="15583" max="15583" width="9.140625" style="110" bestFit="1" customWidth="1"/>
    <col min="15584" max="15584" width="16" style="110" bestFit="1" customWidth="1"/>
    <col min="15585" max="15585" width="9" style="110" bestFit="1" customWidth="1"/>
    <col min="15586" max="15586" width="7.85546875" style="110" bestFit="1" customWidth="1"/>
    <col min="15587" max="15587" width="11.7109375" style="110" bestFit="1" customWidth="1"/>
    <col min="15588" max="15588" width="14.28515625" style="110" customWidth="1"/>
    <col min="15589" max="15589" width="11.7109375" style="110" bestFit="1" customWidth="1"/>
    <col min="15590" max="15590" width="14.140625" style="110" bestFit="1" customWidth="1"/>
    <col min="15591" max="15591" width="16.7109375" style="110" customWidth="1"/>
    <col min="15592" max="15592" width="16.5703125" style="110" customWidth="1"/>
    <col min="15593" max="15594" width="7.85546875" style="110" bestFit="1" customWidth="1"/>
    <col min="15595" max="15595" width="8" style="110" bestFit="1" customWidth="1"/>
    <col min="15596" max="15597" width="7.85546875" style="110" bestFit="1" customWidth="1"/>
    <col min="15598" max="15598" width="9.7109375" style="110" customWidth="1"/>
    <col min="15599" max="15599" width="12.85546875" style="110" customWidth="1"/>
    <col min="15600" max="15836" width="9.140625" style="110"/>
    <col min="15837" max="15837" width="9" style="110" bestFit="1" customWidth="1"/>
    <col min="15838" max="15838" width="9.85546875" style="110" bestFit="1" customWidth="1"/>
    <col min="15839" max="15839" width="9.140625" style="110" bestFit="1" customWidth="1"/>
    <col min="15840" max="15840" width="16" style="110" bestFit="1" customWidth="1"/>
    <col min="15841" max="15841" width="9" style="110" bestFit="1" customWidth="1"/>
    <col min="15842" max="15842" width="7.85546875" style="110" bestFit="1" customWidth="1"/>
    <col min="15843" max="15843" width="11.7109375" style="110" bestFit="1" customWidth="1"/>
    <col min="15844" max="15844" width="14.28515625" style="110" customWidth="1"/>
    <col min="15845" max="15845" width="11.7109375" style="110" bestFit="1" customWidth="1"/>
    <col min="15846" max="15846" width="14.140625" style="110" bestFit="1" customWidth="1"/>
    <col min="15847" max="15847" width="16.7109375" style="110" customWidth="1"/>
    <col min="15848" max="15848" width="16.5703125" style="110" customWidth="1"/>
    <col min="15849" max="15850" width="7.85546875" style="110" bestFit="1" customWidth="1"/>
    <col min="15851" max="15851" width="8" style="110" bestFit="1" customWidth="1"/>
    <col min="15852" max="15853" width="7.85546875" style="110" bestFit="1" customWidth="1"/>
    <col min="15854" max="15854" width="9.7109375" style="110" customWidth="1"/>
    <col min="15855" max="15855" width="12.85546875" style="110" customWidth="1"/>
    <col min="15856" max="16092" width="9.140625" style="110"/>
    <col min="16093" max="16093" width="9" style="110" bestFit="1" customWidth="1"/>
    <col min="16094" max="16094" width="9.85546875" style="110" bestFit="1" customWidth="1"/>
    <col min="16095" max="16095" width="9.140625" style="110" bestFit="1" customWidth="1"/>
    <col min="16096" max="16096" width="16" style="110" bestFit="1" customWidth="1"/>
    <col min="16097" max="16097" width="9" style="110" bestFit="1" customWidth="1"/>
    <col min="16098" max="16098" width="7.85546875" style="110" bestFit="1" customWidth="1"/>
    <col min="16099" max="16099" width="11.7109375" style="110" bestFit="1" customWidth="1"/>
    <col min="16100" max="16100" width="14.28515625" style="110" customWidth="1"/>
    <col min="16101" max="16101" width="11.7109375" style="110" bestFit="1" customWidth="1"/>
    <col min="16102" max="16102" width="14.140625" style="110" bestFit="1" customWidth="1"/>
    <col min="16103" max="16103" width="16.7109375" style="110" customWidth="1"/>
    <col min="16104" max="16104" width="16.5703125" style="110" customWidth="1"/>
    <col min="16105" max="16106" width="7.85546875" style="110" bestFit="1" customWidth="1"/>
    <col min="16107" max="16107" width="8" style="110" bestFit="1" customWidth="1"/>
    <col min="16108" max="16109" width="7.85546875" style="110" bestFit="1" customWidth="1"/>
    <col min="16110" max="16110" width="9.7109375" style="110" customWidth="1"/>
    <col min="16111" max="16111" width="12.85546875" style="110" customWidth="1"/>
    <col min="16112" max="16384" width="9.140625" style="110"/>
  </cols>
  <sheetData>
    <row r="1" spans="1:22" s="118" customFormat="1" ht="15.75" customHeight="1">
      <c r="A1" s="530" t="s">
        <v>1</v>
      </c>
      <c r="B1" s="667" t="s">
        <v>0</v>
      </c>
      <c r="C1" s="669" t="s">
        <v>145</v>
      </c>
      <c r="D1" s="669"/>
      <c r="E1" s="669"/>
      <c r="F1" s="670" t="s">
        <v>29</v>
      </c>
      <c r="G1" s="671"/>
      <c r="H1" s="671"/>
      <c r="I1" s="671"/>
      <c r="J1" s="671"/>
      <c r="K1" s="671"/>
      <c r="L1" s="671"/>
      <c r="M1" s="671"/>
      <c r="N1" s="671"/>
      <c r="O1" s="671"/>
      <c r="P1" s="671"/>
      <c r="Q1" s="671"/>
      <c r="R1" s="671"/>
      <c r="S1" s="671"/>
      <c r="T1" s="671"/>
      <c r="U1" s="671"/>
      <c r="V1" s="672"/>
    </row>
    <row r="2" spans="1:22" ht="16.5" thickBot="1">
      <c r="A2" s="531"/>
      <c r="B2" s="668"/>
      <c r="C2" s="119" t="s">
        <v>23</v>
      </c>
      <c r="D2" s="125" t="s">
        <v>9</v>
      </c>
      <c r="E2" s="130" t="s">
        <v>33</v>
      </c>
      <c r="F2" s="317">
        <v>61</v>
      </c>
      <c r="G2" s="317">
        <v>62</v>
      </c>
      <c r="H2" s="317">
        <v>63</v>
      </c>
      <c r="I2" s="318">
        <v>64</v>
      </c>
      <c r="J2" s="319" t="s">
        <v>410</v>
      </c>
      <c r="K2" s="319" t="s">
        <v>411</v>
      </c>
      <c r="L2" s="319" t="s">
        <v>412</v>
      </c>
      <c r="M2" s="320">
        <v>65</v>
      </c>
      <c r="N2" s="321" t="s">
        <v>413</v>
      </c>
      <c r="O2" s="321" t="s">
        <v>414</v>
      </c>
      <c r="P2" s="321" t="s">
        <v>415</v>
      </c>
      <c r="Q2" s="321" t="s">
        <v>416</v>
      </c>
      <c r="R2" s="321" t="s">
        <v>417</v>
      </c>
      <c r="S2" s="317">
        <v>67</v>
      </c>
      <c r="T2" s="205"/>
      <c r="U2" s="205"/>
      <c r="V2" s="316"/>
    </row>
    <row r="3" spans="1:22" s="160" customFormat="1">
      <c r="A3" s="415" t="str">
        <f>'1-συμβολαια'!A3</f>
        <v>3ο</v>
      </c>
      <c r="B3" s="412" t="str">
        <f>'1-συμβολαια'!C3</f>
        <v>υποθήκης ????  5.495.705δρχ ΕΞΑΛΕΙΨΗ</v>
      </c>
      <c r="C3" s="382"/>
      <c r="D3" s="488"/>
      <c r="E3" s="488"/>
      <c r="F3" s="383"/>
      <c r="G3" s="383"/>
      <c r="H3" s="413"/>
      <c r="I3" s="414"/>
      <c r="J3" s="414"/>
      <c r="K3" s="414"/>
      <c r="L3" s="414"/>
      <c r="M3" s="414"/>
      <c r="N3" s="383"/>
      <c r="O3" s="383"/>
      <c r="P3" s="383"/>
      <c r="Q3" s="383"/>
      <c r="R3" s="418"/>
      <c r="S3" s="383"/>
      <c r="T3" s="383"/>
      <c r="U3" s="383"/>
      <c r="V3" s="383"/>
    </row>
    <row r="4" spans="1:22" s="160" customFormat="1">
      <c r="A4" s="415">
        <f>'1-συμβολαια'!A4</f>
        <v>0</v>
      </c>
      <c r="B4" s="412" t="str">
        <f>'1-συμβολαια'!C4</f>
        <v>δανείου ??? 5.495.700 δρχ …. ΕΞΟΦΛΗΣΗ</v>
      </c>
      <c r="C4" s="382">
        <f>'1-συμβολαια'!L4</f>
        <v>195.18825200000001</v>
      </c>
      <c r="D4" s="488"/>
      <c r="E4" s="488">
        <f t="shared" ref="E4:E21" si="0">C4-D4</f>
        <v>195.18825200000001</v>
      </c>
      <c r="F4" s="383">
        <v>61</v>
      </c>
      <c r="G4" s="383">
        <v>62</v>
      </c>
      <c r="H4" s="413"/>
      <c r="I4" s="414"/>
      <c r="J4" s="414"/>
      <c r="K4" s="414"/>
      <c r="L4" s="414"/>
      <c r="M4" s="414">
        <v>1</v>
      </c>
      <c r="N4" s="383"/>
      <c r="O4" s="383"/>
      <c r="P4" s="383"/>
      <c r="Q4" s="383"/>
      <c r="R4" s="418"/>
      <c r="S4" s="383"/>
      <c r="T4" s="383"/>
      <c r="U4" s="383"/>
      <c r="V4" s="383"/>
    </row>
    <row r="5" spans="1:22" s="160" customFormat="1">
      <c r="A5" s="415">
        <f>'1-συμβολαια'!A5</f>
        <v>0</v>
      </c>
      <c r="B5" s="412" t="str">
        <f>'1-συμβολαια'!C5</f>
        <v>δανείου ???? ΤΟΚΟΙ</v>
      </c>
      <c r="C5" s="382">
        <f>'1-συμβολαια'!L5</f>
        <v>370.67996600000004</v>
      </c>
      <c r="D5" s="488"/>
      <c r="E5" s="488">
        <f t="shared" si="0"/>
        <v>370.67996600000004</v>
      </c>
      <c r="F5" s="383">
        <v>61</v>
      </c>
      <c r="G5" s="383">
        <v>62</v>
      </c>
      <c r="H5" s="413"/>
      <c r="I5" s="414"/>
      <c r="J5" s="414"/>
      <c r="K5" s="414"/>
      <c r="L5" s="414"/>
      <c r="M5" s="414">
        <v>1</v>
      </c>
      <c r="N5" s="383"/>
      <c r="O5" s="383"/>
      <c r="P5" s="383"/>
      <c r="Q5" s="383"/>
      <c r="R5" s="418"/>
      <c r="S5" s="383"/>
      <c r="T5" s="383"/>
      <c r="U5" s="383"/>
      <c r="V5" s="383"/>
    </row>
    <row r="6" spans="1:22" s="108" customFormat="1">
      <c r="A6" s="112"/>
      <c r="B6" s="120"/>
      <c r="C6" s="107"/>
      <c r="D6" s="489"/>
      <c r="E6" s="489"/>
      <c r="F6" s="113"/>
      <c r="G6" s="113"/>
      <c r="H6" s="162"/>
      <c r="I6" s="207"/>
      <c r="J6" s="207"/>
      <c r="K6" s="207"/>
      <c r="L6" s="207"/>
      <c r="M6" s="207"/>
      <c r="N6" s="113"/>
      <c r="O6" s="113"/>
      <c r="P6" s="113"/>
      <c r="Q6" s="113"/>
      <c r="R6" s="417"/>
      <c r="S6" s="113"/>
      <c r="T6" s="113"/>
      <c r="U6" s="113"/>
      <c r="V6" s="113"/>
    </row>
    <row r="7" spans="1:22" s="160" customFormat="1">
      <c r="A7" s="415" t="str">
        <f>'1-συμβολαια'!A7</f>
        <v>4ο</v>
      </c>
      <c r="B7" s="412" t="str">
        <f>'1-συμβολαια'!C7</f>
        <v>υποθήκης ???? 12.000.000δρχ ΕΞΑΛΕΙΨΗ</v>
      </c>
      <c r="C7" s="382"/>
      <c r="D7" s="488"/>
      <c r="E7" s="488"/>
      <c r="F7" s="383"/>
      <c r="G7" s="383"/>
      <c r="H7" s="413"/>
      <c r="I7" s="414"/>
      <c r="J7" s="414"/>
      <c r="K7" s="414"/>
      <c r="L7" s="414"/>
      <c r="M7" s="414"/>
      <c r="N7" s="383"/>
      <c r="O7" s="383"/>
      <c r="P7" s="383"/>
      <c r="Q7" s="383"/>
      <c r="R7" s="418"/>
      <c r="S7" s="383"/>
      <c r="T7" s="383"/>
      <c r="U7" s="383"/>
      <c r="V7" s="383"/>
    </row>
    <row r="8" spans="1:22" s="160" customFormat="1">
      <c r="A8" s="415">
        <f>'1-συμβολαια'!A8</f>
        <v>0</v>
      </c>
      <c r="B8" s="412" t="str">
        <f>'1-συμβολαια'!C8</f>
        <v>δανείου ??? 12.000.000δρχ …. ΕΞΟΦΛΗΣΗ</v>
      </c>
      <c r="C8" s="382">
        <f>'1-συμβολαια'!L8</f>
        <v>389.88758600000006</v>
      </c>
      <c r="D8" s="488"/>
      <c r="E8" s="488">
        <f t="shared" si="0"/>
        <v>389.88758600000006</v>
      </c>
      <c r="F8" s="383">
        <v>61</v>
      </c>
      <c r="G8" s="383">
        <v>62</v>
      </c>
      <c r="H8" s="413"/>
      <c r="I8" s="414"/>
      <c r="J8" s="414"/>
      <c r="K8" s="414"/>
      <c r="L8" s="414"/>
      <c r="M8" s="414">
        <v>1</v>
      </c>
      <c r="N8" s="383"/>
      <c r="O8" s="383"/>
      <c r="P8" s="383"/>
      <c r="Q8" s="383"/>
      <c r="R8" s="418"/>
      <c r="S8" s="383"/>
      <c r="T8" s="383"/>
      <c r="U8" s="383"/>
      <c r="V8" s="383"/>
    </row>
    <row r="9" spans="1:22" s="160" customFormat="1">
      <c r="A9" s="415">
        <f>'1-συμβολαια'!A9</f>
        <v>0</v>
      </c>
      <c r="B9" s="412" t="str">
        <f>'1-συμβολαια'!C9</f>
        <v>δανείου ???? ΤΟΚΟΙ</v>
      </c>
      <c r="C9" s="382">
        <f>'1-συμβολαια'!L9</f>
        <v>824.01325400000007</v>
      </c>
      <c r="D9" s="488"/>
      <c r="E9" s="488">
        <f t="shared" si="0"/>
        <v>824.01325400000007</v>
      </c>
      <c r="F9" s="383">
        <v>61</v>
      </c>
      <c r="G9" s="383">
        <v>62</v>
      </c>
      <c r="H9" s="413"/>
      <c r="I9" s="414"/>
      <c r="J9" s="414"/>
      <c r="K9" s="414"/>
      <c r="L9" s="414"/>
      <c r="M9" s="414">
        <v>1</v>
      </c>
      <c r="N9" s="383"/>
      <c r="O9" s="383"/>
      <c r="P9" s="383"/>
      <c r="Q9" s="383"/>
      <c r="R9" s="418"/>
      <c r="S9" s="383"/>
      <c r="T9" s="383"/>
      <c r="U9" s="383"/>
      <c r="V9" s="383"/>
    </row>
    <row r="10" spans="1:22" s="108" customFormat="1">
      <c r="A10" s="112"/>
      <c r="B10" s="120"/>
      <c r="C10" s="107"/>
      <c r="D10" s="489"/>
      <c r="E10" s="489"/>
      <c r="F10" s="113"/>
      <c r="G10" s="113"/>
      <c r="H10" s="162"/>
      <c r="I10" s="207"/>
      <c r="J10" s="207"/>
      <c r="K10" s="207"/>
      <c r="L10" s="207"/>
      <c r="M10" s="207"/>
      <c r="N10" s="113"/>
      <c r="O10" s="113"/>
      <c r="P10" s="113"/>
      <c r="Q10" s="113"/>
      <c r="R10" s="417"/>
      <c r="S10" s="113"/>
      <c r="T10" s="113"/>
      <c r="U10" s="113"/>
      <c r="V10" s="113"/>
    </row>
    <row r="11" spans="1:22" s="160" customFormat="1">
      <c r="A11" s="415" t="str">
        <f>'1-συμβολαια'!A11</f>
        <v>5ο</v>
      </c>
      <c r="B11" s="412" t="str">
        <f>'1-συμβολαια'!C11</f>
        <v>υποθήκης 1ου   κύρου ;;;???;;;δρχ ΕΞΑΛΕΙΨΗ</v>
      </c>
      <c r="C11" s="382"/>
      <c r="D11" s="488"/>
      <c r="E11" s="488"/>
      <c r="F11" s="383"/>
      <c r="G11" s="383"/>
      <c r="H11" s="413"/>
      <c r="I11" s="414"/>
      <c r="J11" s="414"/>
      <c r="K11" s="414"/>
      <c r="L11" s="414"/>
      <c r="M11" s="414"/>
      <c r="N11" s="383"/>
      <c r="O11" s="383"/>
      <c r="P11" s="383"/>
      <c r="Q11" s="383"/>
      <c r="R11" s="418"/>
      <c r="S11" s="383"/>
      <c r="T11" s="383"/>
      <c r="U11" s="383"/>
      <c r="V11" s="383"/>
    </row>
    <row r="12" spans="1:22" s="160" customFormat="1">
      <c r="A12" s="415">
        <f>'1-συμβολαια'!A12</f>
        <v>0</v>
      </c>
      <c r="B12" s="412" t="str">
        <f>'1-συμβολαια'!C12</f>
        <v>δανείου 1ου   κύρου 1.050.000δρχ ...ΕΞΟΦΛΗΣΗ</v>
      </c>
      <c r="C12" s="382">
        <f>'1-συμβολαια'!L12</f>
        <v>30.68</v>
      </c>
      <c r="D12" s="488"/>
      <c r="E12" s="488">
        <f t="shared" si="0"/>
        <v>30.68</v>
      </c>
      <c r="F12" s="383">
        <v>61</v>
      </c>
      <c r="G12" s="383">
        <v>62</v>
      </c>
      <c r="H12" s="413"/>
      <c r="I12" s="414"/>
      <c r="J12" s="414"/>
      <c r="K12" s="414"/>
      <c r="L12" s="414"/>
      <c r="M12" s="414">
        <v>1</v>
      </c>
      <c r="N12" s="383"/>
      <c r="O12" s="383"/>
      <c r="P12" s="383"/>
      <c r="Q12" s="383"/>
      <c r="R12" s="418"/>
      <c r="S12" s="383"/>
      <c r="T12" s="383"/>
      <c r="U12" s="383"/>
      <c r="V12" s="383"/>
    </row>
    <row r="13" spans="1:22" s="160" customFormat="1">
      <c r="A13" s="415">
        <f>'1-συμβολαια'!A13</f>
        <v>0</v>
      </c>
      <c r="B13" s="412" t="str">
        <f>'1-συμβολαια'!C13</f>
        <v>δανείου 1ου   κύρου ΤΟΚΟΙ {προπληρωθέντες VS υπερβάλλοντες}</v>
      </c>
      <c r="C13" s="382">
        <f>'1-συμβολαια'!L13</f>
        <v>37.479931999999998</v>
      </c>
      <c r="D13" s="488"/>
      <c r="E13" s="488">
        <f t="shared" si="0"/>
        <v>37.479931999999998</v>
      </c>
      <c r="F13" s="383">
        <v>61</v>
      </c>
      <c r="G13" s="383">
        <v>62</v>
      </c>
      <c r="H13" s="413"/>
      <c r="I13" s="414"/>
      <c r="J13" s="414"/>
      <c r="K13" s="414"/>
      <c r="L13" s="414"/>
      <c r="M13" s="414">
        <v>1</v>
      </c>
      <c r="N13" s="383"/>
      <c r="O13" s="383"/>
      <c r="P13" s="383"/>
      <c r="Q13" s="383"/>
      <c r="R13" s="418"/>
      <c r="S13" s="383"/>
      <c r="T13" s="383"/>
      <c r="U13" s="383"/>
      <c r="V13" s="383"/>
    </row>
    <row r="14" spans="1:22" s="108" customFormat="1">
      <c r="A14" s="112"/>
      <c r="B14" s="120"/>
      <c r="C14" s="107"/>
      <c r="D14" s="489"/>
      <c r="E14" s="489"/>
      <c r="F14" s="113"/>
      <c r="G14" s="113"/>
      <c r="H14" s="162"/>
      <c r="I14" s="207"/>
      <c r="J14" s="207"/>
      <c r="K14" s="207"/>
      <c r="L14" s="207"/>
      <c r="M14" s="207"/>
      <c r="N14" s="113"/>
      <c r="O14" s="113"/>
      <c r="P14" s="113"/>
      <c r="Q14" s="113"/>
      <c r="R14" s="417"/>
      <c r="S14" s="113"/>
      <c r="T14" s="113"/>
      <c r="U14" s="113"/>
      <c r="V14" s="113"/>
    </row>
    <row r="15" spans="1:22" s="160" customFormat="1">
      <c r="A15" s="415" t="str">
        <f>'1-συμβολαια'!A15</f>
        <v>6ο</v>
      </c>
      <c r="B15" s="412" t="str">
        <f>'1-συμβολαια'!C15</f>
        <v>υποθήκης 2ου   κύρου ;;;???;;;δρχ …..ΕΞΑΛΕΙΨΗ</v>
      </c>
      <c r="C15" s="382"/>
      <c r="D15" s="488"/>
      <c r="E15" s="488"/>
      <c r="F15" s="383"/>
      <c r="G15" s="383"/>
      <c r="H15" s="413"/>
      <c r="I15" s="414"/>
      <c r="J15" s="414"/>
      <c r="K15" s="414"/>
      <c r="L15" s="414"/>
      <c r="M15" s="414"/>
      <c r="N15" s="383"/>
      <c r="O15" s="383"/>
      <c r="P15" s="383"/>
      <c r="Q15" s="383"/>
      <c r="R15" s="418"/>
      <c r="S15" s="383"/>
      <c r="T15" s="383"/>
      <c r="U15" s="383"/>
      <c r="V15" s="383"/>
    </row>
    <row r="16" spans="1:22" s="160" customFormat="1">
      <c r="A16" s="415">
        <f>'1-συμβολαια'!A16</f>
        <v>0</v>
      </c>
      <c r="B16" s="412" t="str">
        <f>'1-συμβολαια'!C16</f>
        <v>δανείου 2ου   κύρου 7000.000δρχ …..ΕΞΟΦΛΗΣΗ</v>
      </c>
      <c r="C16" s="382">
        <f>'1-συμβολαια'!L16</f>
        <v>30.68</v>
      </c>
      <c r="D16" s="488"/>
      <c r="E16" s="488">
        <f t="shared" si="0"/>
        <v>30.68</v>
      </c>
      <c r="F16" s="383">
        <v>61</v>
      </c>
      <c r="G16" s="383">
        <v>62</v>
      </c>
      <c r="H16" s="413"/>
      <c r="I16" s="414"/>
      <c r="J16" s="414"/>
      <c r="K16" s="414"/>
      <c r="L16" s="414"/>
      <c r="M16" s="414">
        <v>1</v>
      </c>
      <c r="N16" s="383"/>
      <c r="O16" s="383"/>
      <c r="P16" s="383"/>
      <c r="Q16" s="383"/>
      <c r="R16" s="418"/>
      <c r="S16" s="383"/>
      <c r="T16" s="383"/>
      <c r="U16" s="383"/>
      <c r="V16" s="383"/>
    </row>
    <row r="17" spans="1:22" s="160" customFormat="1">
      <c r="A17" s="415">
        <f>'1-συμβολαια'!A17</f>
        <v>0</v>
      </c>
      <c r="B17" s="412" t="str">
        <f>'1-συμβολαια'!C17</f>
        <v>δανείου 2ου    κύρου …. ΤΟΚΟΙ {προπληρωθέντες VS υπερβάλλοντες}</v>
      </c>
      <c r="C17" s="382">
        <f>'1-συμβολαια'!L17</f>
        <v>35.213288000000006</v>
      </c>
      <c r="D17" s="488"/>
      <c r="E17" s="488">
        <f t="shared" si="0"/>
        <v>35.213288000000006</v>
      </c>
      <c r="F17" s="383">
        <v>61</v>
      </c>
      <c r="G17" s="383">
        <v>62</v>
      </c>
      <c r="H17" s="413"/>
      <c r="I17" s="414"/>
      <c r="J17" s="414"/>
      <c r="K17" s="414"/>
      <c r="L17" s="414"/>
      <c r="M17" s="414">
        <v>1</v>
      </c>
      <c r="N17" s="383"/>
      <c r="O17" s="383"/>
      <c r="P17" s="383"/>
      <c r="Q17" s="383"/>
      <c r="R17" s="418"/>
      <c r="S17" s="383"/>
      <c r="T17" s="383"/>
      <c r="U17" s="383"/>
      <c r="V17" s="383"/>
    </row>
    <row r="18" spans="1:22" s="108" customFormat="1">
      <c r="A18" s="112"/>
      <c r="B18" s="120"/>
      <c r="C18" s="107"/>
      <c r="D18" s="489"/>
      <c r="E18" s="489"/>
      <c r="F18" s="113"/>
      <c r="G18" s="113"/>
      <c r="H18" s="162"/>
      <c r="I18" s="207"/>
      <c r="J18" s="207"/>
      <c r="K18" s="207"/>
      <c r="L18" s="207"/>
      <c r="M18" s="207"/>
      <c r="N18" s="113"/>
      <c r="O18" s="113"/>
      <c r="P18" s="113"/>
      <c r="Q18" s="113"/>
      <c r="R18" s="417"/>
      <c r="S18" s="113"/>
      <c r="T18" s="113"/>
      <c r="U18" s="113"/>
      <c r="V18" s="113"/>
    </row>
    <row r="19" spans="1:22" s="160" customFormat="1">
      <c r="A19" s="415" t="str">
        <f>'1-συμβολαια'!A19</f>
        <v>7ο</v>
      </c>
      <c r="B19" s="412" t="str">
        <f>'1-συμβολαια'!C19</f>
        <v>υποθήκης ???? 2.168.354δρχ …. ΕΞΑΛΕΙΨΗ</v>
      </c>
      <c r="C19" s="382"/>
      <c r="D19" s="488"/>
      <c r="E19" s="488"/>
      <c r="F19" s="383"/>
      <c r="G19" s="383"/>
      <c r="H19" s="413"/>
      <c r="I19" s="414"/>
      <c r="J19" s="414"/>
      <c r="K19" s="414"/>
      <c r="L19" s="414"/>
      <c r="M19" s="414"/>
      <c r="N19" s="383"/>
      <c r="O19" s="383"/>
      <c r="P19" s="383"/>
      <c r="Q19" s="383"/>
      <c r="R19" s="418"/>
      <c r="S19" s="383"/>
      <c r="T19" s="383"/>
      <c r="U19" s="383"/>
      <c r="V19" s="383"/>
    </row>
    <row r="20" spans="1:22" s="160" customFormat="1">
      <c r="A20" s="415">
        <f>'1-συμβολαια'!A20</f>
        <v>0</v>
      </c>
      <c r="B20" s="412" t="str">
        <f>'1-συμβολαια'!C20</f>
        <v>δανείου ??? 2.168.354δρχ ….. ΕΞΟΦΛΗΣΗ</v>
      </c>
      <c r="C20" s="382">
        <f>'1-συμβολαια'!L20</f>
        <v>95.587394000000003</v>
      </c>
      <c r="D20" s="488"/>
      <c r="E20" s="488">
        <f t="shared" si="0"/>
        <v>95.587394000000003</v>
      </c>
      <c r="F20" s="383">
        <v>61</v>
      </c>
      <c r="G20" s="383">
        <v>62</v>
      </c>
      <c r="H20" s="413"/>
      <c r="I20" s="414"/>
      <c r="J20" s="414"/>
      <c r="K20" s="414"/>
      <c r="L20" s="414"/>
      <c r="M20" s="414">
        <v>1</v>
      </c>
      <c r="N20" s="383"/>
      <c r="O20" s="383"/>
      <c r="P20" s="383"/>
      <c r="Q20" s="383"/>
      <c r="R20" s="418"/>
      <c r="S20" s="383"/>
      <c r="T20" s="383"/>
      <c r="U20" s="383"/>
      <c r="V20" s="383"/>
    </row>
    <row r="21" spans="1:22" s="160" customFormat="1">
      <c r="A21" s="415">
        <f>'1-συμβολαια'!A21</f>
        <v>0</v>
      </c>
      <c r="B21" s="412" t="str">
        <f>'1-συμβολαια'!C21</f>
        <v>δανείου ???? ΤΟΚΟΙ</v>
      </c>
      <c r="C21" s="382">
        <f>'1-συμβολαια'!L21</f>
        <v>178.01328799999999</v>
      </c>
      <c r="D21" s="488"/>
      <c r="E21" s="488">
        <f t="shared" si="0"/>
        <v>178.01328799999999</v>
      </c>
      <c r="F21" s="383">
        <v>61</v>
      </c>
      <c r="G21" s="383">
        <v>62</v>
      </c>
      <c r="H21" s="413"/>
      <c r="I21" s="414"/>
      <c r="J21" s="414"/>
      <c r="K21" s="414"/>
      <c r="L21" s="414"/>
      <c r="M21" s="414">
        <v>1</v>
      </c>
      <c r="N21" s="383"/>
      <c r="O21" s="383"/>
      <c r="P21" s="383"/>
      <c r="Q21" s="383"/>
      <c r="R21" s="418"/>
      <c r="S21" s="383"/>
      <c r="T21" s="383"/>
      <c r="U21" s="383"/>
      <c r="V21" s="383"/>
    </row>
    <row r="22" spans="1:22" s="108" customFormat="1">
      <c r="A22" s="112"/>
      <c r="B22" s="120"/>
      <c r="C22" s="107"/>
      <c r="D22" s="489"/>
      <c r="E22" s="489"/>
      <c r="F22" s="113"/>
      <c r="G22" s="113"/>
      <c r="H22" s="162"/>
      <c r="I22" s="207"/>
      <c r="J22" s="207"/>
      <c r="K22" s="207"/>
      <c r="L22" s="207"/>
      <c r="M22" s="207"/>
      <c r="N22" s="113"/>
      <c r="O22" s="113"/>
      <c r="P22" s="113"/>
      <c r="Q22" s="113"/>
      <c r="R22" s="417"/>
      <c r="S22" s="113"/>
      <c r="T22" s="113"/>
      <c r="U22" s="113"/>
      <c r="V22" s="113"/>
    </row>
    <row r="23" spans="1:22" s="160" customFormat="1">
      <c r="A23" s="441">
        <f>'1-συμβολαια'!A23</f>
        <v>0</v>
      </c>
      <c r="B23" s="412" t="str">
        <f>'1-συμβολαια'!C23</f>
        <v>'του πλήρωσα ΚΑΙ τους φόρους''</v>
      </c>
      <c r="C23" s="382"/>
      <c r="D23" s="488"/>
      <c r="E23" s="488"/>
      <c r="F23" s="383"/>
      <c r="G23" s="383"/>
      <c r="H23" s="413"/>
      <c r="I23" s="414"/>
      <c r="J23" s="414"/>
      <c r="K23" s="414"/>
      <c r="L23" s="414"/>
      <c r="M23" s="414"/>
      <c r="N23" s="383"/>
      <c r="O23" s="383"/>
      <c r="P23" s="383"/>
      <c r="Q23" s="383"/>
      <c r="R23" s="418"/>
      <c r="S23" s="383"/>
      <c r="T23" s="383"/>
      <c r="U23" s="383"/>
      <c r="V23" s="383"/>
    </row>
    <row r="24" spans="1:22" ht="15.75">
      <c r="A24" s="546" t="s">
        <v>47</v>
      </c>
      <c r="B24" s="547"/>
      <c r="C24" s="109">
        <f>SUM(C3:C23)</f>
        <v>2187.4229600000003</v>
      </c>
      <c r="D24" s="109">
        <f>SUM(D3:D23)</f>
        <v>0</v>
      </c>
      <c r="E24" s="109">
        <f>SUM(E3:E23)</f>
        <v>2187.4229600000003</v>
      </c>
      <c r="I24" s="72">
        <f t="shared" ref="I24:T24" si="1">SUM(I3:I23)</f>
        <v>0</v>
      </c>
      <c r="J24" s="72">
        <f t="shared" si="1"/>
        <v>0</v>
      </c>
      <c r="K24" s="72">
        <f t="shared" si="1"/>
        <v>0</v>
      </c>
      <c r="L24" s="72">
        <f t="shared" si="1"/>
        <v>0</v>
      </c>
      <c r="M24" s="72">
        <f t="shared" si="1"/>
        <v>10</v>
      </c>
      <c r="N24" s="72">
        <f t="shared" si="1"/>
        <v>0</v>
      </c>
      <c r="O24" s="72">
        <f t="shared" si="1"/>
        <v>0</v>
      </c>
      <c r="P24" s="72">
        <f t="shared" si="1"/>
        <v>0</v>
      </c>
      <c r="Q24" s="72">
        <f t="shared" si="1"/>
        <v>0</v>
      </c>
      <c r="R24" s="72">
        <f t="shared" si="1"/>
        <v>0</v>
      </c>
      <c r="S24" s="72">
        <f t="shared" si="1"/>
        <v>0</v>
      </c>
      <c r="T24" s="72">
        <f t="shared" si="1"/>
        <v>0</v>
      </c>
    </row>
    <row r="25" spans="1:22"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</row>
    <row r="26" spans="1:22" ht="15.75">
      <c r="F26" s="185" t="s">
        <v>245</v>
      </c>
      <c r="G26" s="148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322"/>
      <c r="U26" s="322"/>
      <c r="V26" s="323"/>
    </row>
    <row r="27" spans="1:22" ht="15.75">
      <c r="F27" s="324"/>
      <c r="G27" s="164" t="s">
        <v>246</v>
      </c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3"/>
    </row>
    <row r="28" spans="1:22" ht="15.75">
      <c r="F28" s="323"/>
      <c r="G28" s="323"/>
      <c r="H28" s="185" t="s">
        <v>247</v>
      </c>
      <c r="I28" s="148"/>
      <c r="J28" s="148"/>
      <c r="K28" s="148"/>
      <c r="L28" s="322"/>
      <c r="M28" s="322"/>
      <c r="N28" s="322"/>
      <c r="O28" s="322"/>
      <c r="P28" s="322"/>
      <c r="Q28" s="322"/>
      <c r="R28" s="322"/>
      <c r="S28" s="322"/>
      <c r="T28" s="322"/>
      <c r="U28" s="322"/>
      <c r="V28" s="323"/>
    </row>
    <row r="29" spans="1:22" ht="15.75">
      <c r="F29" s="323"/>
      <c r="G29" s="324"/>
      <c r="H29" s="323"/>
      <c r="I29" s="164" t="s">
        <v>271</v>
      </c>
      <c r="J29" s="164"/>
      <c r="K29" s="164"/>
      <c r="L29" s="325"/>
      <c r="M29" s="325"/>
      <c r="N29" s="325"/>
      <c r="O29" s="325"/>
      <c r="P29" s="325"/>
      <c r="Q29" s="325"/>
      <c r="R29" s="325"/>
      <c r="S29" s="325"/>
      <c r="T29" s="325"/>
      <c r="U29" s="322"/>
      <c r="V29" s="323"/>
    </row>
    <row r="30" spans="1:22" ht="15.75">
      <c r="F30" s="323"/>
      <c r="G30" s="324"/>
      <c r="H30" s="323"/>
      <c r="I30" s="164"/>
      <c r="J30" s="185" t="s">
        <v>418</v>
      </c>
      <c r="K30" s="164"/>
      <c r="L30" s="325"/>
      <c r="M30" s="325"/>
      <c r="N30" s="325"/>
      <c r="O30" s="325"/>
      <c r="P30" s="325"/>
      <c r="Q30" s="325"/>
      <c r="R30" s="325"/>
      <c r="S30" s="325"/>
      <c r="T30" s="325"/>
      <c r="U30" s="322"/>
      <c r="V30" s="323"/>
    </row>
    <row r="31" spans="1:22" ht="15.75">
      <c r="F31" s="323"/>
      <c r="G31" s="324"/>
      <c r="H31" s="323"/>
      <c r="I31" s="164"/>
      <c r="J31" s="164"/>
      <c r="K31" s="164" t="s">
        <v>419</v>
      </c>
      <c r="L31" s="325"/>
      <c r="M31" s="325"/>
      <c r="N31" s="325"/>
      <c r="O31" s="325"/>
      <c r="P31" s="325"/>
      <c r="Q31" s="325"/>
      <c r="R31" s="325"/>
      <c r="S31" s="325"/>
      <c r="T31" s="325"/>
      <c r="U31" s="322"/>
      <c r="V31" s="323"/>
    </row>
    <row r="32" spans="1:22" ht="15.75">
      <c r="F32" s="323"/>
      <c r="G32" s="323"/>
      <c r="H32" s="322"/>
      <c r="I32" s="325"/>
      <c r="J32" s="325"/>
      <c r="K32" s="325"/>
      <c r="L32" s="185" t="s">
        <v>420</v>
      </c>
      <c r="M32" s="325"/>
      <c r="N32" s="325"/>
      <c r="O32" s="325"/>
      <c r="P32" s="325"/>
      <c r="Q32" s="325"/>
      <c r="R32" s="325"/>
      <c r="S32" s="325"/>
      <c r="T32" s="325"/>
      <c r="U32" s="322"/>
      <c r="V32" s="323"/>
    </row>
    <row r="33" spans="2:22" ht="15.75">
      <c r="C33" s="124">
        <f>SUM(C25:C26)</f>
        <v>0</v>
      </c>
      <c r="F33" s="322"/>
      <c r="G33" s="322"/>
      <c r="H33" s="322"/>
      <c r="I33" s="325"/>
      <c r="J33" s="325"/>
      <c r="K33" s="325"/>
      <c r="L33" s="325"/>
      <c r="M33" s="164" t="s">
        <v>272</v>
      </c>
      <c r="N33" s="325"/>
      <c r="O33" s="325"/>
      <c r="P33" s="325"/>
      <c r="Q33" s="325"/>
      <c r="R33" s="325"/>
      <c r="S33" s="325"/>
      <c r="T33" s="325"/>
      <c r="U33" s="322"/>
      <c r="V33" s="323"/>
    </row>
    <row r="34" spans="2:22" ht="15.75">
      <c r="F34" s="323"/>
      <c r="G34" s="323"/>
      <c r="H34" s="322"/>
      <c r="I34" s="325"/>
      <c r="J34" s="325"/>
      <c r="K34" s="325"/>
      <c r="L34" s="325"/>
      <c r="M34" s="325"/>
      <c r="N34" s="185" t="s">
        <v>421</v>
      </c>
      <c r="O34" s="325"/>
      <c r="P34" s="325"/>
      <c r="Q34" s="325"/>
      <c r="R34" s="325"/>
      <c r="S34" s="325"/>
      <c r="T34" s="325"/>
      <c r="U34" s="322"/>
      <c r="V34" s="323"/>
    </row>
    <row r="35" spans="2:22" ht="15.75">
      <c r="F35" s="323"/>
      <c r="G35" s="323"/>
      <c r="H35" s="322"/>
      <c r="I35" s="325"/>
      <c r="J35" s="325"/>
      <c r="K35" s="325"/>
      <c r="L35" s="325"/>
      <c r="M35" s="325"/>
      <c r="N35" s="325"/>
      <c r="O35" s="164" t="s">
        <v>422</v>
      </c>
      <c r="P35" s="325"/>
      <c r="Q35" s="325"/>
      <c r="R35" s="325"/>
      <c r="S35" s="325"/>
      <c r="T35" s="325"/>
      <c r="U35" s="322"/>
      <c r="V35" s="323"/>
    </row>
    <row r="36" spans="2:22" ht="15.75">
      <c r="F36" s="323"/>
      <c r="G36" s="323"/>
      <c r="H36" s="322"/>
      <c r="I36" s="325"/>
      <c r="J36" s="325"/>
      <c r="K36" s="325"/>
      <c r="L36" s="325"/>
      <c r="M36" s="325"/>
      <c r="N36" s="325"/>
      <c r="O36" s="325"/>
      <c r="P36" s="185" t="s">
        <v>273</v>
      </c>
      <c r="Q36" s="325"/>
      <c r="R36" s="325"/>
      <c r="S36" s="325"/>
      <c r="T36" s="325"/>
      <c r="U36" s="322"/>
      <c r="V36" s="323"/>
    </row>
    <row r="37" spans="2:22" ht="15.75">
      <c r="F37" s="323"/>
      <c r="G37" s="323"/>
      <c r="H37" s="322"/>
      <c r="I37" s="325"/>
      <c r="J37" s="325"/>
      <c r="K37" s="325"/>
      <c r="L37" s="325"/>
      <c r="M37" s="325"/>
      <c r="N37" s="325"/>
      <c r="O37" s="325"/>
      <c r="P37" s="325"/>
      <c r="Q37" s="164" t="s">
        <v>274</v>
      </c>
      <c r="R37" s="164"/>
      <c r="S37" s="164"/>
      <c r="T37" s="325"/>
      <c r="U37" s="322"/>
      <c r="V37" s="323"/>
    </row>
    <row r="38" spans="2:22" ht="15.75">
      <c r="F38" s="323"/>
      <c r="G38" s="323"/>
      <c r="H38" s="322"/>
      <c r="I38" s="325"/>
      <c r="J38" s="325"/>
      <c r="K38" s="325"/>
      <c r="L38" s="325"/>
      <c r="M38" s="325"/>
      <c r="N38" s="325"/>
      <c r="O38" s="325"/>
      <c r="P38" s="325"/>
      <c r="Q38" s="325"/>
      <c r="R38" s="185" t="s">
        <v>275</v>
      </c>
      <c r="S38" s="325"/>
      <c r="T38" s="325"/>
      <c r="U38" s="322"/>
      <c r="V38" s="323"/>
    </row>
    <row r="39" spans="2:22" ht="15.75">
      <c r="F39" s="323"/>
      <c r="G39" s="323"/>
      <c r="H39" s="322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164" t="s">
        <v>276</v>
      </c>
      <c r="T39" s="325"/>
      <c r="U39" s="322"/>
      <c r="V39" s="323"/>
    </row>
    <row r="40" spans="2:22" ht="15.75">
      <c r="F40" s="323"/>
      <c r="G40" s="323"/>
      <c r="H40" s="322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5"/>
      <c r="T40" s="185" t="s">
        <v>423</v>
      </c>
      <c r="U40" s="322"/>
      <c r="V40" s="323"/>
    </row>
    <row r="41" spans="2:22">
      <c r="F41" s="323"/>
      <c r="G41" s="323"/>
      <c r="H41" s="322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2"/>
      <c r="T41" s="322"/>
      <c r="U41" s="322"/>
      <c r="V41" s="323"/>
    </row>
    <row r="42" spans="2:22" ht="15.75" customHeight="1">
      <c r="B42" s="256"/>
      <c r="C42" s="360"/>
      <c r="D42" s="362"/>
      <c r="E42" s="361"/>
      <c r="F42" s="361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</row>
    <row r="43" spans="2:22" ht="15.75" customHeight="1">
      <c r="B43" s="255"/>
      <c r="C43" s="132"/>
      <c r="D43" s="362"/>
      <c r="E43" s="361"/>
      <c r="F43" s="361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</row>
    <row r="44" spans="2:22"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</row>
    <row r="45" spans="2:22"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</row>
    <row r="46" spans="2:22"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</row>
    <row r="47" spans="2:22">
      <c r="D47" s="362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</row>
    <row r="48" spans="2:22"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</row>
    <row r="49" spans="8:21"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</row>
    <row r="50" spans="8:21"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</row>
    <row r="51" spans="8:21"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</row>
    <row r="52" spans="8:21"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</row>
    <row r="53" spans="8:21"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</row>
  </sheetData>
  <mergeCells count="5">
    <mergeCell ref="A1:A2"/>
    <mergeCell ref="B1:B2"/>
    <mergeCell ref="C1:E1"/>
    <mergeCell ref="A24:B24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55"/>
  <sheetViews>
    <sheetView topLeftCell="AA1" workbookViewId="0">
      <pane ySplit="2" topLeftCell="A3" activePane="bottomLeft" state="frozen"/>
      <selection pane="bottomLeft" activeCell="AW19" sqref="AW19:AY19"/>
    </sheetView>
  </sheetViews>
  <sheetFormatPr defaultRowHeight="11.25"/>
  <cols>
    <col min="1" max="1" width="9" style="8" customWidth="1"/>
    <col min="2" max="2" width="37.42578125" style="170" customWidth="1"/>
    <col min="3" max="4" width="9.42578125" style="2" customWidth="1"/>
    <col min="5" max="5" width="9.42578125" style="86" customWidth="1"/>
    <col min="6" max="6" width="8.140625" style="86" customWidth="1"/>
    <col min="7" max="7" width="10.7109375" style="86" customWidth="1"/>
    <col min="8" max="8" width="9.42578125" style="86" customWidth="1"/>
    <col min="9" max="10" width="7.85546875" style="86" customWidth="1"/>
    <col min="11" max="11" width="7.42578125" style="86" customWidth="1"/>
    <col min="12" max="12" width="6.85546875" style="86" customWidth="1"/>
    <col min="13" max="25" width="7.140625" style="86" customWidth="1"/>
    <col min="26" max="26" width="6.140625" style="421" customWidth="1"/>
    <col min="27" max="27" width="7.140625" style="86" customWidth="1"/>
    <col min="28" max="28" width="6.140625" style="86" customWidth="1"/>
    <col min="29" max="29" width="7" style="421" customWidth="1"/>
    <col min="30" max="31" width="6.140625" style="86" customWidth="1"/>
    <col min="32" max="32" width="7.85546875" style="86" customWidth="1"/>
    <col min="33" max="33" width="16.28515625" style="86" customWidth="1"/>
    <col min="34" max="35" width="7.140625" style="86" customWidth="1"/>
    <col min="36" max="36" width="8.140625" style="86" customWidth="1"/>
    <col min="37" max="37" width="7.7109375" style="86" customWidth="1"/>
    <col min="38" max="38" width="7" style="86" customWidth="1"/>
    <col min="39" max="39" width="6.140625" style="86" customWidth="1"/>
    <col min="40" max="44" width="7.85546875" style="86" customWidth="1"/>
    <col min="45" max="47" width="6.140625" style="86" customWidth="1"/>
    <col min="48" max="48" width="8.28515625" style="86" customWidth="1"/>
    <col min="49" max="49" width="9.28515625" style="86" customWidth="1"/>
    <col min="50" max="50" width="6.140625" style="86" customWidth="1"/>
    <col min="51" max="51" width="9.5703125" style="86" customWidth="1"/>
    <col min="52" max="53" width="6.140625" style="86" customWidth="1"/>
    <col min="54" max="54" width="8" style="86" customWidth="1"/>
    <col min="55" max="56" width="6.140625" style="86" customWidth="1"/>
    <col min="57" max="57" width="7.42578125" style="421" customWidth="1"/>
    <col min="58" max="58" width="8.5703125" style="421" customWidth="1"/>
    <col min="59" max="59" width="7.5703125" style="421" customWidth="1"/>
    <col min="60" max="65" width="6.140625" style="421" customWidth="1"/>
    <col min="66" max="66" width="6.7109375" style="421" customWidth="1"/>
    <col min="67" max="68" width="6.140625" style="421" customWidth="1"/>
    <col min="69" max="69" width="5.5703125" style="421" customWidth="1"/>
    <col min="70" max="77" width="10.5703125" style="421" customWidth="1"/>
    <col min="78" max="78" width="9.42578125" style="86" bestFit="1" customWidth="1"/>
    <col min="79" max="79" width="9.7109375" style="86" bestFit="1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06" t="s">
        <v>1</v>
      </c>
      <c r="B1" s="683" t="s">
        <v>0</v>
      </c>
      <c r="C1" s="686" t="s">
        <v>93</v>
      </c>
      <c r="D1" s="687"/>
      <c r="E1" s="674" t="s">
        <v>94</v>
      </c>
      <c r="F1" s="674"/>
      <c r="G1" s="674"/>
      <c r="H1" s="675" t="s">
        <v>176</v>
      </c>
      <c r="I1" s="675"/>
      <c r="J1" s="675"/>
      <c r="K1" s="674" t="s">
        <v>180</v>
      </c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4"/>
      <c r="Z1" s="674"/>
      <c r="AA1" s="674"/>
      <c r="AB1" s="674"/>
      <c r="AC1" s="674"/>
      <c r="AD1" s="674"/>
      <c r="AE1" s="674"/>
      <c r="AF1" s="674"/>
      <c r="AG1" s="674"/>
      <c r="AH1" s="685" t="s">
        <v>181</v>
      </c>
      <c r="AI1" s="685"/>
      <c r="AJ1" s="685"/>
      <c r="AK1" s="685"/>
      <c r="AL1" s="685"/>
      <c r="AM1" s="685"/>
      <c r="AN1" s="685"/>
      <c r="AO1" s="685"/>
      <c r="AP1" s="685"/>
      <c r="AQ1" s="685"/>
      <c r="AR1" s="685"/>
      <c r="AS1" s="685"/>
      <c r="AT1" s="685"/>
      <c r="AU1" s="685"/>
      <c r="AV1" s="685"/>
      <c r="AW1" s="676" t="s">
        <v>196</v>
      </c>
      <c r="AX1" s="677"/>
      <c r="AY1" s="677"/>
      <c r="AZ1" s="677"/>
      <c r="BA1" s="677"/>
      <c r="BB1" s="678"/>
      <c r="BC1" s="679" t="s">
        <v>200</v>
      </c>
      <c r="BD1" s="680"/>
      <c r="BE1" s="680"/>
      <c r="BF1" s="681"/>
      <c r="BG1" s="682" t="s">
        <v>188</v>
      </c>
      <c r="BH1" s="682"/>
      <c r="BI1" s="682"/>
      <c r="BJ1" s="682"/>
      <c r="BK1" s="682"/>
      <c r="BL1" s="682"/>
      <c r="BM1" s="682"/>
      <c r="BN1" s="682"/>
      <c r="BO1" s="682"/>
      <c r="BP1" s="682"/>
      <c r="BQ1" s="682"/>
      <c r="BR1" s="682"/>
      <c r="BS1" s="688" t="s">
        <v>516</v>
      </c>
      <c r="BT1" s="689"/>
      <c r="BU1" s="689"/>
      <c r="BV1" s="689"/>
      <c r="BW1" s="689"/>
      <c r="BX1" s="690"/>
      <c r="BY1" s="691" t="s">
        <v>517</v>
      </c>
      <c r="BZ1" s="673" t="s">
        <v>297</v>
      </c>
      <c r="CA1" s="673"/>
      <c r="CB1" s="673"/>
    </row>
    <row r="2" spans="1:80" ht="23.25" thickBot="1">
      <c r="A2" s="507"/>
      <c r="B2" s="684"/>
      <c r="C2" s="192"/>
      <c r="D2" s="213" t="s">
        <v>91</v>
      </c>
      <c r="E2" s="173"/>
      <c r="F2" s="214" t="s">
        <v>91</v>
      </c>
      <c r="G2" s="172" t="s">
        <v>175</v>
      </c>
      <c r="H2" s="173"/>
      <c r="I2" s="214" t="s">
        <v>91</v>
      </c>
      <c r="J2" s="174" t="s">
        <v>174</v>
      </c>
      <c r="K2" s="173" t="s">
        <v>248</v>
      </c>
      <c r="L2" s="173" t="s">
        <v>249</v>
      </c>
      <c r="M2" s="173" t="s">
        <v>250</v>
      </c>
      <c r="N2" s="173" t="s">
        <v>251</v>
      </c>
      <c r="O2" s="173" t="s">
        <v>252</v>
      </c>
      <c r="P2" s="173" t="s">
        <v>440</v>
      </c>
      <c r="Q2" s="173" t="s">
        <v>449</v>
      </c>
      <c r="R2" s="173" t="s">
        <v>451</v>
      </c>
      <c r="S2" s="173" t="s">
        <v>253</v>
      </c>
      <c r="T2" s="173" t="s">
        <v>408</v>
      </c>
      <c r="U2" s="173" t="s">
        <v>409</v>
      </c>
      <c r="V2" s="173" t="s">
        <v>435</v>
      </c>
      <c r="W2" s="173" t="s">
        <v>441</v>
      </c>
      <c r="X2" s="173" t="s">
        <v>254</v>
      </c>
      <c r="Y2" s="173" t="s">
        <v>255</v>
      </c>
      <c r="Z2" s="173" t="s">
        <v>256</v>
      </c>
      <c r="AA2" s="173" t="s">
        <v>291</v>
      </c>
      <c r="AB2" s="173" t="s">
        <v>289</v>
      </c>
      <c r="AC2" s="173" t="s">
        <v>290</v>
      </c>
      <c r="AD2" s="173"/>
      <c r="AE2" s="173"/>
      <c r="AF2" s="173" t="s">
        <v>47</v>
      </c>
      <c r="AG2" s="171" t="s">
        <v>29</v>
      </c>
      <c r="AH2" s="173" t="s">
        <v>182</v>
      </c>
      <c r="AI2" s="173" t="s">
        <v>183</v>
      </c>
      <c r="AJ2" s="173" t="s">
        <v>184</v>
      </c>
      <c r="AK2" s="173" t="s">
        <v>185</v>
      </c>
      <c r="AL2" s="173" t="s">
        <v>186</v>
      </c>
      <c r="AM2" s="173" t="s">
        <v>187</v>
      </c>
      <c r="AN2" s="173" t="s">
        <v>277</v>
      </c>
      <c r="AO2" s="173" t="s">
        <v>278</v>
      </c>
      <c r="AP2" s="173" t="s">
        <v>279</v>
      </c>
      <c r="AQ2" s="173" t="s">
        <v>454</v>
      </c>
      <c r="AR2" s="173" t="s">
        <v>437</v>
      </c>
      <c r="AS2" s="173" t="s">
        <v>438</v>
      </c>
      <c r="AT2" s="173"/>
      <c r="AU2" s="173"/>
      <c r="AV2" s="176" t="s">
        <v>47</v>
      </c>
      <c r="AW2" s="173" t="s">
        <v>193</v>
      </c>
      <c r="AX2" s="173" t="s">
        <v>194</v>
      </c>
      <c r="AY2" s="173" t="s">
        <v>197</v>
      </c>
      <c r="AZ2" s="173" t="s">
        <v>195</v>
      </c>
      <c r="BA2" s="173" t="s">
        <v>199</v>
      </c>
      <c r="BB2" s="171" t="s">
        <v>47</v>
      </c>
      <c r="BC2" s="173" t="s">
        <v>204</v>
      </c>
      <c r="BD2" s="173" t="s">
        <v>205</v>
      </c>
      <c r="BE2" s="173" t="s">
        <v>206</v>
      </c>
      <c r="BF2" s="174" t="s">
        <v>47</v>
      </c>
      <c r="BG2" s="173" t="s">
        <v>214</v>
      </c>
      <c r="BH2" s="173" t="s">
        <v>215</v>
      </c>
      <c r="BI2" s="173" t="s">
        <v>218</v>
      </c>
      <c r="BJ2" s="173" t="s">
        <v>223</v>
      </c>
      <c r="BK2" s="173" t="s">
        <v>224</v>
      </c>
      <c r="BL2" s="173" t="s">
        <v>225</v>
      </c>
      <c r="BM2" s="173" t="s">
        <v>292</v>
      </c>
      <c r="BN2" s="173" t="s">
        <v>293</v>
      </c>
      <c r="BO2" s="173" t="s">
        <v>424</v>
      </c>
      <c r="BP2" s="173" t="s">
        <v>425</v>
      </c>
      <c r="BQ2" s="173"/>
      <c r="BR2" s="171" t="s">
        <v>47</v>
      </c>
      <c r="BS2" s="173"/>
      <c r="BT2" s="173"/>
      <c r="BU2" s="173"/>
      <c r="BV2" s="173"/>
      <c r="BW2" s="173"/>
      <c r="BX2" s="176" t="s">
        <v>518</v>
      </c>
      <c r="BY2" s="692"/>
      <c r="BZ2" s="192" t="s">
        <v>140</v>
      </c>
      <c r="CA2" s="356" t="s">
        <v>448</v>
      </c>
      <c r="CB2" s="212" t="s">
        <v>296</v>
      </c>
    </row>
    <row r="3" spans="1:80" s="5" customFormat="1">
      <c r="A3" s="419" t="str">
        <f>'1-συμβολαια'!A3</f>
        <v>3ο</v>
      </c>
      <c r="B3" s="416" t="str">
        <f>'1-συμβολαια'!C3</f>
        <v>υποθήκης ????  5.495.705δρχ ΕΞΑΛΕΙΨΗ</v>
      </c>
      <c r="C3" s="402">
        <f>'5-αντίγρ'!AN3</f>
        <v>8</v>
      </c>
      <c r="D3" s="402">
        <f>'5-αντίγρ'!AM3</f>
        <v>1.98</v>
      </c>
      <c r="E3" s="355">
        <f>'6-μεταγρ'!Q3</f>
        <v>14.8</v>
      </c>
      <c r="F3" s="355">
        <f>'6-μεταγρ'!O3+'6-μεταγρ'!P3</f>
        <v>1.98</v>
      </c>
      <c r="G3" s="355">
        <f>'6-μεταγρ'!R3</f>
        <v>0</v>
      </c>
      <c r="H3" s="355">
        <f>'7-προςΔΟΥ'!W3</f>
        <v>0</v>
      </c>
      <c r="I3" s="311">
        <f>'7-προςΔΟΥ'!K3</f>
        <v>0</v>
      </c>
      <c r="J3" s="311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2"/>
      <c r="AC3" s="312"/>
      <c r="AD3" s="310"/>
      <c r="AE3" s="310"/>
      <c r="AF3" s="312">
        <f t="shared" ref="AF3:AF21" si="0">SUM(K3:AE3)</f>
        <v>0</v>
      </c>
      <c r="AG3" s="310"/>
      <c r="AH3" s="312"/>
      <c r="AI3" s="312"/>
      <c r="AJ3" s="312">
        <f>3*4</f>
        <v>12</v>
      </c>
      <c r="AK3" s="312"/>
      <c r="AL3" s="312"/>
      <c r="AM3" s="312"/>
      <c r="AN3" s="312"/>
      <c r="AO3" s="312"/>
      <c r="AP3" s="312"/>
      <c r="AQ3" s="312"/>
      <c r="AR3" s="312"/>
      <c r="AS3" s="312"/>
      <c r="AT3" s="310"/>
      <c r="AU3" s="310"/>
      <c r="AV3" s="312">
        <f t="shared" ref="AV3:AV21" si="1">SUM(AH3:AU3)</f>
        <v>12</v>
      </c>
      <c r="AW3" s="312">
        <f>2*4+7.4</f>
        <v>15.4</v>
      </c>
      <c r="AX3" s="310"/>
      <c r="AY3" s="312">
        <f t="shared" ref="AY3" si="2">2*4+7.4</f>
        <v>15.4</v>
      </c>
      <c r="AZ3" s="310"/>
      <c r="BA3" s="310"/>
      <c r="BB3" s="312">
        <f t="shared" ref="BB3:BB21" si="3">SUM(AW3:BA3)</f>
        <v>30.8</v>
      </c>
      <c r="BC3" s="310"/>
      <c r="BD3" s="310"/>
      <c r="BE3" s="312"/>
      <c r="BF3" s="312">
        <f t="shared" ref="BF3:BF21" si="4">SUM(BC3:BE3)</f>
        <v>0</v>
      </c>
      <c r="BG3" s="312"/>
      <c r="BH3" s="312"/>
      <c r="BI3" s="312"/>
      <c r="BJ3" s="312"/>
      <c r="BK3" s="312"/>
      <c r="BL3" s="312"/>
      <c r="BM3" s="312"/>
      <c r="BN3" s="312"/>
      <c r="BO3" s="312">
        <v>0.3</v>
      </c>
      <c r="BP3" s="312">
        <v>0.45</v>
      </c>
      <c r="BQ3" s="312"/>
      <c r="BR3" s="312">
        <f t="shared" ref="BR3:BR21" si="5">SUM(BG3:BQ3)</f>
        <v>0.75</v>
      </c>
      <c r="BS3" s="355"/>
      <c r="BT3" s="355"/>
      <c r="BU3" s="355"/>
      <c r="BV3" s="355"/>
      <c r="BW3" s="355"/>
      <c r="BX3" s="355">
        <f t="shared" ref="BX3:BX21" si="6">SUM(BS3:BW3)</f>
        <v>0</v>
      </c>
      <c r="BY3" s="490"/>
      <c r="BZ3" s="491">
        <f t="shared" ref="BZ3:BZ21" si="7">(C3+E3+G3+H3+AF3+AV3+BB3+BF3+BR3+BX3+BY3)-CA3</f>
        <v>62.389999999999993</v>
      </c>
      <c r="CA3" s="491">
        <f t="shared" ref="CA3:CA21" si="8">D3+F3+I3+Z3+AB3+BW3</f>
        <v>3.96</v>
      </c>
      <c r="CB3" s="385"/>
    </row>
    <row r="4" spans="1:80" s="5" customFormat="1">
      <c r="A4" s="419">
        <f>'1-συμβολαια'!A4</f>
        <v>0</v>
      </c>
      <c r="B4" s="416" t="str">
        <f>'1-συμβολαια'!C4</f>
        <v>δανείου ??? 5.495.700 δρχ …. ΕΞΟΦΛΗΣΗ</v>
      </c>
      <c r="C4" s="402">
        <f>'5-αντίγρ'!AN4</f>
        <v>0</v>
      </c>
      <c r="D4" s="402">
        <f>'5-αντίγρ'!AM4</f>
        <v>0</v>
      </c>
      <c r="E4" s="355">
        <f>'6-μεταγρ'!Q4</f>
        <v>0</v>
      </c>
      <c r="F4" s="355">
        <f>'6-μεταγρ'!O4+'6-μεταγρ'!P4</f>
        <v>0</v>
      </c>
      <c r="G4" s="355">
        <f>'6-μεταγρ'!R4</f>
        <v>0</v>
      </c>
      <c r="H4" s="355">
        <f>'7-προςΔΟΥ'!W4</f>
        <v>0</v>
      </c>
      <c r="I4" s="311">
        <f>'7-προςΔΟΥ'!K4</f>
        <v>0</v>
      </c>
      <c r="J4" s="311"/>
      <c r="K4" s="312"/>
      <c r="L4" s="312"/>
      <c r="M4" s="312"/>
      <c r="N4" s="312"/>
      <c r="O4" s="312"/>
      <c r="P4" s="312"/>
      <c r="Q4" s="312"/>
      <c r="R4" s="312"/>
      <c r="S4" s="312"/>
      <c r="T4" s="312"/>
      <c r="U4" s="312"/>
      <c r="V4" s="312"/>
      <c r="W4" s="312"/>
      <c r="X4" s="312"/>
      <c r="Y4" s="312"/>
      <c r="Z4" s="312"/>
      <c r="AA4" s="312"/>
      <c r="AB4" s="312"/>
      <c r="AC4" s="312"/>
      <c r="AD4" s="310"/>
      <c r="AE4" s="310"/>
      <c r="AF4" s="312">
        <f t="shared" si="0"/>
        <v>0</v>
      </c>
      <c r="AG4" s="310"/>
      <c r="AH4" s="312"/>
      <c r="AI4" s="312"/>
      <c r="AJ4" s="312"/>
      <c r="AK4" s="312"/>
      <c r="AL4" s="312"/>
      <c r="AM4" s="312"/>
      <c r="AN4" s="312"/>
      <c r="AO4" s="312"/>
      <c r="AP4" s="312"/>
      <c r="AQ4" s="312"/>
      <c r="AR4" s="312"/>
      <c r="AS4" s="312"/>
      <c r="AT4" s="310"/>
      <c r="AU4" s="310"/>
      <c r="AV4" s="312">
        <f t="shared" si="1"/>
        <v>0</v>
      </c>
      <c r="AW4" s="312"/>
      <c r="AX4" s="310"/>
      <c r="AY4" s="312"/>
      <c r="AZ4" s="310"/>
      <c r="BA4" s="310"/>
      <c r="BB4" s="312">
        <f t="shared" si="3"/>
        <v>0</v>
      </c>
      <c r="BC4" s="310"/>
      <c r="BD4" s="310"/>
      <c r="BE4" s="312"/>
      <c r="BF4" s="312">
        <f t="shared" si="4"/>
        <v>0</v>
      </c>
      <c r="BG4" s="312"/>
      <c r="BH4" s="312"/>
      <c r="BI4" s="312"/>
      <c r="BJ4" s="312"/>
      <c r="BK4" s="312"/>
      <c r="BL4" s="312"/>
      <c r="BM4" s="312"/>
      <c r="BN4" s="312"/>
      <c r="BO4" s="312">
        <v>0.3</v>
      </c>
      <c r="BP4" s="312">
        <v>0.45</v>
      </c>
      <c r="BQ4" s="312"/>
      <c r="BR4" s="312">
        <f t="shared" si="5"/>
        <v>0.75</v>
      </c>
      <c r="BS4" s="355"/>
      <c r="BT4" s="355"/>
      <c r="BU4" s="355"/>
      <c r="BV4" s="355"/>
      <c r="BW4" s="355"/>
      <c r="BX4" s="355">
        <f t="shared" si="6"/>
        <v>0</v>
      </c>
      <c r="BY4" s="490"/>
      <c r="BZ4" s="491">
        <f t="shared" si="7"/>
        <v>0.75</v>
      </c>
      <c r="CA4" s="491">
        <f t="shared" si="8"/>
        <v>0</v>
      </c>
      <c r="CB4" s="385"/>
    </row>
    <row r="5" spans="1:80" s="5" customFormat="1">
      <c r="A5" s="419">
        <f>'1-συμβολαια'!A5</f>
        <v>0</v>
      </c>
      <c r="B5" s="416" t="str">
        <f>'1-συμβολαια'!C5</f>
        <v>δανείου ???? ΤΟΚΟΙ</v>
      </c>
      <c r="C5" s="402">
        <f>'5-αντίγρ'!AN5</f>
        <v>0</v>
      </c>
      <c r="D5" s="402">
        <f>'5-αντίγρ'!AM5</f>
        <v>0</v>
      </c>
      <c r="E5" s="355">
        <f>'6-μεταγρ'!Q5</f>
        <v>0</v>
      </c>
      <c r="F5" s="355">
        <f>'6-μεταγρ'!O5+'6-μεταγρ'!P5</f>
        <v>0</v>
      </c>
      <c r="G5" s="355">
        <f>'6-μεταγρ'!R5</f>
        <v>0</v>
      </c>
      <c r="H5" s="355">
        <f>'7-προςΔΟΥ'!W5</f>
        <v>0</v>
      </c>
      <c r="I5" s="311">
        <f>'7-προςΔΟΥ'!K5</f>
        <v>0</v>
      </c>
      <c r="J5" s="311"/>
      <c r="K5" s="312"/>
      <c r="L5" s="312"/>
      <c r="M5" s="312"/>
      <c r="N5" s="312"/>
      <c r="O5" s="312"/>
      <c r="P5" s="312"/>
      <c r="Q5" s="312"/>
      <c r="R5" s="312"/>
      <c r="S5" s="312"/>
      <c r="T5" s="312"/>
      <c r="U5" s="312"/>
      <c r="V5" s="312"/>
      <c r="W5" s="312"/>
      <c r="X5" s="312"/>
      <c r="Y5" s="312"/>
      <c r="Z5" s="312"/>
      <c r="AA5" s="312"/>
      <c r="AB5" s="312"/>
      <c r="AC5" s="312"/>
      <c r="AD5" s="310"/>
      <c r="AE5" s="310"/>
      <c r="AF5" s="312">
        <f t="shared" si="0"/>
        <v>0</v>
      </c>
      <c r="AG5" s="310"/>
      <c r="AH5" s="312"/>
      <c r="AI5" s="312"/>
      <c r="AJ5" s="312"/>
      <c r="AK5" s="312"/>
      <c r="AL5" s="312"/>
      <c r="AM5" s="312"/>
      <c r="AN5" s="312"/>
      <c r="AO5" s="312"/>
      <c r="AP5" s="312"/>
      <c r="AQ5" s="312"/>
      <c r="AR5" s="312"/>
      <c r="AS5" s="312"/>
      <c r="AT5" s="310"/>
      <c r="AU5" s="310"/>
      <c r="AV5" s="312">
        <f t="shared" si="1"/>
        <v>0</v>
      </c>
      <c r="AW5" s="312"/>
      <c r="AX5" s="310"/>
      <c r="AY5" s="312"/>
      <c r="AZ5" s="310"/>
      <c r="BA5" s="310"/>
      <c r="BB5" s="312">
        <f t="shared" si="3"/>
        <v>0</v>
      </c>
      <c r="BC5" s="310"/>
      <c r="BD5" s="310"/>
      <c r="BE5" s="312"/>
      <c r="BF5" s="312">
        <f t="shared" si="4"/>
        <v>0</v>
      </c>
      <c r="BG5" s="312"/>
      <c r="BH5" s="312"/>
      <c r="BI5" s="312"/>
      <c r="BJ5" s="312"/>
      <c r="BK5" s="312"/>
      <c r="BL5" s="312"/>
      <c r="BM5" s="312"/>
      <c r="BN5" s="312"/>
      <c r="BO5" s="312"/>
      <c r="BP5" s="312">
        <v>0.45</v>
      </c>
      <c r="BQ5" s="312"/>
      <c r="BR5" s="312">
        <f t="shared" si="5"/>
        <v>0.45</v>
      </c>
      <c r="BS5" s="355"/>
      <c r="BT5" s="355"/>
      <c r="BU5" s="355"/>
      <c r="BV5" s="355"/>
      <c r="BW5" s="355"/>
      <c r="BX5" s="355">
        <f t="shared" si="6"/>
        <v>0</v>
      </c>
      <c r="BY5" s="490"/>
      <c r="BZ5" s="491">
        <f t="shared" si="7"/>
        <v>0.45</v>
      </c>
      <c r="CA5" s="491">
        <f t="shared" si="8"/>
        <v>0</v>
      </c>
      <c r="CB5" s="385"/>
    </row>
    <row r="6" spans="1:80" s="19" customFormat="1">
      <c r="A6" s="28"/>
      <c r="B6" s="167"/>
      <c r="C6" s="195"/>
      <c r="D6" s="195"/>
      <c r="E6" s="354"/>
      <c r="F6" s="354"/>
      <c r="G6" s="354"/>
      <c r="H6" s="354"/>
      <c r="I6" s="427"/>
      <c r="J6" s="427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69"/>
      <c r="AA6" s="169"/>
      <c r="AB6" s="169"/>
      <c r="AC6" s="169"/>
      <c r="AD6" s="168"/>
      <c r="AE6" s="168"/>
      <c r="AF6" s="169"/>
      <c r="AG6" s="168"/>
      <c r="AH6" s="169"/>
      <c r="AI6" s="169"/>
      <c r="AJ6" s="169"/>
      <c r="AK6" s="169"/>
      <c r="AL6" s="169"/>
      <c r="AM6" s="169"/>
      <c r="AN6" s="169"/>
      <c r="AO6" s="169"/>
      <c r="AP6" s="169"/>
      <c r="AQ6" s="169"/>
      <c r="AR6" s="169"/>
      <c r="AS6" s="169"/>
      <c r="AT6" s="168"/>
      <c r="AU6" s="168"/>
      <c r="AV6" s="169"/>
      <c r="AW6" s="169"/>
      <c r="AX6" s="168"/>
      <c r="AY6" s="169"/>
      <c r="AZ6" s="168"/>
      <c r="BA6" s="168"/>
      <c r="BB6" s="169"/>
      <c r="BC6" s="168"/>
      <c r="BD6" s="168"/>
      <c r="BE6" s="169"/>
      <c r="BF6" s="169"/>
      <c r="BG6" s="169"/>
      <c r="BH6" s="169"/>
      <c r="BI6" s="169"/>
      <c r="BJ6" s="169"/>
      <c r="BK6" s="169"/>
      <c r="BL6" s="169"/>
      <c r="BM6" s="169"/>
      <c r="BN6" s="169"/>
      <c r="BO6" s="169"/>
      <c r="BP6" s="169"/>
      <c r="BQ6" s="169"/>
      <c r="BR6" s="169"/>
      <c r="BS6" s="354"/>
      <c r="BT6" s="354"/>
      <c r="BU6" s="354"/>
      <c r="BV6" s="354"/>
      <c r="BW6" s="354"/>
      <c r="BX6" s="354"/>
      <c r="BY6" s="490"/>
      <c r="BZ6" s="428"/>
      <c r="CA6" s="428"/>
      <c r="CB6" s="477"/>
    </row>
    <row r="7" spans="1:80" s="5" customFormat="1">
      <c r="A7" s="419" t="str">
        <f>'1-συμβολαια'!A7</f>
        <v>4ο</v>
      </c>
      <c r="B7" s="416" t="str">
        <f>'1-συμβολαια'!C7</f>
        <v>υποθήκης ???? 12.000.000δρχ ΕΞΑΛΕΙΨΗ</v>
      </c>
      <c r="C7" s="402">
        <f>'5-αντίγρ'!AN7</f>
        <v>8</v>
      </c>
      <c r="D7" s="402">
        <f>'5-αντίγρ'!AM7</f>
        <v>1.98</v>
      </c>
      <c r="E7" s="355">
        <f>'6-μεταγρ'!Q7</f>
        <v>0</v>
      </c>
      <c r="F7" s="355">
        <f>'6-μεταγρ'!O7+'6-μεταγρ'!P7</f>
        <v>1.98</v>
      </c>
      <c r="G7" s="355">
        <f>'6-μεταγρ'!R7</f>
        <v>0</v>
      </c>
      <c r="H7" s="355">
        <f>'7-προςΔΟΥ'!W7</f>
        <v>0</v>
      </c>
      <c r="I7" s="311">
        <f>'7-προςΔΟΥ'!K7</f>
        <v>0</v>
      </c>
      <c r="J7" s="311"/>
      <c r="K7" s="312"/>
      <c r="L7" s="312"/>
      <c r="M7" s="312"/>
      <c r="N7" s="312"/>
      <c r="O7" s="312"/>
      <c r="P7" s="312"/>
      <c r="Q7" s="312"/>
      <c r="R7" s="312"/>
      <c r="S7" s="312"/>
      <c r="T7" s="312"/>
      <c r="U7" s="312"/>
      <c r="V7" s="312"/>
      <c r="W7" s="312"/>
      <c r="X7" s="312"/>
      <c r="Y7" s="312"/>
      <c r="Z7" s="312"/>
      <c r="AA7" s="312"/>
      <c r="AB7" s="312"/>
      <c r="AC7" s="312"/>
      <c r="AD7" s="310"/>
      <c r="AE7" s="310"/>
      <c r="AF7" s="312">
        <f t="shared" si="0"/>
        <v>0</v>
      </c>
      <c r="AG7" s="310"/>
      <c r="AH7" s="312"/>
      <c r="AI7" s="312"/>
      <c r="AJ7" s="312">
        <f t="shared" ref="AJ7" si="9">3*4</f>
        <v>12</v>
      </c>
      <c r="AK7" s="312"/>
      <c r="AL7" s="312"/>
      <c r="AM7" s="312"/>
      <c r="AN7" s="312"/>
      <c r="AO7" s="312"/>
      <c r="AP7" s="312"/>
      <c r="AQ7" s="312"/>
      <c r="AR7" s="312"/>
      <c r="AS7" s="312"/>
      <c r="AT7" s="310"/>
      <c r="AU7" s="310"/>
      <c r="AV7" s="312">
        <f t="shared" si="1"/>
        <v>12</v>
      </c>
      <c r="AW7" s="312">
        <v>8</v>
      </c>
      <c r="AX7" s="310"/>
      <c r="AY7" s="312">
        <v>8</v>
      </c>
      <c r="AZ7" s="310"/>
      <c r="BA7" s="310"/>
      <c r="BB7" s="312">
        <f t="shared" si="3"/>
        <v>16</v>
      </c>
      <c r="BC7" s="310"/>
      <c r="BD7" s="310"/>
      <c r="BE7" s="312"/>
      <c r="BF7" s="312">
        <f t="shared" si="4"/>
        <v>0</v>
      </c>
      <c r="BG7" s="312"/>
      <c r="BH7" s="312"/>
      <c r="BI7" s="312"/>
      <c r="BJ7" s="312"/>
      <c r="BK7" s="312"/>
      <c r="BL7" s="312"/>
      <c r="BM7" s="312"/>
      <c r="BN7" s="312"/>
      <c r="BO7" s="312">
        <v>0.3</v>
      </c>
      <c r="BP7" s="312">
        <v>0.45</v>
      </c>
      <c r="BQ7" s="312"/>
      <c r="BR7" s="312">
        <f t="shared" si="5"/>
        <v>0.75</v>
      </c>
      <c r="BS7" s="355"/>
      <c r="BT7" s="355"/>
      <c r="BU7" s="355"/>
      <c r="BV7" s="355"/>
      <c r="BW7" s="355"/>
      <c r="BX7" s="355">
        <f t="shared" si="6"/>
        <v>0</v>
      </c>
      <c r="BY7" s="490"/>
      <c r="BZ7" s="491">
        <f t="shared" si="7"/>
        <v>32.79</v>
      </c>
      <c r="CA7" s="491">
        <f t="shared" si="8"/>
        <v>3.96</v>
      </c>
      <c r="CB7" s="385"/>
    </row>
    <row r="8" spans="1:80" s="5" customFormat="1">
      <c r="A8" s="419">
        <f>'1-συμβολαια'!A8</f>
        <v>0</v>
      </c>
      <c r="B8" s="416" t="str">
        <f>'1-συμβολαια'!C8</f>
        <v>δανείου ??? 12.000.000δρχ …. ΕΞΟΦΛΗΣΗ</v>
      </c>
      <c r="C8" s="402">
        <f>'5-αντίγρ'!AN8</f>
        <v>0</v>
      </c>
      <c r="D8" s="402">
        <f>'5-αντίγρ'!AM8</f>
        <v>0</v>
      </c>
      <c r="E8" s="355">
        <f>'6-μεταγρ'!Q8</f>
        <v>0</v>
      </c>
      <c r="F8" s="355">
        <f>'6-μεταγρ'!O8+'6-μεταγρ'!P8</f>
        <v>0</v>
      </c>
      <c r="G8" s="355">
        <f>'6-μεταγρ'!R8</f>
        <v>0</v>
      </c>
      <c r="H8" s="355">
        <f>'7-προςΔΟΥ'!W8</f>
        <v>0</v>
      </c>
      <c r="I8" s="311">
        <f>'7-προςΔΟΥ'!K8</f>
        <v>0</v>
      </c>
      <c r="J8" s="311"/>
      <c r="K8" s="312"/>
      <c r="L8" s="312"/>
      <c r="M8" s="312"/>
      <c r="N8" s="312"/>
      <c r="O8" s="312"/>
      <c r="P8" s="312"/>
      <c r="Q8" s="312"/>
      <c r="R8" s="312"/>
      <c r="S8" s="312"/>
      <c r="T8" s="312"/>
      <c r="U8" s="312"/>
      <c r="V8" s="312"/>
      <c r="W8" s="312"/>
      <c r="X8" s="312"/>
      <c r="Y8" s="312"/>
      <c r="Z8" s="312"/>
      <c r="AA8" s="312"/>
      <c r="AB8" s="312"/>
      <c r="AC8" s="312"/>
      <c r="AD8" s="310"/>
      <c r="AE8" s="310"/>
      <c r="AF8" s="312">
        <f t="shared" si="0"/>
        <v>0</v>
      </c>
      <c r="AG8" s="310"/>
      <c r="AH8" s="312"/>
      <c r="AI8" s="312"/>
      <c r="AJ8" s="312"/>
      <c r="AK8" s="312"/>
      <c r="AL8" s="312"/>
      <c r="AM8" s="312"/>
      <c r="AN8" s="312"/>
      <c r="AO8" s="312"/>
      <c r="AP8" s="312"/>
      <c r="AQ8" s="312"/>
      <c r="AR8" s="312"/>
      <c r="AS8" s="312"/>
      <c r="AT8" s="310"/>
      <c r="AU8" s="310"/>
      <c r="AV8" s="312">
        <f t="shared" si="1"/>
        <v>0</v>
      </c>
      <c r="AW8" s="312"/>
      <c r="AX8" s="310"/>
      <c r="AY8" s="312"/>
      <c r="AZ8" s="310"/>
      <c r="BA8" s="310"/>
      <c r="BB8" s="312">
        <f t="shared" si="3"/>
        <v>0</v>
      </c>
      <c r="BC8" s="310"/>
      <c r="BD8" s="310"/>
      <c r="BE8" s="312"/>
      <c r="BF8" s="312">
        <f t="shared" si="4"/>
        <v>0</v>
      </c>
      <c r="BG8" s="312"/>
      <c r="BH8" s="312"/>
      <c r="BI8" s="312"/>
      <c r="BJ8" s="312"/>
      <c r="BK8" s="312"/>
      <c r="BL8" s="312"/>
      <c r="BM8" s="312"/>
      <c r="BN8" s="312"/>
      <c r="BO8" s="312">
        <v>0.3</v>
      </c>
      <c r="BP8" s="312">
        <v>0.45</v>
      </c>
      <c r="BQ8" s="312"/>
      <c r="BR8" s="312">
        <f t="shared" si="5"/>
        <v>0.75</v>
      </c>
      <c r="BS8" s="355"/>
      <c r="BT8" s="355"/>
      <c r="BU8" s="355"/>
      <c r="BV8" s="355"/>
      <c r="BW8" s="355"/>
      <c r="BX8" s="355">
        <f t="shared" si="6"/>
        <v>0</v>
      </c>
      <c r="BY8" s="490"/>
      <c r="BZ8" s="491">
        <f t="shared" si="7"/>
        <v>0.75</v>
      </c>
      <c r="CA8" s="491">
        <f t="shared" si="8"/>
        <v>0</v>
      </c>
      <c r="CB8" s="385"/>
    </row>
    <row r="9" spans="1:80" s="5" customFormat="1">
      <c r="A9" s="419">
        <f>'1-συμβολαια'!A9</f>
        <v>0</v>
      </c>
      <c r="B9" s="416" t="str">
        <f>'1-συμβολαια'!C9</f>
        <v>δανείου ???? ΤΟΚΟΙ</v>
      </c>
      <c r="C9" s="402">
        <f>'5-αντίγρ'!AN9</f>
        <v>0</v>
      </c>
      <c r="D9" s="402">
        <f>'5-αντίγρ'!AM9</f>
        <v>0</v>
      </c>
      <c r="E9" s="355">
        <f>'6-μεταγρ'!Q9</f>
        <v>0</v>
      </c>
      <c r="F9" s="355">
        <f>'6-μεταγρ'!O9+'6-μεταγρ'!P9</f>
        <v>0</v>
      </c>
      <c r="G9" s="355">
        <f>'6-μεταγρ'!R9</f>
        <v>0</v>
      </c>
      <c r="H9" s="355">
        <f>'7-προςΔΟΥ'!W9</f>
        <v>0</v>
      </c>
      <c r="I9" s="311">
        <f>'7-προςΔΟΥ'!K9</f>
        <v>0</v>
      </c>
      <c r="J9" s="311"/>
      <c r="K9" s="312"/>
      <c r="L9" s="312"/>
      <c r="M9" s="312"/>
      <c r="N9" s="312"/>
      <c r="O9" s="312"/>
      <c r="P9" s="312"/>
      <c r="Q9" s="312"/>
      <c r="R9" s="312"/>
      <c r="S9" s="312"/>
      <c r="T9" s="312"/>
      <c r="U9" s="312"/>
      <c r="V9" s="312"/>
      <c r="W9" s="312"/>
      <c r="X9" s="312"/>
      <c r="Y9" s="312"/>
      <c r="Z9" s="312"/>
      <c r="AA9" s="312"/>
      <c r="AB9" s="312"/>
      <c r="AC9" s="312"/>
      <c r="AD9" s="310"/>
      <c r="AE9" s="310"/>
      <c r="AF9" s="312">
        <f t="shared" si="0"/>
        <v>0</v>
      </c>
      <c r="AG9" s="310"/>
      <c r="AH9" s="312"/>
      <c r="AI9" s="312"/>
      <c r="AJ9" s="312"/>
      <c r="AK9" s="312"/>
      <c r="AL9" s="312"/>
      <c r="AM9" s="312"/>
      <c r="AN9" s="312"/>
      <c r="AO9" s="312"/>
      <c r="AP9" s="312"/>
      <c r="AQ9" s="312"/>
      <c r="AR9" s="312"/>
      <c r="AS9" s="312"/>
      <c r="AT9" s="310"/>
      <c r="AU9" s="310"/>
      <c r="AV9" s="312">
        <f t="shared" si="1"/>
        <v>0</v>
      </c>
      <c r="AW9" s="312"/>
      <c r="AX9" s="310"/>
      <c r="AY9" s="312"/>
      <c r="AZ9" s="310"/>
      <c r="BA9" s="310"/>
      <c r="BB9" s="312">
        <f t="shared" si="3"/>
        <v>0</v>
      </c>
      <c r="BC9" s="310"/>
      <c r="BD9" s="310"/>
      <c r="BE9" s="312"/>
      <c r="BF9" s="312">
        <f t="shared" si="4"/>
        <v>0</v>
      </c>
      <c r="BG9" s="312"/>
      <c r="BH9" s="312"/>
      <c r="BI9" s="312"/>
      <c r="BJ9" s="312"/>
      <c r="BK9" s="312"/>
      <c r="BL9" s="312"/>
      <c r="BM9" s="312"/>
      <c r="BN9" s="312"/>
      <c r="BO9" s="312"/>
      <c r="BP9" s="312">
        <v>0.45</v>
      </c>
      <c r="BQ9" s="312"/>
      <c r="BR9" s="312">
        <f t="shared" si="5"/>
        <v>0.45</v>
      </c>
      <c r="BS9" s="355"/>
      <c r="BT9" s="355"/>
      <c r="BU9" s="355"/>
      <c r="BV9" s="355"/>
      <c r="BW9" s="355"/>
      <c r="BX9" s="355">
        <f t="shared" si="6"/>
        <v>0</v>
      </c>
      <c r="BY9" s="490"/>
      <c r="BZ9" s="491">
        <f t="shared" si="7"/>
        <v>0.45</v>
      </c>
      <c r="CA9" s="491">
        <f t="shared" si="8"/>
        <v>0</v>
      </c>
      <c r="CB9" s="385"/>
    </row>
    <row r="10" spans="1:80" s="19" customFormat="1">
      <c r="A10" s="28"/>
      <c r="B10" s="167"/>
      <c r="C10" s="195"/>
      <c r="D10" s="195"/>
      <c r="E10" s="354"/>
      <c r="F10" s="354"/>
      <c r="G10" s="354"/>
      <c r="H10" s="354"/>
      <c r="I10" s="427"/>
      <c r="J10" s="427"/>
      <c r="K10" s="169"/>
      <c r="L10" s="169"/>
      <c r="M10" s="169"/>
      <c r="N10" s="169"/>
      <c r="O10" s="169"/>
      <c r="P10" s="169"/>
      <c r="Q10" s="169"/>
      <c r="R10" s="169"/>
      <c r="S10" s="169"/>
      <c r="T10" s="169"/>
      <c r="U10" s="169"/>
      <c r="V10" s="169"/>
      <c r="W10" s="169"/>
      <c r="X10" s="169"/>
      <c r="Y10" s="169"/>
      <c r="Z10" s="169"/>
      <c r="AA10" s="169"/>
      <c r="AB10" s="169"/>
      <c r="AC10" s="169"/>
      <c r="AD10" s="168"/>
      <c r="AE10" s="168"/>
      <c r="AF10" s="169"/>
      <c r="AG10" s="168"/>
      <c r="AH10" s="169"/>
      <c r="AI10" s="169"/>
      <c r="AJ10" s="169"/>
      <c r="AK10" s="169"/>
      <c r="AL10" s="169"/>
      <c r="AM10" s="169"/>
      <c r="AN10" s="169"/>
      <c r="AO10" s="169"/>
      <c r="AP10" s="169"/>
      <c r="AQ10" s="169"/>
      <c r="AR10" s="169"/>
      <c r="AS10" s="169"/>
      <c r="AT10" s="168"/>
      <c r="AU10" s="168"/>
      <c r="AV10" s="169"/>
      <c r="AW10" s="169"/>
      <c r="AX10" s="168"/>
      <c r="AY10" s="169"/>
      <c r="AZ10" s="168"/>
      <c r="BA10" s="168"/>
      <c r="BB10" s="169"/>
      <c r="BC10" s="168"/>
      <c r="BD10" s="168"/>
      <c r="BE10" s="169"/>
      <c r="BF10" s="169"/>
      <c r="BG10" s="169"/>
      <c r="BH10" s="169"/>
      <c r="BI10" s="169"/>
      <c r="BJ10" s="169"/>
      <c r="BK10" s="169"/>
      <c r="BL10" s="169"/>
      <c r="BM10" s="169"/>
      <c r="BN10" s="169"/>
      <c r="BO10" s="169"/>
      <c r="BP10" s="169"/>
      <c r="BQ10" s="169"/>
      <c r="BR10" s="169"/>
      <c r="BS10" s="354"/>
      <c r="BT10" s="354"/>
      <c r="BU10" s="354"/>
      <c r="BV10" s="354"/>
      <c r="BW10" s="354"/>
      <c r="BX10" s="354"/>
      <c r="BY10" s="490"/>
      <c r="BZ10" s="428"/>
      <c r="CA10" s="428"/>
      <c r="CB10" s="477"/>
    </row>
    <row r="11" spans="1:80" s="5" customFormat="1">
      <c r="A11" s="419" t="str">
        <f>'1-συμβολαια'!A11</f>
        <v>5ο</v>
      </c>
      <c r="B11" s="416" t="str">
        <f>'1-συμβολαια'!C11</f>
        <v>υποθήκης 1ου   κύρου ;;;???;;;δρχ ΕΞΑΛΕΙΨΗ</v>
      </c>
      <c r="C11" s="402">
        <f>'5-αντίγρ'!AN11</f>
        <v>42</v>
      </c>
      <c r="D11" s="402">
        <f>'5-αντίγρ'!AM11</f>
        <v>1.98</v>
      </c>
      <c r="E11" s="355">
        <f>'6-μεταγρ'!Q11</f>
        <v>0</v>
      </c>
      <c r="F11" s="355">
        <f>'6-μεταγρ'!O11+'6-μεταγρ'!P11</f>
        <v>1.98</v>
      </c>
      <c r="G11" s="355">
        <f>'6-μεταγρ'!R11</f>
        <v>0</v>
      </c>
      <c r="H11" s="355">
        <f>'7-προςΔΟΥ'!W11</f>
        <v>0</v>
      </c>
      <c r="I11" s="311">
        <f>'7-προςΔΟΥ'!K11</f>
        <v>0</v>
      </c>
      <c r="J11" s="311"/>
      <c r="K11" s="312"/>
      <c r="L11" s="312"/>
      <c r="M11" s="312"/>
      <c r="N11" s="312"/>
      <c r="O11" s="312"/>
      <c r="P11" s="312"/>
      <c r="Q11" s="312"/>
      <c r="R11" s="312"/>
      <c r="S11" s="312"/>
      <c r="T11" s="312"/>
      <c r="U11" s="312"/>
      <c r="V11" s="312"/>
      <c r="W11" s="312"/>
      <c r="X11" s="312"/>
      <c r="Y11" s="312"/>
      <c r="Z11" s="312"/>
      <c r="AA11" s="312"/>
      <c r="AB11" s="312"/>
      <c r="AC11" s="312"/>
      <c r="AD11" s="310"/>
      <c r="AE11" s="310"/>
      <c r="AF11" s="312">
        <f t="shared" si="0"/>
        <v>0</v>
      </c>
      <c r="AG11" s="310"/>
      <c r="AH11" s="312"/>
      <c r="AI11" s="312"/>
      <c r="AJ11" s="312">
        <f t="shared" ref="AJ11" si="10">3*4</f>
        <v>12</v>
      </c>
      <c r="AK11" s="312"/>
      <c r="AL11" s="312"/>
      <c r="AM11" s="312"/>
      <c r="AN11" s="312"/>
      <c r="AO11" s="312"/>
      <c r="AP11" s="312"/>
      <c r="AQ11" s="312"/>
      <c r="AR11" s="312"/>
      <c r="AS11" s="312"/>
      <c r="AT11" s="310"/>
      <c r="AU11" s="310"/>
      <c r="AV11" s="312">
        <f t="shared" si="1"/>
        <v>12</v>
      </c>
      <c r="AW11" s="312">
        <v>8</v>
      </c>
      <c r="AX11" s="310"/>
      <c r="AY11" s="312">
        <v>8</v>
      </c>
      <c r="AZ11" s="310"/>
      <c r="BA11" s="310"/>
      <c r="BB11" s="312">
        <f t="shared" si="3"/>
        <v>16</v>
      </c>
      <c r="BC11" s="310"/>
      <c r="BD11" s="310"/>
      <c r="BE11" s="312"/>
      <c r="BF11" s="312">
        <f t="shared" si="4"/>
        <v>0</v>
      </c>
      <c r="BG11" s="312"/>
      <c r="BH11" s="312"/>
      <c r="BI11" s="312"/>
      <c r="BJ11" s="312"/>
      <c r="BK11" s="312"/>
      <c r="BL11" s="312"/>
      <c r="BM11" s="312"/>
      <c r="BN11" s="312"/>
      <c r="BO11" s="312">
        <v>0.3</v>
      </c>
      <c r="BP11" s="312">
        <v>0.45</v>
      </c>
      <c r="BQ11" s="312"/>
      <c r="BR11" s="312">
        <f t="shared" si="5"/>
        <v>0.75</v>
      </c>
      <c r="BS11" s="355"/>
      <c r="BT11" s="355"/>
      <c r="BU11" s="355"/>
      <c r="BV11" s="355"/>
      <c r="BW11" s="355"/>
      <c r="BX11" s="355">
        <f t="shared" si="6"/>
        <v>0</v>
      </c>
      <c r="BY11" s="490"/>
      <c r="BZ11" s="491">
        <f t="shared" si="7"/>
        <v>66.790000000000006</v>
      </c>
      <c r="CA11" s="491">
        <f t="shared" si="8"/>
        <v>3.96</v>
      </c>
      <c r="CB11" s="385"/>
    </row>
    <row r="12" spans="1:80" s="5" customFormat="1">
      <c r="A12" s="419">
        <f>'1-συμβολαια'!A12</f>
        <v>0</v>
      </c>
      <c r="B12" s="416" t="str">
        <f>'1-συμβολαια'!C12</f>
        <v>δανείου 1ου   κύρου 1.050.000δρχ ...ΕΞΟΦΛΗΣΗ</v>
      </c>
      <c r="C12" s="402">
        <f>'5-αντίγρ'!AN12</f>
        <v>0</v>
      </c>
      <c r="D12" s="402">
        <f>'5-αντίγρ'!AM12</f>
        <v>0</v>
      </c>
      <c r="E12" s="355">
        <f>'6-μεταγρ'!Q12</f>
        <v>0</v>
      </c>
      <c r="F12" s="355">
        <f>'6-μεταγρ'!O12+'6-μεταγρ'!P12</f>
        <v>0</v>
      </c>
      <c r="G12" s="355">
        <f>'6-μεταγρ'!R12</f>
        <v>0</v>
      </c>
      <c r="H12" s="355">
        <f>'7-προςΔΟΥ'!W12</f>
        <v>0</v>
      </c>
      <c r="I12" s="311">
        <f>'7-προςΔΟΥ'!K12</f>
        <v>0</v>
      </c>
      <c r="J12" s="311"/>
      <c r="K12" s="312"/>
      <c r="L12" s="312"/>
      <c r="M12" s="312"/>
      <c r="N12" s="312"/>
      <c r="O12" s="312"/>
      <c r="P12" s="312"/>
      <c r="Q12" s="312"/>
      <c r="R12" s="312"/>
      <c r="S12" s="312"/>
      <c r="T12" s="312"/>
      <c r="U12" s="312"/>
      <c r="V12" s="312"/>
      <c r="W12" s="312"/>
      <c r="X12" s="312"/>
      <c r="Y12" s="312"/>
      <c r="Z12" s="312"/>
      <c r="AA12" s="312"/>
      <c r="AB12" s="312"/>
      <c r="AC12" s="312"/>
      <c r="AD12" s="310"/>
      <c r="AE12" s="310"/>
      <c r="AF12" s="312">
        <f t="shared" si="0"/>
        <v>0</v>
      </c>
      <c r="AG12" s="310"/>
      <c r="AH12" s="312"/>
      <c r="AI12" s="312"/>
      <c r="AJ12" s="312"/>
      <c r="AK12" s="312"/>
      <c r="AL12" s="312"/>
      <c r="AM12" s="312"/>
      <c r="AN12" s="312"/>
      <c r="AO12" s="312"/>
      <c r="AP12" s="312"/>
      <c r="AQ12" s="312"/>
      <c r="AR12" s="312"/>
      <c r="AS12" s="312"/>
      <c r="AT12" s="310"/>
      <c r="AU12" s="310"/>
      <c r="AV12" s="312">
        <f t="shared" si="1"/>
        <v>0</v>
      </c>
      <c r="AW12" s="312"/>
      <c r="AX12" s="310"/>
      <c r="AY12" s="312"/>
      <c r="AZ12" s="310"/>
      <c r="BA12" s="310"/>
      <c r="BB12" s="312">
        <f t="shared" si="3"/>
        <v>0</v>
      </c>
      <c r="BC12" s="310"/>
      <c r="BD12" s="310"/>
      <c r="BE12" s="312"/>
      <c r="BF12" s="312">
        <f t="shared" si="4"/>
        <v>0</v>
      </c>
      <c r="BG12" s="312"/>
      <c r="BH12" s="312"/>
      <c r="BI12" s="312"/>
      <c r="BJ12" s="312"/>
      <c r="BK12" s="312"/>
      <c r="BL12" s="312"/>
      <c r="BM12" s="312"/>
      <c r="BN12" s="312"/>
      <c r="BO12" s="312">
        <v>0.3</v>
      </c>
      <c r="BP12" s="312">
        <v>0.45</v>
      </c>
      <c r="BQ12" s="312"/>
      <c r="BR12" s="312">
        <f t="shared" si="5"/>
        <v>0.75</v>
      </c>
      <c r="BS12" s="355"/>
      <c r="BT12" s="355"/>
      <c r="BU12" s="355"/>
      <c r="BV12" s="355"/>
      <c r="BW12" s="355"/>
      <c r="BX12" s="355">
        <f t="shared" si="6"/>
        <v>0</v>
      </c>
      <c r="BY12" s="490"/>
      <c r="BZ12" s="491">
        <f t="shared" si="7"/>
        <v>0.75</v>
      </c>
      <c r="CA12" s="491">
        <f t="shared" si="8"/>
        <v>0</v>
      </c>
      <c r="CB12" s="385"/>
    </row>
    <row r="13" spans="1:80" s="5" customFormat="1">
      <c r="A13" s="419">
        <f>'1-συμβολαια'!A13</f>
        <v>0</v>
      </c>
      <c r="B13" s="416" t="str">
        <f>'1-συμβολαια'!C13</f>
        <v>δανείου 1ου   κύρου ΤΟΚΟΙ {προπληρωθέντες VS υπερβάλλοντες}</v>
      </c>
      <c r="C13" s="402">
        <f>'5-αντίγρ'!AN13</f>
        <v>0</v>
      </c>
      <c r="D13" s="402">
        <f>'5-αντίγρ'!AM13</f>
        <v>0</v>
      </c>
      <c r="E13" s="355">
        <f>'6-μεταγρ'!Q13</f>
        <v>0</v>
      </c>
      <c r="F13" s="355">
        <f>'6-μεταγρ'!O13+'6-μεταγρ'!P13</f>
        <v>0</v>
      </c>
      <c r="G13" s="355">
        <f>'6-μεταγρ'!R13</f>
        <v>0</v>
      </c>
      <c r="H13" s="355">
        <f>'7-προςΔΟΥ'!W13</f>
        <v>0</v>
      </c>
      <c r="I13" s="311">
        <f>'7-προςΔΟΥ'!K13</f>
        <v>0</v>
      </c>
      <c r="J13" s="311"/>
      <c r="K13" s="312"/>
      <c r="L13" s="312"/>
      <c r="M13" s="312"/>
      <c r="N13" s="312"/>
      <c r="O13" s="312"/>
      <c r="P13" s="312"/>
      <c r="Q13" s="312"/>
      <c r="R13" s="312"/>
      <c r="S13" s="312"/>
      <c r="T13" s="312"/>
      <c r="U13" s="312"/>
      <c r="V13" s="312"/>
      <c r="W13" s="312"/>
      <c r="X13" s="312"/>
      <c r="Y13" s="312"/>
      <c r="Z13" s="312"/>
      <c r="AA13" s="312"/>
      <c r="AB13" s="312"/>
      <c r="AC13" s="312"/>
      <c r="AD13" s="310"/>
      <c r="AE13" s="310"/>
      <c r="AF13" s="312">
        <f t="shared" si="0"/>
        <v>0</v>
      </c>
      <c r="AG13" s="310"/>
      <c r="AH13" s="312"/>
      <c r="AI13" s="312"/>
      <c r="AJ13" s="312"/>
      <c r="AK13" s="312"/>
      <c r="AL13" s="312"/>
      <c r="AM13" s="312"/>
      <c r="AN13" s="312"/>
      <c r="AO13" s="312"/>
      <c r="AP13" s="312"/>
      <c r="AQ13" s="312"/>
      <c r="AR13" s="312"/>
      <c r="AS13" s="312"/>
      <c r="AT13" s="310"/>
      <c r="AU13" s="310"/>
      <c r="AV13" s="312">
        <f t="shared" si="1"/>
        <v>0</v>
      </c>
      <c r="AW13" s="312"/>
      <c r="AX13" s="310"/>
      <c r="AY13" s="312"/>
      <c r="AZ13" s="310"/>
      <c r="BA13" s="310"/>
      <c r="BB13" s="312">
        <f t="shared" si="3"/>
        <v>0</v>
      </c>
      <c r="BC13" s="310"/>
      <c r="BD13" s="310"/>
      <c r="BE13" s="312"/>
      <c r="BF13" s="312">
        <f t="shared" si="4"/>
        <v>0</v>
      </c>
      <c r="BG13" s="312"/>
      <c r="BH13" s="312"/>
      <c r="BI13" s="312"/>
      <c r="BJ13" s="312"/>
      <c r="BK13" s="312"/>
      <c r="BL13" s="312"/>
      <c r="BM13" s="312"/>
      <c r="BN13" s="312"/>
      <c r="BO13" s="312"/>
      <c r="BP13" s="312">
        <v>0.45</v>
      </c>
      <c r="BQ13" s="312"/>
      <c r="BR13" s="312">
        <f t="shared" si="5"/>
        <v>0.45</v>
      </c>
      <c r="BS13" s="355"/>
      <c r="BT13" s="355"/>
      <c r="BU13" s="355"/>
      <c r="BV13" s="355"/>
      <c r="BW13" s="355"/>
      <c r="BX13" s="355">
        <f t="shared" si="6"/>
        <v>0</v>
      </c>
      <c r="BY13" s="490"/>
      <c r="BZ13" s="491">
        <f t="shared" si="7"/>
        <v>0.45</v>
      </c>
      <c r="CA13" s="491">
        <f t="shared" si="8"/>
        <v>0</v>
      </c>
      <c r="CB13" s="385"/>
    </row>
    <row r="14" spans="1:80" s="19" customFormat="1">
      <c r="A14" s="28"/>
      <c r="B14" s="167"/>
      <c r="C14" s="195"/>
      <c r="D14" s="195"/>
      <c r="E14" s="354"/>
      <c r="F14" s="354"/>
      <c r="G14" s="354"/>
      <c r="H14" s="354"/>
      <c r="I14" s="427"/>
      <c r="J14" s="427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69"/>
      <c r="AC14" s="169"/>
      <c r="AD14" s="168"/>
      <c r="AE14" s="168"/>
      <c r="AF14" s="169"/>
      <c r="AG14" s="168"/>
      <c r="AH14" s="169"/>
      <c r="AI14" s="169"/>
      <c r="AJ14" s="169"/>
      <c r="AK14" s="169"/>
      <c r="AL14" s="169"/>
      <c r="AM14" s="169"/>
      <c r="AN14" s="169"/>
      <c r="AO14" s="169"/>
      <c r="AP14" s="169"/>
      <c r="AQ14" s="169"/>
      <c r="AR14" s="169"/>
      <c r="AS14" s="169"/>
      <c r="AT14" s="168"/>
      <c r="AU14" s="168"/>
      <c r="AV14" s="169"/>
      <c r="AW14" s="169"/>
      <c r="AX14" s="168"/>
      <c r="AY14" s="169"/>
      <c r="AZ14" s="168"/>
      <c r="BA14" s="168"/>
      <c r="BB14" s="169"/>
      <c r="BC14" s="168"/>
      <c r="BD14" s="168"/>
      <c r="BE14" s="169"/>
      <c r="BF14" s="169"/>
      <c r="BG14" s="169"/>
      <c r="BH14" s="169"/>
      <c r="BI14" s="169"/>
      <c r="BJ14" s="169"/>
      <c r="BK14" s="169"/>
      <c r="BL14" s="169"/>
      <c r="BM14" s="169"/>
      <c r="BN14" s="169"/>
      <c r="BO14" s="169"/>
      <c r="BP14" s="169"/>
      <c r="BQ14" s="169"/>
      <c r="BR14" s="169"/>
      <c r="BS14" s="354"/>
      <c r="BT14" s="354"/>
      <c r="BU14" s="354"/>
      <c r="BV14" s="354"/>
      <c r="BW14" s="354"/>
      <c r="BX14" s="354"/>
      <c r="BY14" s="490"/>
      <c r="BZ14" s="428"/>
      <c r="CA14" s="428"/>
      <c r="CB14" s="477"/>
    </row>
    <row r="15" spans="1:80" s="5" customFormat="1">
      <c r="A15" s="419" t="str">
        <f>'1-συμβολαια'!A15</f>
        <v>6ο</v>
      </c>
      <c r="B15" s="416" t="str">
        <f>'1-συμβολαια'!C15</f>
        <v>υποθήκης 2ου   κύρου ;;;???;;;δρχ …..ΕΞΑΛΕΙΨΗ</v>
      </c>
      <c r="C15" s="402">
        <f>'5-αντίγρ'!AN15</f>
        <v>42</v>
      </c>
      <c r="D15" s="402">
        <f>'5-αντίγρ'!AM15</f>
        <v>1.98</v>
      </c>
      <c r="E15" s="355">
        <f>'6-μεταγρ'!Q15</f>
        <v>0</v>
      </c>
      <c r="F15" s="355">
        <f>'6-μεταγρ'!O15+'6-μεταγρ'!P15</f>
        <v>1.98</v>
      </c>
      <c r="G15" s="355">
        <f>'6-μεταγρ'!R15</f>
        <v>0</v>
      </c>
      <c r="H15" s="355">
        <f>'7-προςΔΟΥ'!W15</f>
        <v>0</v>
      </c>
      <c r="I15" s="311">
        <f>'7-προςΔΟΥ'!K15</f>
        <v>0</v>
      </c>
      <c r="J15" s="311"/>
      <c r="K15" s="312"/>
      <c r="L15" s="312"/>
      <c r="M15" s="312"/>
      <c r="N15" s="312"/>
      <c r="O15" s="312"/>
      <c r="P15" s="312"/>
      <c r="Q15" s="312"/>
      <c r="R15" s="312"/>
      <c r="S15" s="312"/>
      <c r="T15" s="312"/>
      <c r="U15" s="312"/>
      <c r="V15" s="312"/>
      <c r="W15" s="312"/>
      <c r="X15" s="312"/>
      <c r="Y15" s="312"/>
      <c r="Z15" s="312"/>
      <c r="AA15" s="312"/>
      <c r="AB15" s="312"/>
      <c r="AC15" s="312"/>
      <c r="AD15" s="310"/>
      <c r="AE15" s="310"/>
      <c r="AF15" s="312">
        <f t="shared" si="0"/>
        <v>0</v>
      </c>
      <c r="AG15" s="310"/>
      <c r="AH15" s="312"/>
      <c r="AI15" s="312"/>
      <c r="AJ15" s="312">
        <f t="shared" ref="AJ15" si="11">3*4</f>
        <v>12</v>
      </c>
      <c r="AK15" s="312"/>
      <c r="AL15" s="312"/>
      <c r="AM15" s="312"/>
      <c r="AN15" s="312"/>
      <c r="AO15" s="312"/>
      <c r="AP15" s="312"/>
      <c r="AQ15" s="312"/>
      <c r="AR15" s="312"/>
      <c r="AS15" s="312"/>
      <c r="AT15" s="310"/>
      <c r="AU15" s="310"/>
      <c r="AV15" s="312">
        <f t="shared" si="1"/>
        <v>12</v>
      </c>
      <c r="AW15" s="312">
        <v>8</v>
      </c>
      <c r="AX15" s="310"/>
      <c r="AY15" s="312">
        <v>8</v>
      </c>
      <c r="AZ15" s="310"/>
      <c r="BA15" s="310"/>
      <c r="BB15" s="312">
        <f t="shared" si="3"/>
        <v>16</v>
      </c>
      <c r="BC15" s="310"/>
      <c r="BD15" s="310"/>
      <c r="BE15" s="312"/>
      <c r="BF15" s="312">
        <f t="shared" si="4"/>
        <v>0</v>
      </c>
      <c r="BG15" s="312"/>
      <c r="BH15" s="312"/>
      <c r="BI15" s="312"/>
      <c r="BJ15" s="312"/>
      <c r="BK15" s="312"/>
      <c r="BL15" s="312"/>
      <c r="BM15" s="312"/>
      <c r="BN15" s="312"/>
      <c r="BO15" s="312">
        <v>0.3</v>
      </c>
      <c r="BP15" s="312">
        <v>0.45</v>
      </c>
      <c r="BQ15" s="312"/>
      <c r="BR15" s="312">
        <f t="shared" si="5"/>
        <v>0.75</v>
      </c>
      <c r="BS15" s="355"/>
      <c r="BT15" s="355"/>
      <c r="BU15" s="355"/>
      <c r="BV15" s="355"/>
      <c r="BW15" s="355"/>
      <c r="BX15" s="355">
        <f t="shared" si="6"/>
        <v>0</v>
      </c>
      <c r="BY15" s="490"/>
      <c r="BZ15" s="491">
        <f t="shared" si="7"/>
        <v>66.790000000000006</v>
      </c>
      <c r="CA15" s="491">
        <f t="shared" si="8"/>
        <v>3.96</v>
      </c>
      <c r="CB15" s="385"/>
    </row>
    <row r="16" spans="1:80" s="5" customFormat="1">
      <c r="A16" s="419">
        <f>'1-συμβολαια'!A16</f>
        <v>0</v>
      </c>
      <c r="B16" s="416" t="str">
        <f>'1-συμβολαια'!C16</f>
        <v>δανείου 2ου   κύρου 7000.000δρχ …..ΕΞΟΦΛΗΣΗ</v>
      </c>
      <c r="C16" s="402">
        <f>'5-αντίγρ'!AN16</f>
        <v>0</v>
      </c>
      <c r="D16" s="402">
        <f>'5-αντίγρ'!AM16</f>
        <v>0</v>
      </c>
      <c r="E16" s="355">
        <f>'6-μεταγρ'!Q16</f>
        <v>0</v>
      </c>
      <c r="F16" s="355">
        <f>'6-μεταγρ'!O16+'6-μεταγρ'!P16</f>
        <v>0</v>
      </c>
      <c r="G16" s="355">
        <f>'6-μεταγρ'!R16</f>
        <v>0</v>
      </c>
      <c r="H16" s="355">
        <f>'7-προςΔΟΥ'!W16</f>
        <v>0</v>
      </c>
      <c r="I16" s="311">
        <f>'7-προςΔΟΥ'!K16</f>
        <v>0</v>
      </c>
      <c r="J16" s="311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2"/>
      <c r="AA16" s="312"/>
      <c r="AB16" s="312"/>
      <c r="AC16" s="312"/>
      <c r="AD16" s="310"/>
      <c r="AE16" s="310"/>
      <c r="AF16" s="312">
        <f t="shared" si="0"/>
        <v>0</v>
      </c>
      <c r="AG16" s="310"/>
      <c r="AH16" s="312"/>
      <c r="AI16" s="312"/>
      <c r="AJ16" s="312"/>
      <c r="AK16" s="312"/>
      <c r="AL16" s="312"/>
      <c r="AM16" s="312"/>
      <c r="AN16" s="312"/>
      <c r="AO16" s="312"/>
      <c r="AP16" s="312"/>
      <c r="AQ16" s="312"/>
      <c r="AR16" s="312"/>
      <c r="AS16" s="312"/>
      <c r="AT16" s="310"/>
      <c r="AU16" s="310"/>
      <c r="AV16" s="312">
        <f t="shared" si="1"/>
        <v>0</v>
      </c>
      <c r="AW16" s="312"/>
      <c r="AX16" s="310"/>
      <c r="AY16" s="312"/>
      <c r="AZ16" s="310"/>
      <c r="BA16" s="310"/>
      <c r="BB16" s="312">
        <f t="shared" si="3"/>
        <v>0</v>
      </c>
      <c r="BC16" s="310"/>
      <c r="BD16" s="310"/>
      <c r="BE16" s="312"/>
      <c r="BF16" s="312">
        <f t="shared" si="4"/>
        <v>0</v>
      </c>
      <c r="BG16" s="312"/>
      <c r="BH16" s="312"/>
      <c r="BI16" s="312"/>
      <c r="BJ16" s="312"/>
      <c r="BK16" s="312"/>
      <c r="BL16" s="312"/>
      <c r="BM16" s="312"/>
      <c r="BN16" s="312"/>
      <c r="BO16" s="312">
        <v>0.3</v>
      </c>
      <c r="BP16" s="312">
        <v>0.45</v>
      </c>
      <c r="BQ16" s="312"/>
      <c r="BR16" s="312">
        <f t="shared" si="5"/>
        <v>0.75</v>
      </c>
      <c r="BS16" s="355"/>
      <c r="BT16" s="355"/>
      <c r="BU16" s="355"/>
      <c r="BV16" s="355"/>
      <c r="BW16" s="355"/>
      <c r="BX16" s="355">
        <f t="shared" si="6"/>
        <v>0</v>
      </c>
      <c r="BY16" s="490"/>
      <c r="BZ16" s="491">
        <f t="shared" si="7"/>
        <v>0.75</v>
      </c>
      <c r="CA16" s="491">
        <f t="shared" si="8"/>
        <v>0</v>
      </c>
      <c r="CB16" s="385"/>
    </row>
    <row r="17" spans="1:80" s="5" customFormat="1">
      <c r="A17" s="419">
        <f>'1-συμβολαια'!A17</f>
        <v>0</v>
      </c>
      <c r="B17" s="416" t="str">
        <f>'1-συμβολαια'!C17</f>
        <v>δανείου 2ου    κύρου …. ΤΟΚΟΙ {προπληρωθέντες VS υπερβάλλοντες}</v>
      </c>
      <c r="C17" s="402">
        <f>'5-αντίγρ'!AN17</f>
        <v>0</v>
      </c>
      <c r="D17" s="402">
        <f>'5-αντίγρ'!AM17</f>
        <v>0</v>
      </c>
      <c r="E17" s="355">
        <f>'6-μεταγρ'!Q17</f>
        <v>0</v>
      </c>
      <c r="F17" s="355">
        <f>'6-μεταγρ'!O17+'6-μεταγρ'!P17</f>
        <v>0</v>
      </c>
      <c r="G17" s="355">
        <f>'6-μεταγρ'!R17</f>
        <v>0</v>
      </c>
      <c r="H17" s="355">
        <f>'7-προςΔΟΥ'!W17</f>
        <v>0</v>
      </c>
      <c r="I17" s="311">
        <f>'7-προςΔΟΥ'!K17</f>
        <v>0</v>
      </c>
      <c r="J17" s="311"/>
      <c r="K17" s="312"/>
      <c r="L17" s="312"/>
      <c r="M17" s="312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312"/>
      <c r="AA17" s="312"/>
      <c r="AB17" s="312"/>
      <c r="AC17" s="312"/>
      <c r="AD17" s="310"/>
      <c r="AE17" s="310"/>
      <c r="AF17" s="312">
        <f t="shared" si="0"/>
        <v>0</v>
      </c>
      <c r="AG17" s="310"/>
      <c r="AH17" s="312"/>
      <c r="AI17" s="312"/>
      <c r="AJ17" s="312"/>
      <c r="AK17" s="312"/>
      <c r="AL17" s="312"/>
      <c r="AM17" s="312"/>
      <c r="AN17" s="312"/>
      <c r="AO17" s="312"/>
      <c r="AP17" s="312"/>
      <c r="AQ17" s="312"/>
      <c r="AR17" s="312"/>
      <c r="AS17" s="312"/>
      <c r="AT17" s="310"/>
      <c r="AU17" s="310"/>
      <c r="AV17" s="312">
        <f t="shared" si="1"/>
        <v>0</v>
      </c>
      <c r="AW17" s="312"/>
      <c r="AX17" s="310"/>
      <c r="AY17" s="312"/>
      <c r="AZ17" s="310"/>
      <c r="BA17" s="310"/>
      <c r="BB17" s="312">
        <f t="shared" si="3"/>
        <v>0</v>
      </c>
      <c r="BC17" s="310"/>
      <c r="BD17" s="310"/>
      <c r="BE17" s="312"/>
      <c r="BF17" s="312">
        <f t="shared" si="4"/>
        <v>0</v>
      </c>
      <c r="BG17" s="312"/>
      <c r="BH17" s="312"/>
      <c r="BI17" s="312"/>
      <c r="BJ17" s="312"/>
      <c r="BK17" s="312"/>
      <c r="BL17" s="312"/>
      <c r="BM17" s="312"/>
      <c r="BN17" s="312"/>
      <c r="BO17" s="312"/>
      <c r="BP17" s="312">
        <v>0.45</v>
      </c>
      <c r="BQ17" s="312"/>
      <c r="BR17" s="312">
        <f t="shared" si="5"/>
        <v>0.45</v>
      </c>
      <c r="BS17" s="355"/>
      <c r="BT17" s="355"/>
      <c r="BU17" s="355"/>
      <c r="BV17" s="355"/>
      <c r="BW17" s="355"/>
      <c r="BX17" s="355">
        <f t="shared" si="6"/>
        <v>0</v>
      </c>
      <c r="BY17" s="490"/>
      <c r="BZ17" s="491">
        <f t="shared" si="7"/>
        <v>0.45</v>
      </c>
      <c r="CA17" s="491">
        <f t="shared" si="8"/>
        <v>0</v>
      </c>
      <c r="CB17" s="385"/>
    </row>
    <row r="18" spans="1:80" s="19" customFormat="1">
      <c r="A18" s="28"/>
      <c r="B18" s="167"/>
      <c r="C18" s="195"/>
      <c r="D18" s="195"/>
      <c r="E18" s="354"/>
      <c r="F18" s="354"/>
      <c r="G18" s="354"/>
      <c r="H18" s="354"/>
      <c r="I18" s="427"/>
      <c r="J18" s="427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8"/>
      <c r="AE18" s="168"/>
      <c r="AF18" s="169"/>
      <c r="AG18" s="168"/>
      <c r="AH18" s="169"/>
      <c r="AI18" s="169"/>
      <c r="AJ18" s="169"/>
      <c r="AK18" s="169"/>
      <c r="AL18" s="169"/>
      <c r="AM18" s="169"/>
      <c r="AN18" s="169"/>
      <c r="AO18" s="169"/>
      <c r="AP18" s="169"/>
      <c r="AQ18" s="169"/>
      <c r="AR18" s="169"/>
      <c r="AS18" s="169"/>
      <c r="AT18" s="168"/>
      <c r="AU18" s="168"/>
      <c r="AV18" s="169"/>
      <c r="AW18" s="169"/>
      <c r="AX18" s="168"/>
      <c r="AY18" s="169"/>
      <c r="AZ18" s="168"/>
      <c r="BA18" s="168"/>
      <c r="BB18" s="169"/>
      <c r="BC18" s="168"/>
      <c r="BD18" s="168"/>
      <c r="BE18" s="169"/>
      <c r="BF18" s="169"/>
      <c r="BG18" s="169"/>
      <c r="BH18" s="169"/>
      <c r="BI18" s="169"/>
      <c r="BJ18" s="169"/>
      <c r="BK18" s="169"/>
      <c r="BL18" s="169"/>
      <c r="BM18" s="169"/>
      <c r="BN18" s="169"/>
      <c r="BO18" s="169"/>
      <c r="BP18" s="169"/>
      <c r="BQ18" s="169"/>
      <c r="BR18" s="169"/>
      <c r="BS18" s="354"/>
      <c r="BT18" s="354"/>
      <c r="BU18" s="354"/>
      <c r="BV18" s="354"/>
      <c r="BW18" s="354"/>
      <c r="BX18" s="354"/>
      <c r="BY18" s="490"/>
      <c r="BZ18" s="428"/>
      <c r="CA18" s="428"/>
      <c r="CB18" s="477"/>
    </row>
    <row r="19" spans="1:80" s="5" customFormat="1">
      <c r="A19" s="419" t="str">
        <f>'1-συμβολαια'!A19</f>
        <v>7ο</v>
      </c>
      <c r="B19" s="416" t="str">
        <f>'1-συμβολαια'!C19</f>
        <v>υποθήκης ???? 2.168.354δρχ …. ΕΞΑΛΕΙΨΗ</v>
      </c>
      <c r="C19" s="402">
        <f>'5-αντίγρ'!AN19</f>
        <v>8</v>
      </c>
      <c r="D19" s="402">
        <f>'5-αντίγρ'!AM19</f>
        <v>1.98</v>
      </c>
      <c r="E19" s="355">
        <f>'6-μεταγρ'!Q19</f>
        <v>0</v>
      </c>
      <c r="F19" s="355">
        <f>'6-μεταγρ'!O19+'6-μεταγρ'!P19</f>
        <v>1.98</v>
      </c>
      <c r="G19" s="355">
        <f>'6-μεταγρ'!R19</f>
        <v>0</v>
      </c>
      <c r="H19" s="355">
        <f>'7-προςΔΟΥ'!W19</f>
        <v>0</v>
      </c>
      <c r="I19" s="311">
        <f>'7-προςΔΟΥ'!K19</f>
        <v>0</v>
      </c>
      <c r="J19" s="311"/>
      <c r="K19" s="312"/>
      <c r="L19" s="312"/>
      <c r="M19" s="312"/>
      <c r="N19" s="312"/>
      <c r="O19" s="312"/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312"/>
      <c r="AA19" s="312"/>
      <c r="AB19" s="312"/>
      <c r="AC19" s="312"/>
      <c r="AD19" s="310"/>
      <c r="AE19" s="310"/>
      <c r="AF19" s="312">
        <f t="shared" si="0"/>
        <v>0</v>
      </c>
      <c r="AG19" s="310"/>
      <c r="AH19" s="312"/>
      <c r="AI19" s="312"/>
      <c r="AJ19" s="312">
        <f t="shared" ref="AJ19" si="12">3*4</f>
        <v>12</v>
      </c>
      <c r="AK19" s="312"/>
      <c r="AL19" s="312"/>
      <c r="AM19" s="312"/>
      <c r="AN19" s="312"/>
      <c r="AO19" s="312"/>
      <c r="AP19" s="312"/>
      <c r="AQ19" s="312"/>
      <c r="AR19" s="312"/>
      <c r="AS19" s="312"/>
      <c r="AT19" s="310"/>
      <c r="AU19" s="310"/>
      <c r="AV19" s="312">
        <f t="shared" si="1"/>
        <v>12</v>
      </c>
      <c r="AW19" s="312">
        <v>8</v>
      </c>
      <c r="AX19" s="310"/>
      <c r="AY19" s="312">
        <v>8</v>
      </c>
      <c r="AZ19" s="310"/>
      <c r="BA19" s="310"/>
      <c r="BB19" s="312">
        <f t="shared" si="3"/>
        <v>16</v>
      </c>
      <c r="BC19" s="310"/>
      <c r="BD19" s="310"/>
      <c r="BE19" s="312"/>
      <c r="BF19" s="312">
        <f t="shared" si="4"/>
        <v>0</v>
      </c>
      <c r="BG19" s="312"/>
      <c r="BH19" s="312"/>
      <c r="BI19" s="312"/>
      <c r="BJ19" s="312"/>
      <c r="BK19" s="312"/>
      <c r="BL19" s="312"/>
      <c r="BM19" s="312"/>
      <c r="BN19" s="312"/>
      <c r="BO19" s="312">
        <v>0.3</v>
      </c>
      <c r="BP19" s="312">
        <v>0.45</v>
      </c>
      <c r="BQ19" s="312"/>
      <c r="BR19" s="312">
        <f t="shared" si="5"/>
        <v>0.75</v>
      </c>
      <c r="BS19" s="355"/>
      <c r="BT19" s="355"/>
      <c r="BU19" s="355"/>
      <c r="BV19" s="355"/>
      <c r="BW19" s="355"/>
      <c r="BX19" s="355">
        <f t="shared" si="6"/>
        <v>0</v>
      </c>
      <c r="BY19" s="490"/>
      <c r="BZ19" s="491">
        <f t="shared" si="7"/>
        <v>32.79</v>
      </c>
      <c r="CA19" s="491">
        <f t="shared" si="8"/>
        <v>3.96</v>
      </c>
      <c r="CB19" s="385"/>
    </row>
    <row r="20" spans="1:80" s="5" customFormat="1">
      <c r="A20" s="419">
        <f>'1-συμβολαια'!A20</f>
        <v>0</v>
      </c>
      <c r="B20" s="416" t="str">
        <f>'1-συμβολαια'!C20</f>
        <v>δανείου ??? 2.168.354δρχ ….. ΕΞΟΦΛΗΣΗ</v>
      </c>
      <c r="C20" s="402">
        <f>'5-αντίγρ'!AN20</f>
        <v>0</v>
      </c>
      <c r="D20" s="402">
        <f>'5-αντίγρ'!AM20</f>
        <v>0</v>
      </c>
      <c r="E20" s="355">
        <f>'6-μεταγρ'!Q20</f>
        <v>0</v>
      </c>
      <c r="F20" s="355">
        <f>'6-μεταγρ'!O20+'6-μεταγρ'!P20</f>
        <v>0</v>
      </c>
      <c r="G20" s="355">
        <f>'6-μεταγρ'!R20</f>
        <v>0</v>
      </c>
      <c r="H20" s="355">
        <f>'7-προςΔΟΥ'!W20</f>
        <v>0</v>
      </c>
      <c r="I20" s="311">
        <f>'7-προςΔΟΥ'!K20</f>
        <v>0</v>
      </c>
      <c r="J20" s="311"/>
      <c r="K20" s="312"/>
      <c r="L20" s="312"/>
      <c r="M20" s="312"/>
      <c r="N20" s="312"/>
      <c r="O20" s="312"/>
      <c r="P20" s="312"/>
      <c r="Q20" s="312"/>
      <c r="R20" s="312"/>
      <c r="S20" s="312"/>
      <c r="T20" s="312"/>
      <c r="U20" s="312"/>
      <c r="V20" s="312"/>
      <c r="W20" s="312"/>
      <c r="X20" s="312"/>
      <c r="Y20" s="312"/>
      <c r="Z20" s="312"/>
      <c r="AA20" s="312"/>
      <c r="AB20" s="312"/>
      <c r="AC20" s="312"/>
      <c r="AD20" s="310"/>
      <c r="AE20" s="310"/>
      <c r="AF20" s="312">
        <f t="shared" si="0"/>
        <v>0</v>
      </c>
      <c r="AG20" s="310"/>
      <c r="AH20" s="312"/>
      <c r="AI20" s="312"/>
      <c r="AJ20" s="312"/>
      <c r="AK20" s="312"/>
      <c r="AL20" s="312"/>
      <c r="AM20" s="312"/>
      <c r="AN20" s="312"/>
      <c r="AO20" s="312"/>
      <c r="AP20" s="312"/>
      <c r="AQ20" s="312"/>
      <c r="AR20" s="312"/>
      <c r="AS20" s="312"/>
      <c r="AT20" s="310"/>
      <c r="AU20" s="310"/>
      <c r="AV20" s="312">
        <f t="shared" si="1"/>
        <v>0</v>
      </c>
      <c r="AW20" s="312"/>
      <c r="AX20" s="310"/>
      <c r="AY20" s="312"/>
      <c r="AZ20" s="310"/>
      <c r="BA20" s="310"/>
      <c r="BB20" s="312">
        <f t="shared" si="3"/>
        <v>0</v>
      </c>
      <c r="BC20" s="310"/>
      <c r="BD20" s="310"/>
      <c r="BE20" s="312"/>
      <c r="BF20" s="312">
        <f t="shared" si="4"/>
        <v>0</v>
      </c>
      <c r="BG20" s="312"/>
      <c r="BH20" s="312"/>
      <c r="BI20" s="312"/>
      <c r="BJ20" s="312"/>
      <c r="BK20" s="312"/>
      <c r="BL20" s="312"/>
      <c r="BM20" s="312"/>
      <c r="BN20" s="312"/>
      <c r="BO20" s="312">
        <v>0.3</v>
      </c>
      <c r="BP20" s="312">
        <v>0.45</v>
      </c>
      <c r="BQ20" s="312"/>
      <c r="BR20" s="312">
        <f t="shared" si="5"/>
        <v>0.75</v>
      </c>
      <c r="BS20" s="355"/>
      <c r="BT20" s="355"/>
      <c r="BU20" s="355"/>
      <c r="BV20" s="355"/>
      <c r="BW20" s="355"/>
      <c r="BX20" s="355">
        <f t="shared" si="6"/>
        <v>0</v>
      </c>
      <c r="BY20" s="490"/>
      <c r="BZ20" s="491">
        <f t="shared" si="7"/>
        <v>0.75</v>
      </c>
      <c r="CA20" s="491">
        <f t="shared" si="8"/>
        <v>0</v>
      </c>
      <c r="CB20" s="385"/>
    </row>
    <row r="21" spans="1:80" s="5" customFormat="1">
      <c r="A21" s="419">
        <f>'1-συμβολαια'!A21</f>
        <v>0</v>
      </c>
      <c r="B21" s="416" t="str">
        <f>'1-συμβολαια'!C21</f>
        <v>δανείου ???? ΤΟΚΟΙ</v>
      </c>
      <c r="C21" s="402">
        <f>'5-αντίγρ'!AN21</f>
        <v>0</v>
      </c>
      <c r="D21" s="402">
        <f>'5-αντίγρ'!AM21</f>
        <v>0</v>
      </c>
      <c r="E21" s="355">
        <f>'6-μεταγρ'!Q21</f>
        <v>0</v>
      </c>
      <c r="F21" s="355">
        <f>'6-μεταγρ'!O21+'6-μεταγρ'!P21</f>
        <v>0</v>
      </c>
      <c r="G21" s="355">
        <f>'6-μεταγρ'!R21</f>
        <v>0</v>
      </c>
      <c r="H21" s="355">
        <f>'7-προςΔΟΥ'!W21</f>
        <v>0</v>
      </c>
      <c r="I21" s="311">
        <f>'7-προςΔΟΥ'!K21</f>
        <v>0</v>
      </c>
      <c r="J21" s="311"/>
      <c r="K21" s="312"/>
      <c r="L21" s="312"/>
      <c r="M21" s="312"/>
      <c r="N21" s="312"/>
      <c r="O21" s="312"/>
      <c r="P21" s="312"/>
      <c r="Q21" s="312"/>
      <c r="R21" s="312"/>
      <c r="S21" s="312"/>
      <c r="T21" s="312"/>
      <c r="U21" s="312"/>
      <c r="V21" s="312"/>
      <c r="W21" s="312"/>
      <c r="X21" s="312"/>
      <c r="Y21" s="312"/>
      <c r="Z21" s="312"/>
      <c r="AA21" s="312"/>
      <c r="AB21" s="312"/>
      <c r="AC21" s="312"/>
      <c r="AD21" s="310"/>
      <c r="AE21" s="310"/>
      <c r="AF21" s="312">
        <f t="shared" si="0"/>
        <v>0</v>
      </c>
      <c r="AG21" s="310"/>
      <c r="AH21" s="312"/>
      <c r="AI21" s="312"/>
      <c r="AJ21" s="312"/>
      <c r="AK21" s="312"/>
      <c r="AL21" s="312"/>
      <c r="AM21" s="312"/>
      <c r="AN21" s="312"/>
      <c r="AO21" s="312"/>
      <c r="AP21" s="312"/>
      <c r="AQ21" s="312"/>
      <c r="AR21" s="312"/>
      <c r="AS21" s="312"/>
      <c r="AT21" s="310"/>
      <c r="AU21" s="310"/>
      <c r="AV21" s="312">
        <f t="shared" si="1"/>
        <v>0</v>
      </c>
      <c r="AW21" s="312"/>
      <c r="AX21" s="310"/>
      <c r="AY21" s="312"/>
      <c r="AZ21" s="310"/>
      <c r="BA21" s="310"/>
      <c r="BB21" s="312">
        <f t="shared" si="3"/>
        <v>0</v>
      </c>
      <c r="BC21" s="310"/>
      <c r="BD21" s="310"/>
      <c r="BE21" s="312"/>
      <c r="BF21" s="312">
        <f t="shared" si="4"/>
        <v>0</v>
      </c>
      <c r="BG21" s="312"/>
      <c r="BH21" s="312"/>
      <c r="BI21" s="312"/>
      <c r="BJ21" s="312"/>
      <c r="BK21" s="312"/>
      <c r="BL21" s="312"/>
      <c r="BM21" s="312"/>
      <c r="BN21" s="312"/>
      <c r="BO21" s="312"/>
      <c r="BP21" s="312">
        <v>0.45</v>
      </c>
      <c r="BQ21" s="312"/>
      <c r="BR21" s="312">
        <f t="shared" si="5"/>
        <v>0.45</v>
      </c>
      <c r="BS21" s="355"/>
      <c r="BT21" s="355"/>
      <c r="BU21" s="355"/>
      <c r="BV21" s="355"/>
      <c r="BW21" s="355"/>
      <c r="BX21" s="355">
        <f t="shared" si="6"/>
        <v>0</v>
      </c>
      <c r="BY21" s="490"/>
      <c r="BZ21" s="491">
        <f t="shared" si="7"/>
        <v>0.45</v>
      </c>
      <c r="CA21" s="491">
        <f t="shared" si="8"/>
        <v>0</v>
      </c>
      <c r="CB21" s="385"/>
    </row>
    <row r="22" spans="1:80" s="19" customFormat="1">
      <c r="A22" s="28"/>
      <c r="B22" s="167"/>
      <c r="C22" s="195"/>
      <c r="D22" s="195"/>
      <c r="E22" s="354"/>
      <c r="F22" s="354"/>
      <c r="G22" s="354"/>
      <c r="H22" s="354"/>
      <c r="I22" s="427"/>
      <c r="J22" s="427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169"/>
      <c r="X22" s="169"/>
      <c r="Y22" s="169"/>
      <c r="Z22" s="169"/>
      <c r="AA22" s="169"/>
      <c r="AB22" s="169"/>
      <c r="AC22" s="169"/>
      <c r="AD22" s="168"/>
      <c r="AE22" s="168"/>
      <c r="AF22" s="169"/>
      <c r="AG22" s="168"/>
      <c r="AH22" s="169"/>
      <c r="AI22" s="169"/>
      <c r="AJ22" s="169"/>
      <c r="AK22" s="169"/>
      <c r="AL22" s="169"/>
      <c r="AM22" s="169"/>
      <c r="AN22" s="169"/>
      <c r="AO22" s="169"/>
      <c r="AP22" s="169"/>
      <c r="AQ22" s="169"/>
      <c r="AR22" s="169"/>
      <c r="AS22" s="169"/>
      <c r="AT22" s="168"/>
      <c r="AU22" s="168"/>
      <c r="AV22" s="169"/>
      <c r="AW22" s="169"/>
      <c r="AX22" s="168"/>
      <c r="AY22" s="169"/>
      <c r="AZ22" s="168"/>
      <c r="BA22" s="168"/>
      <c r="BB22" s="169"/>
      <c r="BC22" s="168"/>
      <c r="BD22" s="168"/>
      <c r="BE22" s="169"/>
      <c r="BF22" s="169"/>
      <c r="BG22" s="169"/>
      <c r="BH22" s="169"/>
      <c r="BI22" s="169"/>
      <c r="BJ22" s="169"/>
      <c r="BK22" s="169"/>
      <c r="BL22" s="169"/>
      <c r="BM22" s="169"/>
      <c r="BN22" s="169"/>
      <c r="BO22" s="169"/>
      <c r="BP22" s="169"/>
      <c r="BQ22" s="169"/>
      <c r="BR22" s="169"/>
      <c r="BS22" s="354"/>
      <c r="BT22" s="354"/>
      <c r="BU22" s="354"/>
      <c r="BV22" s="354"/>
      <c r="BW22" s="354"/>
      <c r="BX22" s="354"/>
      <c r="BY22" s="490"/>
      <c r="BZ22" s="428"/>
      <c r="CA22" s="428"/>
      <c r="CB22" s="477"/>
    </row>
    <row r="23" spans="1:80" s="5" customFormat="1">
      <c r="A23" s="397">
        <f>'1-συμβολαια'!A23</f>
        <v>0</v>
      </c>
      <c r="B23" s="416" t="str">
        <f>'1-συμβολαια'!C23</f>
        <v>'του πλήρωσα ΚΑΙ τους φόρους''</v>
      </c>
      <c r="C23" s="402"/>
      <c r="D23" s="402"/>
      <c r="E23" s="355"/>
      <c r="F23" s="355"/>
      <c r="G23" s="355"/>
      <c r="H23" s="355"/>
      <c r="I23" s="311"/>
      <c r="J23" s="311"/>
      <c r="K23" s="312"/>
      <c r="L23" s="312"/>
      <c r="M23" s="312"/>
      <c r="N23" s="312"/>
      <c r="O23" s="312"/>
      <c r="P23" s="312"/>
      <c r="Q23" s="312"/>
      <c r="R23" s="312"/>
      <c r="S23" s="312"/>
      <c r="T23" s="312"/>
      <c r="U23" s="312"/>
      <c r="V23" s="312"/>
      <c r="W23" s="312"/>
      <c r="X23" s="312"/>
      <c r="Y23" s="312"/>
      <c r="Z23" s="312"/>
      <c r="AA23" s="312"/>
      <c r="AB23" s="312"/>
      <c r="AC23" s="312"/>
      <c r="AD23" s="310"/>
      <c r="AE23" s="310"/>
      <c r="AF23" s="312"/>
      <c r="AG23" s="310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0"/>
      <c r="AU23" s="310"/>
      <c r="AV23" s="312"/>
      <c r="AW23" s="312"/>
      <c r="AX23" s="310"/>
      <c r="AY23" s="312"/>
      <c r="AZ23" s="310"/>
      <c r="BA23" s="310"/>
      <c r="BB23" s="312"/>
      <c r="BC23" s="310"/>
      <c r="BD23" s="310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55"/>
      <c r="BT23" s="355"/>
      <c r="BU23" s="355"/>
      <c r="BV23" s="355"/>
      <c r="BW23" s="355"/>
      <c r="BX23" s="355"/>
      <c r="BY23" s="355"/>
      <c r="BZ23" s="491"/>
      <c r="CA23" s="491"/>
      <c r="CB23" s="385"/>
    </row>
    <row r="24" spans="1:80">
      <c r="A24" s="504" t="s">
        <v>47</v>
      </c>
      <c r="B24" s="505"/>
      <c r="C24" s="41">
        <f t="shared" ref="C24:I24" si="13">SUM(C3:C23)</f>
        <v>108</v>
      </c>
      <c r="D24" s="41">
        <f t="shared" si="13"/>
        <v>9.9</v>
      </c>
      <c r="E24" s="41">
        <f t="shared" si="13"/>
        <v>14.8</v>
      </c>
      <c r="F24" s="41">
        <f t="shared" si="13"/>
        <v>9.9</v>
      </c>
      <c r="G24" s="41">
        <f t="shared" si="13"/>
        <v>0</v>
      </c>
      <c r="H24" s="41">
        <f t="shared" si="13"/>
        <v>0</v>
      </c>
      <c r="I24" s="41">
        <f t="shared" si="13"/>
        <v>0</v>
      </c>
      <c r="J24" s="271"/>
      <c r="K24" s="41">
        <f t="shared" ref="K24:AF24" si="14">SUM(K3:K23)</f>
        <v>0</v>
      </c>
      <c r="L24" s="41">
        <f t="shared" si="14"/>
        <v>0</v>
      </c>
      <c r="M24" s="41">
        <f t="shared" si="14"/>
        <v>0</v>
      </c>
      <c r="N24" s="41">
        <f t="shared" si="14"/>
        <v>0</v>
      </c>
      <c r="O24" s="41">
        <f t="shared" si="14"/>
        <v>0</v>
      </c>
      <c r="P24" s="41">
        <f t="shared" si="14"/>
        <v>0</v>
      </c>
      <c r="Q24" s="41">
        <f t="shared" si="14"/>
        <v>0</v>
      </c>
      <c r="R24" s="41">
        <f t="shared" si="14"/>
        <v>0</v>
      </c>
      <c r="S24" s="41">
        <f t="shared" si="14"/>
        <v>0</v>
      </c>
      <c r="T24" s="41">
        <f t="shared" si="14"/>
        <v>0</v>
      </c>
      <c r="U24" s="41">
        <f t="shared" si="14"/>
        <v>0</v>
      </c>
      <c r="V24" s="41">
        <f t="shared" si="14"/>
        <v>0</v>
      </c>
      <c r="W24" s="41">
        <f t="shared" si="14"/>
        <v>0</v>
      </c>
      <c r="X24" s="41">
        <f t="shared" si="14"/>
        <v>0</v>
      </c>
      <c r="Y24" s="41">
        <f t="shared" si="14"/>
        <v>0</v>
      </c>
      <c r="Z24" s="41">
        <f t="shared" si="14"/>
        <v>0</v>
      </c>
      <c r="AA24" s="41">
        <f t="shared" si="14"/>
        <v>0</v>
      </c>
      <c r="AB24" s="41">
        <f t="shared" si="14"/>
        <v>0</v>
      </c>
      <c r="AC24" s="41">
        <f t="shared" si="14"/>
        <v>0</v>
      </c>
      <c r="AD24" s="41">
        <f t="shared" si="14"/>
        <v>0</v>
      </c>
      <c r="AE24" s="41">
        <f t="shared" si="14"/>
        <v>0</v>
      </c>
      <c r="AF24" s="41">
        <f t="shared" si="14"/>
        <v>0</v>
      </c>
      <c r="AG24" s="41"/>
      <c r="AH24" s="41">
        <f t="shared" ref="AH24:AS24" si="15">SUM(AH3:AH23)</f>
        <v>0</v>
      </c>
      <c r="AI24" s="41">
        <f t="shared" si="15"/>
        <v>0</v>
      </c>
      <c r="AJ24" s="41">
        <f t="shared" si="15"/>
        <v>60</v>
      </c>
      <c r="AK24" s="41">
        <f t="shared" si="15"/>
        <v>0</v>
      </c>
      <c r="AL24" s="41">
        <f t="shared" si="15"/>
        <v>0</v>
      </c>
      <c r="AM24" s="273">
        <f t="shared" si="15"/>
        <v>0</v>
      </c>
      <c r="AN24" s="41">
        <f t="shared" si="15"/>
        <v>0</v>
      </c>
      <c r="AO24" s="41">
        <f t="shared" si="15"/>
        <v>0</v>
      </c>
      <c r="AP24" s="41">
        <f t="shared" si="15"/>
        <v>0</v>
      </c>
      <c r="AQ24" s="41">
        <f t="shared" si="15"/>
        <v>0</v>
      </c>
      <c r="AR24" s="41">
        <f t="shared" si="15"/>
        <v>0</v>
      </c>
      <c r="AS24" s="41">
        <f t="shared" si="15"/>
        <v>0</v>
      </c>
      <c r="AT24" s="41"/>
      <c r="AU24" s="41">
        <f t="shared" ref="AU24:BN24" si="16">SUM(AU3:AU23)</f>
        <v>0</v>
      </c>
      <c r="AV24" s="41">
        <f t="shared" si="16"/>
        <v>60</v>
      </c>
      <c r="AW24" s="41">
        <f t="shared" si="16"/>
        <v>47.4</v>
      </c>
      <c r="AX24" s="277">
        <f t="shared" si="16"/>
        <v>0</v>
      </c>
      <c r="AY24" s="41">
        <f t="shared" si="16"/>
        <v>47.4</v>
      </c>
      <c r="AZ24" s="277">
        <f t="shared" si="16"/>
        <v>0</v>
      </c>
      <c r="BA24" s="277">
        <f t="shared" si="16"/>
        <v>0</v>
      </c>
      <c r="BB24" s="41">
        <f t="shared" si="16"/>
        <v>94.8</v>
      </c>
      <c r="BC24" s="41">
        <f t="shared" si="16"/>
        <v>0</v>
      </c>
      <c r="BD24" s="277">
        <f t="shared" si="16"/>
        <v>0</v>
      </c>
      <c r="BE24" s="41">
        <f t="shared" si="16"/>
        <v>0</v>
      </c>
      <c r="BF24" s="41">
        <f t="shared" si="16"/>
        <v>0</v>
      </c>
      <c r="BG24" s="41">
        <f t="shared" si="16"/>
        <v>0</v>
      </c>
      <c r="BH24" s="41">
        <f t="shared" si="16"/>
        <v>0</v>
      </c>
      <c r="BI24" s="41">
        <f t="shared" si="16"/>
        <v>0</v>
      </c>
      <c r="BJ24" s="41">
        <f t="shared" si="16"/>
        <v>0</v>
      </c>
      <c r="BK24" s="41">
        <f t="shared" si="16"/>
        <v>0</v>
      </c>
      <c r="BL24" s="41">
        <f t="shared" si="16"/>
        <v>0</v>
      </c>
      <c r="BM24" s="41">
        <f t="shared" si="16"/>
        <v>0</v>
      </c>
      <c r="BN24" s="41">
        <f t="shared" si="16"/>
        <v>0</v>
      </c>
      <c r="BO24" s="41"/>
      <c r="BP24" s="41"/>
      <c r="BQ24" s="41">
        <f t="shared" ref="BQ24:CA24" si="17">SUM(BQ3:BQ23)</f>
        <v>0</v>
      </c>
      <c r="BR24" s="41">
        <f t="shared" si="17"/>
        <v>9.75</v>
      </c>
      <c r="BS24" s="41">
        <f t="shared" si="17"/>
        <v>0</v>
      </c>
      <c r="BT24" s="41">
        <f t="shared" si="17"/>
        <v>0</v>
      </c>
      <c r="BU24" s="41">
        <f t="shared" si="17"/>
        <v>0</v>
      </c>
      <c r="BV24" s="41">
        <f t="shared" si="17"/>
        <v>0</v>
      </c>
      <c r="BW24" s="41">
        <f t="shared" si="17"/>
        <v>0</v>
      </c>
      <c r="BX24" s="41">
        <f t="shared" si="17"/>
        <v>0</v>
      </c>
      <c r="BY24" s="41">
        <f t="shared" si="17"/>
        <v>0</v>
      </c>
      <c r="BZ24" s="41">
        <f t="shared" si="17"/>
        <v>267.55</v>
      </c>
      <c r="CA24" s="41">
        <f t="shared" si="17"/>
        <v>19.8</v>
      </c>
      <c r="CB24" s="277"/>
    </row>
    <row r="25" spans="1:80" ht="11.25" customHeight="1"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</row>
    <row r="26" spans="1:80" ht="11.25" customHeight="1">
      <c r="C26" s="153"/>
      <c r="D26" s="153"/>
      <c r="E26" s="2"/>
      <c r="F26" s="2"/>
      <c r="G26" s="2"/>
      <c r="H26" s="2"/>
      <c r="I26" s="2"/>
      <c r="J26" s="2"/>
      <c r="K26" s="189" t="s">
        <v>473</v>
      </c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2"/>
      <c r="AG26" s="2"/>
      <c r="AH26" s="19" t="s">
        <v>487</v>
      </c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181" t="s">
        <v>189</v>
      </c>
      <c r="AX26" s="2"/>
      <c r="AY26" s="2"/>
      <c r="AZ26" s="2"/>
      <c r="BA26" s="2"/>
      <c r="BB26" s="2"/>
      <c r="BC26" s="181" t="s">
        <v>201</v>
      </c>
      <c r="BD26" s="2"/>
      <c r="BE26" s="2"/>
      <c r="BF26" s="2"/>
      <c r="BG26" s="181" t="s">
        <v>213</v>
      </c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 t="s">
        <v>513</v>
      </c>
      <c r="BT26" s="2"/>
      <c r="BU26" s="2"/>
      <c r="BV26" s="2"/>
      <c r="BW26" s="2"/>
      <c r="BX26" s="2"/>
      <c r="BY26" s="2"/>
      <c r="BZ26" s="2"/>
      <c r="CA26" s="2"/>
      <c r="CB26" s="2"/>
    </row>
    <row r="27" spans="1:80" ht="11.25" customHeight="1">
      <c r="C27" s="153"/>
      <c r="D27" s="153"/>
      <c r="E27" s="2"/>
      <c r="F27" s="2"/>
      <c r="G27" s="2"/>
      <c r="H27" s="2"/>
      <c r="I27" s="2"/>
      <c r="J27" s="2"/>
      <c r="K27" s="4"/>
      <c r="L27" s="358" t="s">
        <v>477</v>
      </c>
      <c r="M27" s="359"/>
      <c r="N27" s="359"/>
      <c r="O27" s="359"/>
      <c r="P27" s="359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2"/>
      <c r="AG27" s="2"/>
      <c r="AH27" s="2"/>
      <c r="AI27" s="189" t="s">
        <v>488</v>
      </c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76" t="s">
        <v>192</v>
      </c>
      <c r="AY27" s="2"/>
      <c r="AZ27" s="2"/>
      <c r="BA27" s="2"/>
      <c r="BB27" s="2"/>
      <c r="BC27" s="2"/>
      <c r="BD27" s="275" t="s">
        <v>202</v>
      </c>
      <c r="BE27" s="2"/>
      <c r="BF27" s="2"/>
      <c r="BG27" s="2"/>
      <c r="BH27" s="202" t="s">
        <v>216</v>
      </c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 t="s">
        <v>514</v>
      </c>
      <c r="BU27" s="2"/>
      <c r="BV27" s="2"/>
      <c r="BW27" s="2"/>
      <c r="BX27" s="2"/>
      <c r="BY27" s="2"/>
      <c r="BZ27" s="2"/>
      <c r="CA27" s="2"/>
      <c r="CB27" s="2"/>
    </row>
    <row r="28" spans="1:80" ht="11.25" customHeight="1">
      <c r="C28" s="153"/>
      <c r="D28" s="153"/>
      <c r="E28" s="2"/>
      <c r="F28" s="2"/>
      <c r="G28" s="2"/>
      <c r="H28" s="2"/>
      <c r="I28" s="2"/>
      <c r="J28" s="2"/>
      <c r="K28" s="4"/>
      <c r="L28" s="359"/>
      <c r="M28" s="358" t="s">
        <v>478</v>
      </c>
      <c r="N28" s="359"/>
      <c r="O28" s="359"/>
      <c r="P28" s="359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2"/>
      <c r="AG28" s="2"/>
      <c r="AH28" s="2"/>
      <c r="AI28" s="2"/>
      <c r="AJ28" s="19" t="s">
        <v>489</v>
      </c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4" t="s">
        <v>190</v>
      </c>
      <c r="AZ28" s="2"/>
      <c r="BA28" s="2"/>
      <c r="BB28" s="2"/>
      <c r="BC28" s="2"/>
      <c r="BD28" s="2"/>
      <c r="BE28" s="181" t="s">
        <v>203</v>
      </c>
      <c r="BF28" s="2"/>
      <c r="BG28" s="2"/>
      <c r="BH28" s="2"/>
      <c r="BI28" s="181" t="s">
        <v>217</v>
      </c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 t="s">
        <v>31</v>
      </c>
      <c r="BV28" s="2"/>
      <c r="BW28" s="2"/>
      <c r="BX28" s="2"/>
      <c r="BY28" s="2"/>
      <c r="BZ28" s="2"/>
      <c r="CA28" s="2"/>
      <c r="CB28" s="2"/>
    </row>
    <row r="29" spans="1:80" ht="11.25" customHeight="1">
      <c r="C29" s="153"/>
      <c r="D29" s="153"/>
      <c r="E29" s="2"/>
      <c r="F29" s="2"/>
      <c r="G29" s="2"/>
      <c r="H29" s="2"/>
      <c r="I29" s="2"/>
      <c r="J29" s="8" t="s">
        <v>530</v>
      </c>
      <c r="K29" s="4"/>
      <c r="L29" s="359"/>
      <c r="M29" s="359"/>
      <c r="N29" s="359" t="s">
        <v>479</v>
      </c>
      <c r="O29" s="359"/>
      <c r="P29" s="359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2"/>
      <c r="AG29" s="2"/>
      <c r="AH29" s="2"/>
      <c r="AI29" s="2"/>
      <c r="AJ29" s="2"/>
      <c r="AK29" s="140" t="s">
        <v>490</v>
      </c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76" t="s">
        <v>191</v>
      </c>
      <c r="BA29" s="2"/>
      <c r="BB29" s="2"/>
      <c r="BC29" s="2"/>
      <c r="BD29" s="2"/>
      <c r="BE29" s="2"/>
      <c r="BF29" s="2"/>
      <c r="BG29" s="2"/>
      <c r="BH29" s="2"/>
      <c r="BI29" s="2"/>
      <c r="BJ29" s="202" t="s">
        <v>219</v>
      </c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 t="s">
        <v>515</v>
      </c>
      <c r="BW29" s="2"/>
      <c r="BX29" s="2"/>
      <c r="BY29" s="2"/>
      <c r="BZ29" s="2"/>
      <c r="CA29" s="2"/>
      <c r="CB29" s="2"/>
    </row>
    <row r="30" spans="1:80" ht="11.25" customHeight="1">
      <c r="C30" s="153"/>
      <c r="D30" s="153"/>
      <c r="E30" s="2"/>
      <c r="F30" s="2"/>
      <c r="G30" s="2"/>
      <c r="H30" s="2"/>
      <c r="I30" s="2"/>
      <c r="J30" s="2"/>
      <c r="K30" s="4"/>
      <c r="L30" s="4"/>
      <c r="M30" s="4"/>
      <c r="N30" s="4"/>
      <c r="O30" s="4" t="s">
        <v>480</v>
      </c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2"/>
      <c r="AG30" s="2"/>
      <c r="AH30" s="2"/>
      <c r="AI30" s="2"/>
      <c r="AJ30" s="2"/>
      <c r="AK30" s="2"/>
      <c r="AL30" s="19" t="s">
        <v>491</v>
      </c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75" t="s">
        <v>198</v>
      </c>
      <c r="BB30" s="2"/>
      <c r="BC30" s="2"/>
      <c r="BD30" s="2"/>
      <c r="BE30" s="2"/>
      <c r="BF30" s="2"/>
      <c r="BG30" s="2"/>
      <c r="BH30" s="2"/>
      <c r="BI30" s="2"/>
      <c r="BJ30" s="2"/>
      <c r="BK30" s="181" t="s">
        <v>220</v>
      </c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 t="s">
        <v>59</v>
      </c>
      <c r="BX30" s="2"/>
      <c r="BY30" s="2"/>
      <c r="BZ30" s="3"/>
      <c r="CA30" s="3"/>
    </row>
    <row r="31" spans="1:80" ht="11.25" customHeight="1">
      <c r="C31" s="153"/>
      <c r="D31" s="153"/>
      <c r="E31" s="2"/>
      <c r="F31" s="2"/>
      <c r="G31" s="2"/>
      <c r="H31" s="2"/>
      <c r="I31" s="2"/>
      <c r="J31" s="2"/>
      <c r="K31" s="4"/>
      <c r="L31" s="4"/>
      <c r="M31" s="4"/>
      <c r="N31" s="4"/>
      <c r="O31" s="4"/>
      <c r="P31" s="4" t="s">
        <v>481</v>
      </c>
      <c r="Q31" s="4"/>
      <c r="R31" s="4"/>
      <c r="S31" s="4"/>
      <c r="T31" s="204"/>
      <c r="U31" s="204"/>
      <c r="V31" s="204"/>
      <c r="W31" s="4"/>
      <c r="X31" s="4"/>
      <c r="Y31" s="4"/>
      <c r="Z31" s="4"/>
      <c r="AA31" s="4"/>
      <c r="AB31" s="4"/>
      <c r="AC31" s="4"/>
      <c r="AD31" s="4"/>
      <c r="AE31" s="4"/>
      <c r="AF31" s="2"/>
      <c r="AG31" s="2"/>
      <c r="AH31" s="2"/>
      <c r="AI31" s="2"/>
      <c r="AJ31" s="2"/>
      <c r="AK31" s="2"/>
      <c r="AL31" s="2"/>
      <c r="AM31" s="274" t="s">
        <v>492</v>
      </c>
      <c r="AN31" s="140"/>
      <c r="AO31" s="140"/>
      <c r="AP31" s="140"/>
      <c r="AQ31" s="140"/>
      <c r="AR31" s="140"/>
      <c r="AS31" s="140"/>
      <c r="AT31" s="140"/>
      <c r="AU31" s="140"/>
      <c r="AV31" s="2"/>
      <c r="AW31" s="2"/>
      <c r="AX31" s="2"/>
      <c r="AY31" s="2"/>
      <c r="AZ31" s="2"/>
      <c r="BA31" s="2"/>
      <c r="BB31" s="2"/>
      <c r="BC31" s="2"/>
      <c r="BD31" s="2"/>
      <c r="BE31" s="181" t="s">
        <v>209</v>
      </c>
      <c r="BF31" s="2"/>
      <c r="BG31" s="2"/>
      <c r="BH31" s="2"/>
      <c r="BI31" s="2"/>
      <c r="BJ31" s="2"/>
      <c r="BK31" s="2"/>
      <c r="BL31" s="202" t="s">
        <v>221</v>
      </c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3"/>
      <c r="CA31" s="3"/>
    </row>
    <row r="32" spans="1:80" ht="11.25" customHeight="1">
      <c r="C32" s="153"/>
      <c r="D32" s="153"/>
      <c r="E32" s="2"/>
      <c r="F32" s="2"/>
      <c r="G32" s="2"/>
      <c r="H32" s="2"/>
      <c r="I32" s="2"/>
      <c r="J32" s="2"/>
      <c r="K32" s="4"/>
      <c r="L32" s="4"/>
      <c r="M32" s="4"/>
      <c r="N32" s="4"/>
      <c r="O32" s="4"/>
      <c r="P32" s="4"/>
      <c r="Q32" s="4" t="s">
        <v>450</v>
      </c>
      <c r="R32" s="4"/>
      <c r="S32" s="4"/>
      <c r="T32" s="204"/>
      <c r="U32" s="204"/>
      <c r="V32" s="204"/>
      <c r="W32" s="4"/>
      <c r="X32" s="4"/>
      <c r="Y32" s="4"/>
      <c r="Z32" s="4"/>
      <c r="AA32" s="4"/>
      <c r="AB32" s="4"/>
      <c r="AC32" s="4"/>
      <c r="AD32" s="4"/>
      <c r="AE32" s="4"/>
      <c r="AF32" s="2"/>
      <c r="AG32" s="2"/>
      <c r="AH32" s="2"/>
      <c r="AI32" s="2"/>
      <c r="AJ32" s="2"/>
      <c r="AK32" s="2"/>
      <c r="AL32" s="2"/>
      <c r="AM32" s="2"/>
      <c r="AN32" s="188" t="s">
        <v>493</v>
      </c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>
        <v>4</v>
      </c>
      <c r="AZ32" s="2"/>
      <c r="BA32" s="2"/>
      <c r="BB32" s="2"/>
      <c r="BC32" s="2"/>
      <c r="BD32" s="2"/>
      <c r="BE32" s="276" t="s">
        <v>207</v>
      </c>
      <c r="BF32" s="2"/>
      <c r="BG32" s="2"/>
      <c r="BH32" s="2"/>
      <c r="BI32" s="2"/>
      <c r="BJ32" s="2"/>
      <c r="BK32" s="2"/>
      <c r="BL32" s="202"/>
      <c r="BM32" s="181" t="s">
        <v>222</v>
      </c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3"/>
      <c r="CA32" s="3"/>
    </row>
    <row r="33" spans="3:79" ht="11.25" customHeight="1">
      <c r="C33" s="153"/>
      <c r="D33" s="153"/>
      <c r="E33" s="2"/>
      <c r="F33" s="2"/>
      <c r="G33" s="2"/>
      <c r="H33" s="2"/>
      <c r="I33" s="2"/>
      <c r="J33" s="2"/>
      <c r="K33" s="4"/>
      <c r="L33" s="4"/>
      <c r="M33" s="4"/>
      <c r="N33" s="4"/>
      <c r="O33" s="4"/>
      <c r="P33" s="4"/>
      <c r="Q33" s="4"/>
      <c r="R33" s="181" t="s">
        <v>452</v>
      </c>
      <c r="S33" s="4"/>
      <c r="T33" s="204"/>
      <c r="U33" s="204"/>
      <c r="V33" s="204"/>
      <c r="W33" s="4"/>
      <c r="X33" s="4"/>
      <c r="Y33" s="4"/>
      <c r="Z33" s="4"/>
      <c r="AA33" s="4"/>
      <c r="AB33" s="4"/>
      <c r="AC33" s="4"/>
      <c r="AD33" s="4"/>
      <c r="AE33" s="4"/>
      <c r="AF33" s="2"/>
      <c r="AG33" s="2"/>
      <c r="AH33" s="2"/>
      <c r="AI33" s="2"/>
      <c r="AJ33" s="2"/>
      <c r="AK33" s="2"/>
      <c r="AL33" s="2"/>
      <c r="AM33" s="2"/>
      <c r="AN33" s="2"/>
      <c r="AO33" s="140" t="s">
        <v>439</v>
      </c>
      <c r="AP33" s="140"/>
      <c r="AQ33" s="140"/>
      <c r="AR33" s="140"/>
      <c r="AS33" s="2"/>
      <c r="AT33" s="2"/>
      <c r="AU33" s="2"/>
      <c r="AV33" s="2"/>
      <c r="AW33" s="2"/>
      <c r="AX33" s="2"/>
      <c r="AY33" s="2">
        <v>7.4</v>
      </c>
      <c r="AZ33" s="2"/>
      <c r="BA33" s="2"/>
      <c r="BB33" s="2"/>
      <c r="BC33" s="2"/>
      <c r="BD33" s="2"/>
      <c r="BE33" s="181" t="s">
        <v>208</v>
      </c>
      <c r="BF33" s="2"/>
      <c r="BG33" s="2"/>
      <c r="BH33" s="2"/>
      <c r="BI33" s="2"/>
      <c r="BJ33" s="2"/>
      <c r="BK33" s="2"/>
      <c r="BL33" s="202"/>
      <c r="BM33" s="4"/>
      <c r="BN33" s="202" t="s">
        <v>519</v>
      </c>
      <c r="BO33" s="202"/>
      <c r="BP33" s="202"/>
      <c r="BQ33" s="2"/>
      <c r="BR33" s="2"/>
      <c r="BS33" s="2"/>
      <c r="BT33" s="2"/>
      <c r="BU33" s="2"/>
      <c r="BV33" s="2"/>
      <c r="BW33" s="2"/>
      <c r="BX33" s="2"/>
      <c r="BY33" s="2"/>
      <c r="BZ33" s="3"/>
      <c r="CA33" s="3"/>
    </row>
    <row r="34" spans="3:79">
      <c r="C34" s="86"/>
      <c r="D34" s="86"/>
      <c r="E34" s="2"/>
      <c r="F34" s="2"/>
      <c r="G34" s="2"/>
      <c r="H34" s="2"/>
      <c r="I34" s="2"/>
      <c r="J34" s="2"/>
      <c r="K34" s="4"/>
      <c r="L34" s="4"/>
      <c r="M34" s="4"/>
      <c r="N34" s="4"/>
      <c r="O34" s="4"/>
      <c r="P34" s="4"/>
      <c r="Q34" s="4"/>
      <c r="R34" s="4"/>
      <c r="S34" s="204" t="s">
        <v>483</v>
      </c>
      <c r="T34" s="204"/>
      <c r="U34" s="204"/>
      <c r="V34" s="204"/>
      <c r="W34" s="4"/>
      <c r="X34" s="4"/>
      <c r="Y34" s="4"/>
      <c r="Z34" s="4"/>
      <c r="AA34" s="4"/>
      <c r="AB34" s="4"/>
      <c r="AC34" s="4"/>
      <c r="AD34" s="4"/>
      <c r="AE34" s="4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188" t="s">
        <v>494</v>
      </c>
      <c r="AQ34" s="2"/>
      <c r="AR34" s="188"/>
      <c r="AS34" s="2"/>
      <c r="AT34" s="2"/>
      <c r="AU34" s="2"/>
      <c r="AV34" s="2"/>
      <c r="AW34" s="2"/>
      <c r="AX34" s="2"/>
      <c r="AY34" s="2">
        <f>SUM(AY32:AY33)</f>
        <v>11.4</v>
      </c>
      <c r="AZ34" s="2"/>
      <c r="BA34" s="2"/>
      <c r="BB34" s="2"/>
      <c r="BC34" s="2"/>
      <c r="BD34" s="2"/>
      <c r="BE34" s="202" t="s">
        <v>210</v>
      </c>
      <c r="BF34" s="2"/>
      <c r="BG34" s="2"/>
      <c r="BH34" s="2"/>
      <c r="BI34" s="2"/>
      <c r="BJ34" s="2"/>
      <c r="BK34" s="2"/>
      <c r="BL34" s="2"/>
      <c r="BM34" s="2"/>
      <c r="BN34" s="2"/>
      <c r="BO34" s="181" t="s">
        <v>427</v>
      </c>
      <c r="BP34" s="181"/>
      <c r="BQ34" s="2"/>
      <c r="BR34" s="2"/>
      <c r="BS34" s="2"/>
      <c r="BT34" s="2"/>
      <c r="BU34" s="2"/>
      <c r="BV34" s="2"/>
      <c r="BW34" s="2"/>
      <c r="BX34" s="2"/>
      <c r="BY34" s="2"/>
      <c r="BZ34" s="3"/>
      <c r="CA34" s="3"/>
    </row>
    <row r="35" spans="3:79">
      <c r="C35" s="86"/>
      <c r="D35" s="86"/>
      <c r="E35" s="2"/>
      <c r="F35" s="2"/>
      <c r="G35" s="2"/>
      <c r="H35" s="2"/>
      <c r="I35" s="2"/>
      <c r="J35" s="2"/>
      <c r="K35" s="4"/>
      <c r="L35" s="4"/>
      <c r="M35" s="4"/>
      <c r="N35" s="4"/>
      <c r="O35" s="4"/>
      <c r="P35" s="4"/>
      <c r="Q35" s="4"/>
      <c r="R35" s="4"/>
      <c r="S35" s="4"/>
      <c r="T35" s="4" t="s">
        <v>484</v>
      </c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2"/>
      <c r="AG35" s="2"/>
      <c r="AH35" s="2"/>
      <c r="AI35" s="2"/>
      <c r="AJ35" s="2"/>
      <c r="AK35" s="2"/>
      <c r="AL35" s="2"/>
      <c r="AM35" s="2"/>
      <c r="AN35" s="2"/>
      <c r="AO35" s="91"/>
      <c r="AP35" s="91"/>
      <c r="AQ35" s="140" t="s">
        <v>453</v>
      </c>
      <c r="AR35" s="140"/>
      <c r="AS35" s="91"/>
      <c r="AT35" s="91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422" t="s">
        <v>257</v>
      </c>
      <c r="BF35" s="2"/>
      <c r="BG35" s="2"/>
      <c r="BH35" s="2"/>
      <c r="BI35" s="2"/>
      <c r="BJ35" s="2"/>
      <c r="BK35" s="2"/>
      <c r="BL35" s="2"/>
      <c r="BM35" s="2"/>
      <c r="BN35" s="420"/>
      <c r="BO35" s="420"/>
      <c r="BP35" s="204" t="s">
        <v>426</v>
      </c>
      <c r="BQ35" s="2"/>
      <c r="BR35" s="2"/>
      <c r="BS35" s="2"/>
      <c r="BT35" s="2"/>
      <c r="BU35" s="2"/>
      <c r="BV35" s="2"/>
      <c r="BW35" s="2"/>
      <c r="BX35" s="2"/>
      <c r="BY35" s="2"/>
      <c r="BZ35" s="3"/>
      <c r="CA35" s="3"/>
    </row>
    <row r="36" spans="3:79">
      <c r="C36" s="86"/>
      <c r="D36" s="86"/>
      <c r="E36" s="2"/>
      <c r="F36" s="2"/>
      <c r="G36" s="2"/>
      <c r="H36" s="2"/>
      <c r="I36" s="2"/>
      <c r="J36" s="2"/>
      <c r="K36" s="4"/>
      <c r="L36" s="4"/>
      <c r="M36" s="4"/>
      <c r="N36" s="4"/>
      <c r="O36" s="4"/>
      <c r="P36" s="4"/>
      <c r="Q36" s="4"/>
      <c r="R36" s="4"/>
      <c r="S36" s="4"/>
      <c r="T36" s="4"/>
      <c r="U36" s="359" t="s">
        <v>485</v>
      </c>
      <c r="V36" s="204"/>
      <c r="W36" s="4"/>
      <c r="X36" s="4"/>
      <c r="Y36" s="4"/>
      <c r="Z36" s="4"/>
      <c r="AA36" s="4"/>
      <c r="AB36" s="4"/>
      <c r="AC36" s="4"/>
      <c r="AD36" s="4"/>
      <c r="AE36" s="4"/>
      <c r="AF36" s="2"/>
      <c r="AG36" s="2"/>
      <c r="AH36" s="2"/>
      <c r="AI36" s="2"/>
      <c r="AJ36" s="2"/>
      <c r="AK36" s="2"/>
      <c r="AL36" s="2"/>
      <c r="AM36" s="2"/>
      <c r="AN36" s="91"/>
      <c r="AO36" s="91"/>
      <c r="AP36" s="91"/>
      <c r="AQ36" s="2"/>
      <c r="AR36" s="140" t="s">
        <v>495</v>
      </c>
      <c r="AS36" s="140"/>
      <c r="AT36" s="91"/>
      <c r="AU36" s="91"/>
      <c r="AV36" s="91"/>
      <c r="AW36" s="91"/>
      <c r="AX36" s="91"/>
      <c r="AY36" s="91"/>
      <c r="AZ36" s="91"/>
      <c r="BA36" s="91"/>
      <c r="BB36" s="91"/>
      <c r="BC36" s="91"/>
      <c r="BD36" s="91"/>
      <c r="BE36" s="423" t="s">
        <v>258</v>
      </c>
      <c r="BF36" s="2"/>
      <c r="BG36" s="2"/>
      <c r="BH36" s="2"/>
      <c r="BI36" s="2"/>
      <c r="BJ36" s="2"/>
      <c r="BK36" s="2"/>
      <c r="BL36" s="2"/>
      <c r="BM36" s="420"/>
      <c r="BN36" s="420"/>
      <c r="BO36" s="420"/>
      <c r="BP36" s="420"/>
      <c r="BQ36" s="181" t="s">
        <v>458</v>
      </c>
      <c r="BR36" s="420"/>
      <c r="BS36" s="420"/>
      <c r="BT36" s="420"/>
      <c r="BU36" s="420"/>
      <c r="BV36" s="420"/>
      <c r="BW36" s="420"/>
      <c r="BX36" s="420"/>
      <c r="BY36" s="420"/>
      <c r="BZ36" s="91"/>
      <c r="CA36" s="3"/>
    </row>
    <row r="37" spans="3:79">
      <c r="C37" s="86"/>
      <c r="D37" s="86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4"/>
      <c r="P37" s="4"/>
      <c r="Q37" s="4"/>
      <c r="R37" s="4"/>
      <c r="S37" s="4"/>
      <c r="T37" s="4"/>
      <c r="U37" s="4"/>
      <c r="V37" s="181" t="s">
        <v>436</v>
      </c>
      <c r="W37" s="4"/>
      <c r="X37" s="4"/>
      <c r="Y37" s="4"/>
      <c r="Z37" s="4"/>
      <c r="AA37" s="4"/>
      <c r="AB37" s="4"/>
      <c r="AC37" s="4"/>
      <c r="AD37" s="4"/>
      <c r="AE37" s="4"/>
      <c r="AF37" s="2"/>
      <c r="AG37" s="2"/>
      <c r="AH37" s="2"/>
      <c r="AI37" s="2"/>
      <c r="AJ37" s="91"/>
      <c r="AK37" s="91"/>
      <c r="AL37" s="91"/>
      <c r="AM37" s="91"/>
      <c r="AN37" s="91"/>
      <c r="AO37" s="91"/>
      <c r="AP37" s="91"/>
      <c r="AQ37" s="2"/>
      <c r="AR37" s="2"/>
      <c r="AS37" s="188" t="s">
        <v>496</v>
      </c>
      <c r="AT37" s="2"/>
      <c r="AU37" s="2"/>
      <c r="AV37" s="2"/>
      <c r="AW37" s="91"/>
      <c r="AX37" s="91"/>
      <c r="AY37" s="91"/>
      <c r="AZ37" s="91"/>
      <c r="BA37" s="91"/>
      <c r="BB37" s="91"/>
      <c r="BC37" s="91"/>
      <c r="BD37" s="91"/>
      <c r="BE37" s="422" t="s">
        <v>259</v>
      </c>
      <c r="BF37" s="420"/>
      <c r="BG37" s="420"/>
      <c r="BH37" s="420"/>
      <c r="BI37" s="420"/>
      <c r="BJ37" s="420"/>
      <c r="BK37" s="420"/>
      <c r="BL37" s="420"/>
      <c r="BM37" s="420"/>
      <c r="BN37" s="420"/>
      <c r="BO37" s="420"/>
      <c r="BP37" s="420"/>
      <c r="BQ37" s="420"/>
      <c r="BR37" s="420"/>
      <c r="BS37" s="420"/>
      <c r="BT37" s="420"/>
      <c r="BU37" s="420"/>
      <c r="BV37" s="420"/>
      <c r="BW37" s="420"/>
      <c r="BX37" s="420"/>
      <c r="BY37" s="420"/>
      <c r="BZ37" s="3"/>
      <c r="CA37" s="3"/>
    </row>
    <row r="38" spans="3:79">
      <c r="C38" s="86"/>
      <c r="D38" s="86"/>
      <c r="K38" s="91"/>
      <c r="L38" s="91"/>
      <c r="M38" s="91"/>
      <c r="N38" s="91"/>
      <c r="O38" s="91"/>
      <c r="P38" s="91"/>
      <c r="Q38" s="91"/>
      <c r="R38" s="91"/>
      <c r="S38" s="4"/>
      <c r="T38" s="4"/>
      <c r="U38" s="4"/>
      <c r="V38" s="4"/>
      <c r="W38" s="204" t="s">
        <v>474</v>
      </c>
      <c r="X38" s="4"/>
      <c r="Y38" s="4"/>
      <c r="Z38" s="4"/>
      <c r="AA38" s="4"/>
      <c r="AB38" s="4"/>
      <c r="AC38" s="4"/>
      <c r="AD38" s="4"/>
      <c r="AE38" s="4"/>
      <c r="AF38" s="2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420"/>
      <c r="BF38" s="420"/>
      <c r="BG38" s="420"/>
      <c r="BH38" s="420"/>
      <c r="BI38" s="420"/>
      <c r="BJ38" s="420"/>
      <c r="BK38" s="420"/>
      <c r="BL38" s="420"/>
      <c r="BM38" s="420"/>
      <c r="BN38" s="420"/>
      <c r="BO38" s="420"/>
      <c r="BP38" s="420"/>
      <c r="BQ38" s="420"/>
      <c r="BR38" s="420"/>
      <c r="BS38" s="420"/>
      <c r="BT38" s="420"/>
      <c r="BU38" s="420"/>
      <c r="BV38" s="420"/>
      <c r="BW38" s="420"/>
      <c r="BX38" s="420"/>
      <c r="BY38" s="420"/>
      <c r="BZ38" s="3"/>
      <c r="CA38" s="3"/>
    </row>
    <row r="39" spans="3:79">
      <c r="C39" s="86"/>
      <c r="D39" s="86"/>
      <c r="M39" s="91"/>
      <c r="N39" s="91"/>
      <c r="O39" s="91"/>
      <c r="P39" s="91"/>
      <c r="Q39" s="91"/>
      <c r="R39" s="91"/>
      <c r="S39" s="4"/>
      <c r="T39" s="4"/>
      <c r="U39" s="4"/>
      <c r="V39" s="4"/>
      <c r="W39" s="4"/>
      <c r="X39" s="204" t="s">
        <v>482</v>
      </c>
      <c r="Y39" s="4"/>
      <c r="Z39" s="4"/>
      <c r="AA39" s="4"/>
      <c r="AB39" s="4"/>
      <c r="AC39" s="4"/>
      <c r="AD39" s="4"/>
      <c r="AE39" s="4"/>
      <c r="AF39" s="2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420"/>
      <c r="BF39" s="420"/>
      <c r="BG39" s="420"/>
      <c r="BH39" s="420"/>
      <c r="BI39" s="420"/>
      <c r="BJ39" s="420"/>
      <c r="BK39" s="420"/>
      <c r="BL39" s="420"/>
      <c r="BM39" s="420"/>
      <c r="BN39" s="420"/>
      <c r="BO39" s="420"/>
      <c r="BP39" s="420"/>
      <c r="BQ39" s="420"/>
      <c r="BR39" s="420"/>
      <c r="BS39" s="420"/>
      <c r="BT39" s="420"/>
      <c r="BU39" s="420"/>
      <c r="BV39" s="420"/>
      <c r="BW39" s="420"/>
      <c r="BX39" s="420"/>
      <c r="BY39" s="420"/>
      <c r="BZ39" s="3"/>
      <c r="CA39" s="3"/>
    </row>
    <row r="40" spans="3:79">
      <c r="C40" s="86"/>
      <c r="D40" s="86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4"/>
      <c r="X40" s="4"/>
      <c r="Y40" s="4" t="s">
        <v>475</v>
      </c>
      <c r="Z40" s="4"/>
      <c r="AA40" s="4"/>
      <c r="AB40" s="4"/>
      <c r="AC40" s="4"/>
      <c r="AD40" s="4"/>
      <c r="AE40" s="4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420"/>
      <c r="BF40" s="420"/>
      <c r="BG40" s="420"/>
      <c r="BH40" s="420"/>
      <c r="BI40" s="420"/>
      <c r="BJ40" s="420"/>
      <c r="BK40" s="420"/>
      <c r="BL40" s="420"/>
      <c r="BM40" s="420"/>
      <c r="BN40" s="420"/>
      <c r="BO40" s="420"/>
      <c r="BP40" s="420"/>
      <c r="BQ40" s="420"/>
      <c r="BR40" s="420"/>
      <c r="BS40" s="420"/>
      <c r="BT40" s="420"/>
      <c r="BU40" s="420"/>
      <c r="BV40" s="420"/>
      <c r="BW40" s="420"/>
      <c r="BX40" s="420"/>
      <c r="BY40" s="420"/>
      <c r="BZ40" s="3"/>
      <c r="CA40" s="3"/>
    </row>
    <row r="41" spans="3:79">
      <c r="C41" s="86"/>
      <c r="D41" s="86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4"/>
      <c r="X41" s="4"/>
      <c r="Y41" s="4"/>
      <c r="Z41" s="203" t="s">
        <v>402</v>
      </c>
      <c r="AA41" s="4"/>
      <c r="AB41" s="4"/>
      <c r="AC41" s="4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420"/>
      <c r="BF41" s="420"/>
      <c r="BG41" s="420"/>
      <c r="BH41" s="420"/>
      <c r="BI41" s="420"/>
      <c r="BJ41" s="420"/>
      <c r="BK41" s="420"/>
      <c r="BL41" s="420"/>
      <c r="BM41" s="420"/>
      <c r="BN41" s="420"/>
      <c r="BO41" s="420"/>
      <c r="BP41" s="420"/>
      <c r="BQ41" s="420"/>
      <c r="BR41" s="420"/>
      <c r="BS41" s="420"/>
      <c r="BT41" s="420"/>
      <c r="BU41" s="420"/>
      <c r="BV41" s="420"/>
      <c r="BW41" s="420"/>
      <c r="BX41" s="420"/>
      <c r="BY41" s="420"/>
      <c r="BZ41" s="3"/>
      <c r="CA41" s="3"/>
    </row>
    <row r="42" spans="3:79"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4"/>
      <c r="X42" s="4"/>
      <c r="Y42" s="4"/>
      <c r="Z42" s="4"/>
      <c r="AA42" s="204" t="s">
        <v>476</v>
      </c>
      <c r="AB42" s="91"/>
      <c r="AC42" s="420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420"/>
      <c r="BF42" s="420"/>
      <c r="BG42" s="420"/>
      <c r="BH42" s="420"/>
      <c r="BI42" s="420"/>
      <c r="BJ42" s="420"/>
      <c r="BK42" s="420"/>
      <c r="BL42" s="420"/>
      <c r="BM42" s="420"/>
      <c r="BN42" s="420"/>
      <c r="BO42" s="420"/>
      <c r="BP42" s="420"/>
      <c r="BQ42" s="420"/>
      <c r="BR42" s="420"/>
      <c r="BS42" s="420"/>
      <c r="BT42" s="420"/>
      <c r="BU42" s="420"/>
      <c r="BV42" s="420"/>
      <c r="BW42" s="420"/>
      <c r="BX42" s="420"/>
      <c r="BY42" s="420"/>
    </row>
    <row r="43" spans="3:79">
      <c r="L43" s="3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420"/>
      <c r="AA43" s="91"/>
      <c r="AB43" s="181" t="s">
        <v>456</v>
      </c>
      <c r="AC43" s="420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420"/>
      <c r="BF43" s="420"/>
      <c r="BG43" s="420"/>
      <c r="BH43" s="420"/>
      <c r="BI43" s="420"/>
      <c r="BJ43" s="420"/>
      <c r="BK43" s="420"/>
      <c r="BL43" s="420"/>
      <c r="BM43" s="420"/>
      <c r="BN43" s="420"/>
      <c r="BO43" s="420"/>
      <c r="BP43" s="420"/>
      <c r="BQ43" s="420"/>
      <c r="BR43" s="420"/>
      <c r="BS43" s="420"/>
      <c r="BT43" s="420"/>
      <c r="BU43" s="420"/>
      <c r="BV43" s="420"/>
      <c r="BW43" s="420"/>
      <c r="BX43" s="420"/>
      <c r="BY43" s="420"/>
    </row>
    <row r="44" spans="3:79">
      <c r="L44" s="3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420"/>
      <c r="AA44" s="91"/>
      <c r="AB44" s="91"/>
      <c r="AC44" s="204" t="s">
        <v>486</v>
      </c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420"/>
      <c r="BF44" s="420"/>
      <c r="BG44" s="420"/>
      <c r="BH44" s="420"/>
      <c r="BI44" s="420"/>
      <c r="BJ44" s="420"/>
      <c r="BK44" s="420"/>
      <c r="BL44" s="420"/>
      <c r="BM44" s="420"/>
      <c r="BN44" s="420"/>
      <c r="BO44" s="420"/>
      <c r="BP44" s="420"/>
      <c r="BQ44" s="420"/>
      <c r="BR44" s="420"/>
      <c r="BS44" s="420"/>
      <c r="BT44" s="420"/>
      <c r="BU44" s="420"/>
      <c r="BV44" s="420"/>
      <c r="BW44" s="420"/>
      <c r="BX44" s="420"/>
      <c r="BY44" s="420"/>
    </row>
    <row r="45" spans="3:79">
      <c r="L45" s="3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X45" s="91"/>
      <c r="Y45" s="91"/>
      <c r="Z45" s="420"/>
      <c r="AA45" s="91"/>
      <c r="AB45" s="91"/>
      <c r="AC45" s="420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420"/>
      <c r="BF45" s="420"/>
      <c r="BG45" s="420"/>
      <c r="BH45" s="420"/>
      <c r="BI45" s="420"/>
      <c r="BJ45" s="420"/>
      <c r="BK45" s="420"/>
      <c r="BL45" s="420"/>
      <c r="BM45" s="420"/>
      <c r="BN45" s="420"/>
      <c r="BO45" s="420"/>
      <c r="BP45" s="420"/>
      <c r="BQ45" s="420"/>
      <c r="BR45" s="420"/>
      <c r="BS45" s="420"/>
      <c r="BT45" s="420"/>
      <c r="BU45" s="420"/>
      <c r="BV45" s="420"/>
      <c r="BW45" s="420"/>
      <c r="BX45" s="420"/>
      <c r="BY45" s="420"/>
    </row>
    <row r="46" spans="3:79"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420"/>
      <c r="AA46" s="91"/>
      <c r="AB46" s="91"/>
      <c r="AC46" s="420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420"/>
      <c r="BF46" s="420"/>
      <c r="BG46" s="420"/>
      <c r="BH46" s="420"/>
      <c r="BI46" s="420"/>
      <c r="BJ46" s="420"/>
      <c r="BK46" s="420"/>
      <c r="BL46" s="420"/>
      <c r="BM46" s="420"/>
      <c r="BN46" s="420"/>
      <c r="BO46" s="420"/>
      <c r="BP46" s="420"/>
      <c r="BQ46" s="420"/>
      <c r="BR46" s="420"/>
      <c r="BS46" s="420"/>
      <c r="BT46" s="420"/>
      <c r="BU46" s="420"/>
      <c r="BV46" s="420"/>
      <c r="BW46" s="420"/>
      <c r="BX46" s="420"/>
      <c r="BY46" s="420"/>
    </row>
    <row r="47" spans="3:79"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420"/>
      <c r="AA47" s="91"/>
      <c r="AB47" s="91"/>
      <c r="AC47" s="420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420"/>
      <c r="BF47" s="420"/>
      <c r="BG47" s="420"/>
      <c r="BH47" s="420"/>
      <c r="BI47" s="420"/>
      <c r="BJ47" s="420"/>
      <c r="BK47" s="420"/>
      <c r="BL47" s="420"/>
      <c r="BM47" s="420"/>
      <c r="BN47" s="420"/>
      <c r="BO47" s="420"/>
      <c r="BP47" s="420"/>
      <c r="BQ47" s="420"/>
      <c r="BR47" s="420"/>
      <c r="BS47" s="420"/>
      <c r="BT47" s="420"/>
      <c r="BU47" s="420"/>
      <c r="BV47" s="420"/>
      <c r="BW47" s="420"/>
      <c r="BX47" s="420"/>
      <c r="BY47" s="420"/>
    </row>
    <row r="48" spans="3:79"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420"/>
      <c r="AA48" s="91"/>
      <c r="AB48" s="91"/>
      <c r="AC48" s="420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420"/>
      <c r="BF48" s="420"/>
      <c r="BG48" s="420"/>
      <c r="BH48" s="420"/>
      <c r="BI48" s="420"/>
      <c r="BJ48" s="420"/>
      <c r="BK48" s="420"/>
      <c r="BL48" s="420"/>
      <c r="BM48" s="420"/>
      <c r="BN48" s="420"/>
      <c r="BO48" s="420"/>
      <c r="BP48" s="420"/>
      <c r="BQ48" s="420"/>
      <c r="BR48" s="420"/>
      <c r="BS48" s="420"/>
      <c r="BT48" s="420"/>
      <c r="BU48" s="420"/>
      <c r="BV48" s="420"/>
      <c r="BW48" s="420"/>
      <c r="BX48" s="420"/>
      <c r="BY48" s="420"/>
    </row>
    <row r="49" spans="13:77"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420"/>
      <c r="AA49" s="91"/>
      <c r="AB49" s="91"/>
      <c r="AC49" s="420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420"/>
      <c r="BF49" s="420"/>
      <c r="BG49" s="420"/>
      <c r="BH49" s="420"/>
      <c r="BI49" s="420"/>
      <c r="BJ49" s="420"/>
      <c r="BK49" s="420"/>
      <c r="BL49" s="420"/>
      <c r="BM49" s="420"/>
      <c r="BN49" s="420"/>
      <c r="BO49" s="420"/>
      <c r="BP49" s="420"/>
      <c r="BQ49" s="420"/>
      <c r="BR49" s="420"/>
      <c r="BS49" s="420"/>
      <c r="BT49" s="420"/>
      <c r="BU49" s="420"/>
      <c r="BV49" s="420"/>
      <c r="BW49" s="420"/>
      <c r="BX49" s="420"/>
      <c r="BY49" s="420"/>
    </row>
    <row r="50" spans="13:77"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420"/>
      <c r="AA50" s="91"/>
      <c r="AB50" s="91"/>
      <c r="AC50" s="420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420"/>
      <c r="BF50" s="420"/>
      <c r="BG50" s="420"/>
      <c r="BH50" s="420"/>
      <c r="BI50" s="420"/>
      <c r="BJ50" s="420"/>
      <c r="BK50" s="420"/>
      <c r="BL50" s="420"/>
      <c r="BM50" s="420"/>
      <c r="BN50" s="420"/>
      <c r="BO50" s="420"/>
      <c r="BP50" s="420"/>
      <c r="BQ50" s="420"/>
      <c r="BR50" s="420"/>
      <c r="BS50" s="420"/>
      <c r="BT50" s="420"/>
      <c r="BU50" s="420"/>
      <c r="BV50" s="420"/>
      <c r="BW50" s="420"/>
      <c r="BX50" s="420"/>
      <c r="BY50" s="420"/>
    </row>
    <row r="51" spans="13:77"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420"/>
      <c r="AA51" s="91"/>
      <c r="AB51" s="91"/>
      <c r="AC51" s="420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420"/>
      <c r="BF51" s="420"/>
      <c r="BG51" s="420"/>
      <c r="BH51" s="420"/>
      <c r="BI51" s="420"/>
      <c r="BJ51" s="420"/>
      <c r="BK51" s="420"/>
      <c r="BL51" s="420"/>
      <c r="BM51" s="420"/>
      <c r="BN51" s="420"/>
      <c r="BO51" s="420"/>
      <c r="BP51" s="420"/>
      <c r="BQ51" s="420"/>
      <c r="BR51" s="420"/>
      <c r="BS51" s="420"/>
      <c r="BT51" s="420"/>
      <c r="BU51" s="420"/>
      <c r="BV51" s="420"/>
      <c r="BW51" s="420"/>
      <c r="BX51" s="420"/>
      <c r="BY51" s="420"/>
    </row>
    <row r="52" spans="13:77"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420"/>
      <c r="AA52" s="91"/>
      <c r="AB52" s="91"/>
      <c r="AC52" s="420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420"/>
      <c r="BF52" s="420"/>
      <c r="BG52" s="420"/>
      <c r="BH52" s="420"/>
      <c r="BI52" s="420"/>
      <c r="BJ52" s="420"/>
      <c r="BK52" s="420"/>
      <c r="BL52" s="420"/>
      <c r="BM52" s="420"/>
      <c r="BN52" s="420"/>
      <c r="BO52" s="420"/>
      <c r="BP52" s="420"/>
      <c r="BQ52" s="420"/>
      <c r="BR52" s="420"/>
      <c r="BS52" s="420"/>
      <c r="BT52" s="420"/>
      <c r="BU52" s="420"/>
      <c r="BV52" s="420"/>
      <c r="BW52" s="420"/>
      <c r="BX52" s="420"/>
      <c r="BY52" s="420"/>
    </row>
    <row r="53" spans="13:77"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420"/>
      <c r="AA53" s="91"/>
      <c r="AB53" s="91"/>
      <c r="AC53" s="420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420"/>
      <c r="BF53" s="420"/>
      <c r="BG53" s="420"/>
      <c r="BH53" s="420"/>
      <c r="BI53" s="420"/>
      <c r="BJ53" s="420"/>
      <c r="BK53" s="420"/>
      <c r="BL53" s="420"/>
      <c r="BM53" s="420"/>
      <c r="BN53" s="420"/>
      <c r="BO53" s="420"/>
      <c r="BP53" s="420"/>
      <c r="BQ53" s="420"/>
      <c r="BR53" s="420"/>
      <c r="BS53" s="420"/>
      <c r="BT53" s="420"/>
      <c r="BU53" s="420"/>
      <c r="BV53" s="420"/>
      <c r="BW53" s="420"/>
      <c r="BX53" s="420"/>
      <c r="BY53" s="420"/>
    </row>
    <row r="54" spans="13:77"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420"/>
      <c r="AA54" s="91"/>
      <c r="AB54" s="91"/>
      <c r="AC54" s="420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420"/>
      <c r="BF54" s="420"/>
      <c r="BG54" s="420"/>
      <c r="BH54" s="420"/>
      <c r="BI54" s="420"/>
      <c r="BJ54" s="420"/>
      <c r="BK54" s="420"/>
      <c r="BL54" s="420"/>
      <c r="BM54" s="420"/>
      <c r="BN54" s="420"/>
      <c r="BO54" s="420"/>
      <c r="BP54" s="420"/>
      <c r="BQ54" s="420"/>
      <c r="BR54" s="420"/>
      <c r="BS54" s="420"/>
      <c r="BT54" s="420"/>
      <c r="BU54" s="420"/>
      <c r="BV54" s="420"/>
      <c r="BW54" s="420"/>
      <c r="BX54" s="420"/>
      <c r="BY54" s="420"/>
    </row>
    <row r="55" spans="13:77"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420"/>
      <c r="AA55" s="91"/>
      <c r="AB55" s="91"/>
      <c r="AC55" s="420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420"/>
      <c r="BF55" s="420"/>
      <c r="BG55" s="420"/>
      <c r="BH55" s="420"/>
      <c r="BI55" s="420"/>
      <c r="BJ55" s="420"/>
      <c r="BK55" s="420"/>
      <c r="BL55" s="420"/>
      <c r="BM55" s="420"/>
      <c r="BN55" s="420"/>
      <c r="BO55" s="420"/>
      <c r="BP55" s="420"/>
      <c r="BQ55" s="420"/>
      <c r="BR55" s="420"/>
      <c r="BS55" s="420"/>
      <c r="BT55" s="420"/>
      <c r="BU55" s="420"/>
      <c r="BV55" s="420"/>
      <c r="BW55" s="420"/>
      <c r="BX55" s="420"/>
      <c r="BY55" s="420"/>
    </row>
  </sheetData>
  <mergeCells count="14">
    <mergeCell ref="BZ1:CB1"/>
    <mergeCell ref="A24:B24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pane ySplit="2" topLeftCell="A3" activePane="bottomLeft" state="frozen"/>
      <selection pane="bottomLeft" activeCell="G39" sqref="G39"/>
    </sheetView>
  </sheetViews>
  <sheetFormatPr defaultRowHeight="11.25"/>
  <cols>
    <col min="1" max="1" width="7.28515625" style="8" bestFit="1" customWidth="1"/>
    <col min="2" max="2" width="8.7109375" style="159" bestFit="1" customWidth="1"/>
    <col min="3" max="3" width="38" style="96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10.7109375" style="2" bestFit="1" customWidth="1"/>
    <col min="20" max="20" width="7.7109375" style="88" customWidth="1"/>
    <col min="21" max="24" width="5.85546875" style="3" customWidth="1"/>
    <col min="25" max="26" width="8.7109375" style="3" customWidth="1"/>
    <col min="27" max="28" width="3.28515625" style="3" bestFit="1" customWidth="1"/>
    <col min="29" max="16384" width="9.140625" style="3"/>
  </cols>
  <sheetData>
    <row r="1" spans="1:27" ht="15.75" customHeight="1">
      <c r="A1" s="698" t="s">
        <v>1</v>
      </c>
      <c r="B1" s="700" t="s">
        <v>2</v>
      </c>
      <c r="C1" s="702" t="s">
        <v>0</v>
      </c>
      <c r="D1" s="704" t="s">
        <v>7</v>
      </c>
      <c r="E1" s="693" t="s">
        <v>6</v>
      </c>
      <c r="F1" s="694"/>
      <c r="G1" s="695" t="s">
        <v>5</v>
      </c>
      <c r="H1" s="696"/>
      <c r="I1" s="693" t="s">
        <v>64</v>
      </c>
      <c r="J1" s="694"/>
      <c r="K1" s="563" t="s">
        <v>9</v>
      </c>
      <c r="L1" s="514" t="s">
        <v>403</v>
      </c>
      <c r="M1" s="709"/>
      <c r="N1" s="514" t="s">
        <v>82</v>
      </c>
      <c r="O1" s="515"/>
      <c r="P1" s="515"/>
      <c r="Q1" s="515"/>
      <c r="R1" s="515"/>
      <c r="S1" s="709"/>
      <c r="T1" s="705" t="s">
        <v>84</v>
      </c>
      <c r="U1" s="705"/>
      <c r="V1" s="705"/>
      <c r="W1" s="705"/>
      <c r="X1" s="705"/>
      <c r="Y1" s="705"/>
      <c r="Z1" s="705"/>
    </row>
    <row r="2" spans="1:27" ht="15.75" customHeight="1" thickBot="1">
      <c r="A2" s="699"/>
      <c r="B2" s="701"/>
      <c r="C2" s="703"/>
      <c r="D2" s="513"/>
      <c r="E2" s="65"/>
      <c r="F2" s="37" t="s">
        <v>9</v>
      </c>
      <c r="G2" s="65"/>
      <c r="H2" s="66" t="s">
        <v>9</v>
      </c>
      <c r="I2" s="65"/>
      <c r="J2" s="37" t="s">
        <v>9</v>
      </c>
      <c r="K2" s="564"/>
      <c r="L2" s="384"/>
      <c r="M2" s="206" t="s">
        <v>9</v>
      </c>
      <c r="N2" s="208" t="s">
        <v>141</v>
      </c>
      <c r="O2" s="208" t="s">
        <v>403</v>
      </c>
      <c r="P2" s="208" t="s">
        <v>368</v>
      </c>
      <c r="Q2" s="208" t="s">
        <v>59</v>
      </c>
      <c r="R2" s="208" t="s">
        <v>140</v>
      </c>
      <c r="S2" s="209" t="s">
        <v>295</v>
      </c>
      <c r="T2" s="706" t="s">
        <v>407</v>
      </c>
      <c r="U2" s="707"/>
      <c r="V2" s="707"/>
      <c r="W2" s="707"/>
      <c r="X2" s="707"/>
      <c r="Y2" s="708"/>
      <c r="Z2" s="210" t="s">
        <v>47</v>
      </c>
    </row>
    <row r="3" spans="1:27" s="5" customFormat="1">
      <c r="A3" s="419" t="str">
        <f>'1-συμβολαια'!A3</f>
        <v>3ο</v>
      </c>
      <c r="B3" s="430">
        <f>'1-συμβολαια'!B3</f>
        <v>38567</v>
      </c>
      <c r="C3" s="416" t="str">
        <f>'1-συμβολαια'!C3</f>
        <v>υποθήκης ????  5.495.705δρχ ΕΞΑΛΕΙΨΗ</v>
      </c>
      <c r="D3" s="424">
        <f>'1-συμβολαια'!D3</f>
        <v>16128.26</v>
      </c>
      <c r="E3" s="385"/>
      <c r="F3" s="385"/>
      <c r="G3" s="385"/>
      <c r="H3" s="385"/>
      <c r="I3" s="385"/>
      <c r="J3" s="385"/>
      <c r="K3" s="367">
        <f>'1-συμβολαια'!N3</f>
        <v>22.68</v>
      </c>
      <c r="L3" s="367">
        <f>'2-δικαιώμ'!N3+'5-αντίγρ'!O3</f>
        <v>32.110868000000004</v>
      </c>
      <c r="M3" s="2">
        <v>1.32</v>
      </c>
      <c r="N3" s="367">
        <f>'1-συμβολαια'!O3</f>
        <v>198.74825200000001</v>
      </c>
      <c r="O3" s="367">
        <f t="shared" ref="O3:O21" si="0">L3-M3</f>
        <v>30.790868000000003</v>
      </c>
      <c r="P3" s="367">
        <f>'8-κ-15-17'!AG3</f>
        <v>209.66738000000001</v>
      </c>
      <c r="Q3" s="367">
        <f>'11-χαρτόσ'!H3+'13-ντιΜιΧο'!CA3</f>
        <v>4.46</v>
      </c>
      <c r="R3" s="367">
        <f>'13-ντιΜιΧο'!BZ3</f>
        <v>62.389999999999993</v>
      </c>
      <c r="S3" s="492">
        <f>'13-ντιΜιΧο'!CB3</f>
        <v>0</v>
      </c>
      <c r="T3" s="313"/>
      <c r="U3" s="305"/>
      <c r="V3" s="305"/>
      <c r="W3" s="305"/>
      <c r="X3" s="305"/>
      <c r="Y3" s="305"/>
      <c r="Z3" s="308"/>
    </row>
    <row r="4" spans="1:27" s="5" customFormat="1">
      <c r="A4" s="419">
        <f>'1-συμβολαια'!A4</f>
        <v>0</v>
      </c>
      <c r="B4" s="430">
        <f>'1-συμβολαια'!B4</f>
        <v>0</v>
      </c>
      <c r="C4" s="416" t="str">
        <f>'1-συμβολαια'!C4</f>
        <v>δανείου ??? 5.495.700 δρχ …. ΕΞΟΦΛΗΣΗ</v>
      </c>
      <c r="D4" s="424">
        <f>'1-συμβολαια'!D4</f>
        <v>16128.26</v>
      </c>
      <c r="E4" s="385"/>
      <c r="F4" s="385"/>
      <c r="G4" s="385"/>
      <c r="H4" s="385"/>
      <c r="I4" s="385"/>
      <c r="J4" s="385"/>
      <c r="K4" s="367">
        <f>'1-συμβολαια'!N4</f>
        <v>0</v>
      </c>
      <c r="L4" s="367">
        <f>'2-δικαιώμ'!N4+'5-αντίγρ'!O4</f>
        <v>30.350868000000002</v>
      </c>
      <c r="M4" s="367"/>
      <c r="N4" s="367">
        <f>'1-συμβολαια'!O4</f>
        <v>195.18825200000001</v>
      </c>
      <c r="O4" s="367">
        <f t="shared" si="0"/>
        <v>30.350868000000002</v>
      </c>
      <c r="P4" s="367">
        <f>'8-κ-15-17'!AG4</f>
        <v>209.66738000000001</v>
      </c>
      <c r="Q4" s="367">
        <f>'11-χαρτόσ'!H4+'13-ντιΜιΧο'!CA4</f>
        <v>0.5</v>
      </c>
      <c r="R4" s="367">
        <f>'13-ντιΜιΧο'!BZ4</f>
        <v>0.75</v>
      </c>
      <c r="S4" s="492">
        <f>'13-ντιΜιΧο'!CB4</f>
        <v>0</v>
      </c>
      <c r="T4" s="313"/>
      <c r="U4" s="305"/>
      <c r="V4" s="305"/>
      <c r="W4" s="305"/>
      <c r="X4" s="305"/>
      <c r="Y4" s="305"/>
      <c r="Z4" s="308"/>
    </row>
    <row r="5" spans="1:27" s="5" customFormat="1">
      <c r="A5" s="419">
        <f>'1-συμβολαια'!A5</f>
        <v>0</v>
      </c>
      <c r="B5" s="430">
        <f>'1-συμβολαια'!B5</f>
        <v>0</v>
      </c>
      <c r="C5" s="416" t="str">
        <f>'1-συμβολαια'!C5</f>
        <v>δανείου ???? ΤΟΚΟΙ</v>
      </c>
      <c r="D5" s="424">
        <f>'1-συμβολαια'!D5</f>
        <v>33333.33</v>
      </c>
      <c r="E5" s="385"/>
      <c r="F5" s="385"/>
      <c r="G5" s="385"/>
      <c r="H5" s="385"/>
      <c r="I5" s="385"/>
      <c r="J5" s="385"/>
      <c r="K5" s="367">
        <f>'1-συμβολαια'!N5</f>
        <v>0</v>
      </c>
      <c r="L5" s="367">
        <f>'2-δικαιώμ'!N5+'5-αντίγρ'!O5</f>
        <v>61.319994000000008</v>
      </c>
      <c r="M5" s="367"/>
      <c r="N5" s="367">
        <f>'1-συμβολαια'!O5</f>
        <v>370.67996600000004</v>
      </c>
      <c r="O5" s="367">
        <f t="shared" si="0"/>
        <v>61.319994000000008</v>
      </c>
      <c r="P5" s="367">
        <f>'8-κ-15-17'!AG5</f>
        <v>433.33329000000003</v>
      </c>
      <c r="Q5" s="367">
        <f>'11-χαρτόσ'!H5+'13-ντιΜιΧο'!CA5</f>
        <v>0.5</v>
      </c>
      <c r="R5" s="367">
        <f>'13-ντιΜιΧο'!BZ5</f>
        <v>0.45</v>
      </c>
      <c r="S5" s="492">
        <f>'13-ντιΜιΧο'!CB5</f>
        <v>0</v>
      </c>
      <c r="T5" s="313"/>
      <c r="U5" s="305"/>
      <c r="V5" s="305"/>
      <c r="W5" s="305"/>
      <c r="X5" s="305"/>
      <c r="Y5" s="305"/>
      <c r="Z5" s="308"/>
    </row>
    <row r="6" spans="1:27">
      <c r="A6" s="28"/>
      <c r="B6" s="429"/>
      <c r="C6" s="167"/>
      <c r="D6" s="32"/>
      <c r="E6" s="35"/>
      <c r="F6" s="35"/>
      <c r="G6" s="35"/>
      <c r="H6" s="35"/>
      <c r="I6" s="35"/>
      <c r="J6" s="35"/>
      <c r="K6" s="17"/>
      <c r="L6" s="17"/>
      <c r="M6" s="17"/>
      <c r="N6" s="17"/>
      <c r="O6" s="17"/>
      <c r="P6" s="17"/>
      <c r="Q6" s="17"/>
      <c r="R6" s="17"/>
      <c r="S6" s="492"/>
      <c r="T6" s="461"/>
      <c r="U6" s="462"/>
      <c r="V6" s="462"/>
      <c r="W6" s="462"/>
      <c r="X6" s="462"/>
      <c r="Y6" s="462"/>
      <c r="Z6" s="13"/>
      <c r="AA6" s="19"/>
    </row>
    <row r="7" spans="1:27" s="5" customFormat="1">
      <c r="A7" s="419" t="str">
        <f>'1-συμβολαια'!A7</f>
        <v>4ο</v>
      </c>
      <c r="B7" s="430">
        <f>'1-συμβολαια'!B7</f>
        <v>38567</v>
      </c>
      <c r="C7" s="416" t="str">
        <f>'1-συμβολαια'!C7</f>
        <v>υποθήκης ???? 12.000.000δρχ ΕΞΑΛΕΙΨΗ</v>
      </c>
      <c r="D7" s="424">
        <f>'1-συμβολαια'!D7</f>
        <v>35216.43</v>
      </c>
      <c r="E7" s="385"/>
      <c r="F7" s="385"/>
      <c r="G7" s="385"/>
      <c r="H7" s="385"/>
      <c r="I7" s="385"/>
      <c r="J7" s="385"/>
      <c r="K7" s="367">
        <f>'1-συμβολαια'!N7</f>
        <v>22.68</v>
      </c>
      <c r="L7" s="367">
        <f>'2-δικαιώμ'!N7+'5-αντίγρ'!O7</f>
        <v>66.469574000000009</v>
      </c>
      <c r="M7" s="2">
        <v>1.32</v>
      </c>
      <c r="N7" s="367">
        <f>'1-συμβολαια'!O7</f>
        <v>393.44758600000006</v>
      </c>
      <c r="O7" s="367">
        <f t="shared" si="0"/>
        <v>65.149574000000015</v>
      </c>
      <c r="P7" s="367">
        <f>'8-κ-15-17'!AG7</f>
        <v>457.81359000000003</v>
      </c>
      <c r="Q7" s="367">
        <f>'11-χαρτόσ'!H7+'13-ντιΜιΧο'!CA7</f>
        <v>4.46</v>
      </c>
      <c r="R7" s="367">
        <f>'13-ντιΜιΧο'!BZ7</f>
        <v>32.79</v>
      </c>
      <c r="S7" s="492">
        <f>'13-ντιΜιΧο'!CB7</f>
        <v>0</v>
      </c>
      <c r="T7" s="313"/>
      <c r="U7" s="305"/>
      <c r="V7" s="305"/>
      <c r="W7" s="305"/>
      <c r="X7" s="305"/>
      <c r="Y7" s="305"/>
      <c r="Z7" s="308"/>
    </row>
    <row r="8" spans="1:27" s="5" customFormat="1">
      <c r="A8" s="419">
        <f>'1-συμβολαια'!A8</f>
        <v>0</v>
      </c>
      <c r="B8" s="430">
        <f>'1-συμβολαια'!B8</f>
        <v>0</v>
      </c>
      <c r="C8" s="416" t="str">
        <f>'1-συμβολαια'!C8</f>
        <v>δανείου ??? 12.000.000δρχ …. ΕΞΟΦΛΗΣΗ</v>
      </c>
      <c r="D8" s="424">
        <f>'1-συμβολαια'!D8</f>
        <v>35216.43</v>
      </c>
      <c r="E8" s="385"/>
      <c r="F8" s="385"/>
      <c r="G8" s="385"/>
      <c r="H8" s="385"/>
      <c r="I8" s="385"/>
      <c r="J8" s="385"/>
      <c r="K8" s="367">
        <f>'1-συμβολαια'!N8</f>
        <v>0</v>
      </c>
      <c r="L8" s="367">
        <f>'2-δικαιώμ'!N8+'5-αντίγρ'!O8</f>
        <v>64.709574000000003</v>
      </c>
      <c r="M8" s="367"/>
      <c r="N8" s="367">
        <f>'1-συμβολαια'!O8</f>
        <v>389.88758600000006</v>
      </c>
      <c r="O8" s="367">
        <f t="shared" si="0"/>
        <v>64.709574000000003</v>
      </c>
      <c r="P8" s="367">
        <f>'8-κ-15-17'!AG8</f>
        <v>457.81359000000003</v>
      </c>
      <c r="Q8" s="367">
        <f>'11-χαρτόσ'!H8+'13-ντιΜιΧο'!CA8</f>
        <v>0.5</v>
      </c>
      <c r="R8" s="367">
        <f>'13-ντιΜιΧο'!BZ8</f>
        <v>0.75</v>
      </c>
      <c r="S8" s="492">
        <f>'13-ντιΜιΧο'!CB8</f>
        <v>0</v>
      </c>
      <c r="T8" s="313"/>
      <c r="U8" s="305"/>
      <c r="V8" s="305"/>
      <c r="W8" s="305"/>
      <c r="X8" s="305"/>
      <c r="Y8" s="305"/>
      <c r="Z8" s="308"/>
    </row>
    <row r="9" spans="1:27" s="5" customFormat="1">
      <c r="A9" s="419">
        <f>'1-συμβολαια'!A9</f>
        <v>0</v>
      </c>
      <c r="B9" s="430">
        <f>'1-συμβολαια'!B9</f>
        <v>0</v>
      </c>
      <c r="C9" s="416" t="str">
        <f>'1-συμβολαια'!C9</f>
        <v>δανείου ???? ΤΟΚΟΙ</v>
      </c>
      <c r="D9" s="424">
        <f>'1-συμβολαια'!D9</f>
        <v>77777.77</v>
      </c>
      <c r="E9" s="385"/>
      <c r="F9" s="385"/>
      <c r="G9" s="385"/>
      <c r="H9" s="385"/>
      <c r="I9" s="385"/>
      <c r="J9" s="385"/>
      <c r="K9" s="367">
        <f>'1-συμβολαια'!N9</f>
        <v>0</v>
      </c>
      <c r="L9" s="367">
        <f>'2-δικαιώμ'!N9+'5-αντίγρ'!O9</f>
        <v>141.319986</v>
      </c>
      <c r="M9" s="367"/>
      <c r="N9" s="367">
        <f>'1-συμβολαια'!O9</f>
        <v>824.01325400000007</v>
      </c>
      <c r="O9" s="367">
        <f t="shared" si="0"/>
        <v>141.319986</v>
      </c>
      <c r="P9" s="367">
        <f>'8-κ-15-17'!AG9</f>
        <v>1011.1110100000002</v>
      </c>
      <c r="Q9" s="367">
        <f>'11-χαρτόσ'!H9+'13-ντιΜιΧο'!CA9</f>
        <v>0.5</v>
      </c>
      <c r="R9" s="367">
        <f>'13-ντιΜιΧο'!BZ9</f>
        <v>0.45</v>
      </c>
      <c r="S9" s="492">
        <f>'13-ντιΜιΧο'!CB9</f>
        <v>0</v>
      </c>
      <c r="T9" s="313"/>
      <c r="U9" s="305"/>
      <c r="V9" s="305"/>
      <c r="W9" s="305"/>
      <c r="X9" s="305"/>
      <c r="Y9" s="305"/>
      <c r="Z9" s="308"/>
    </row>
    <row r="10" spans="1:27">
      <c r="A10" s="28"/>
      <c r="B10" s="429"/>
      <c r="C10" s="167"/>
      <c r="D10" s="32"/>
      <c r="E10" s="35"/>
      <c r="F10" s="35"/>
      <c r="G10" s="35"/>
      <c r="H10" s="35"/>
      <c r="I10" s="35"/>
      <c r="J10" s="35"/>
      <c r="K10" s="17"/>
      <c r="L10" s="17"/>
      <c r="M10" s="17"/>
      <c r="N10" s="17"/>
      <c r="O10" s="17"/>
      <c r="P10" s="17"/>
      <c r="Q10" s="17"/>
      <c r="R10" s="17"/>
      <c r="S10" s="492"/>
      <c r="T10" s="461"/>
      <c r="U10" s="462"/>
      <c r="V10" s="462"/>
      <c r="W10" s="462"/>
      <c r="X10" s="462"/>
      <c r="Y10" s="462"/>
      <c r="Z10" s="13"/>
      <c r="AA10" s="19"/>
    </row>
    <row r="11" spans="1:27" s="5" customFormat="1">
      <c r="A11" s="419" t="str">
        <f>'1-συμβολαια'!A11</f>
        <v>5ο</v>
      </c>
      <c r="B11" s="430">
        <f>'1-συμβολαια'!B11</f>
        <v>38567</v>
      </c>
      <c r="C11" s="416" t="str">
        <f>'1-συμβολαια'!C11</f>
        <v>υποθήκης 1ου   κύρου ;;;???;;;δρχ ΕΞΑΛΕΙΨΗ</v>
      </c>
      <c r="D11" s="424">
        <f>'1-συμβολαια'!D11</f>
        <v>0</v>
      </c>
      <c r="E11" s="385"/>
      <c r="F11" s="385"/>
      <c r="G11" s="385"/>
      <c r="H11" s="385"/>
      <c r="I11" s="385"/>
      <c r="J11" s="385"/>
      <c r="K11" s="367">
        <f>'1-συμβολαια'!N11</f>
        <v>22.68</v>
      </c>
      <c r="L11" s="367">
        <f>'2-δικαιώμ'!N11+'5-αντίγρ'!O11</f>
        <v>3.08</v>
      </c>
      <c r="M11" s="2">
        <v>1.32</v>
      </c>
      <c r="N11" s="367">
        <f>'1-συμβολαια'!O11</f>
        <v>34.24</v>
      </c>
      <c r="O11" s="367">
        <f t="shared" si="0"/>
        <v>1.76</v>
      </c>
      <c r="P11" s="367">
        <f>'8-κ-15-17'!AG11</f>
        <v>0</v>
      </c>
      <c r="Q11" s="367">
        <f>'11-χαρτόσ'!H11+'13-ντιΜιΧο'!CA11</f>
        <v>4.46</v>
      </c>
      <c r="R11" s="367">
        <f>'13-ντιΜιΧο'!BZ11</f>
        <v>66.790000000000006</v>
      </c>
      <c r="S11" s="492">
        <f>'13-ντιΜιΧο'!CB11</f>
        <v>0</v>
      </c>
      <c r="T11" s="313"/>
      <c r="U11" s="305"/>
      <c r="V11" s="305"/>
      <c r="W11" s="305"/>
      <c r="X11" s="305"/>
      <c r="Y11" s="305"/>
      <c r="Z11" s="308"/>
    </row>
    <row r="12" spans="1:27" s="5" customFormat="1">
      <c r="A12" s="419">
        <f>'1-συμβολαια'!A12</f>
        <v>0</v>
      </c>
      <c r="B12" s="430">
        <f>'1-συμβολαια'!B12</f>
        <v>0</v>
      </c>
      <c r="C12" s="416" t="str">
        <f>'1-συμβολαια'!C12</f>
        <v>δανείου 1ου   κύρου 1.050.000δρχ ...ΕΞΟΦΛΗΣΗ</v>
      </c>
      <c r="D12" s="424">
        <f>'1-συμβολαια'!D12</f>
        <v>0</v>
      </c>
      <c r="E12" s="385"/>
      <c r="F12" s="385"/>
      <c r="G12" s="385"/>
      <c r="H12" s="385"/>
      <c r="I12" s="385"/>
      <c r="J12" s="385"/>
      <c r="K12" s="367">
        <f>'1-συμβολαια'!N12</f>
        <v>0</v>
      </c>
      <c r="L12" s="367">
        <f>'2-δικαιώμ'!N12+'5-αντίγρ'!O12</f>
        <v>1.3200000000000003</v>
      </c>
      <c r="M12" s="367"/>
      <c r="N12" s="367">
        <f>'1-συμβολαια'!O12</f>
        <v>30.68</v>
      </c>
      <c r="O12" s="367">
        <f t="shared" si="0"/>
        <v>1.3200000000000003</v>
      </c>
      <c r="P12" s="367">
        <f>'8-κ-15-17'!AG12</f>
        <v>0</v>
      </c>
      <c r="Q12" s="367">
        <f>'11-χαρτόσ'!H12+'13-ντιΜιΧο'!CA12</f>
        <v>0.5</v>
      </c>
      <c r="R12" s="367">
        <f>'13-ντιΜιΧο'!BZ12</f>
        <v>0.75</v>
      </c>
      <c r="S12" s="492">
        <f>'13-ντιΜιΧο'!CB12</f>
        <v>0</v>
      </c>
      <c r="T12" s="313"/>
      <c r="U12" s="305"/>
      <c r="V12" s="305"/>
      <c r="W12" s="305"/>
      <c r="X12" s="305"/>
      <c r="Y12" s="305"/>
      <c r="Z12" s="308"/>
    </row>
    <row r="13" spans="1:27" s="5" customFormat="1">
      <c r="A13" s="419">
        <f>'1-συμβολαια'!A13</f>
        <v>0</v>
      </c>
      <c r="B13" s="430">
        <f>'1-συμβολαια'!B13</f>
        <v>0</v>
      </c>
      <c r="C13" s="416" t="str">
        <f>'1-συμβολαια'!C13</f>
        <v>δανείου 1ου   κύρου ΤΟΚΟΙ {προπληρωθέντες VS υπερβάλλοντες}</v>
      </c>
      <c r="D13" s="424">
        <f>'1-συμβολαια'!D13</f>
        <v>666.66</v>
      </c>
      <c r="E13" s="385"/>
      <c r="F13" s="385"/>
      <c r="G13" s="385"/>
      <c r="H13" s="385"/>
      <c r="I13" s="385"/>
      <c r="J13" s="385"/>
      <c r="K13" s="367">
        <f>'1-συμβολαια'!N13</f>
        <v>0</v>
      </c>
      <c r="L13" s="367">
        <f>'2-δικαιώμ'!N13+'5-αντίγρ'!O13</f>
        <v>2.5199880000000001</v>
      </c>
      <c r="M13" s="367"/>
      <c r="N13" s="367">
        <f>'1-συμβολαια'!O13</f>
        <v>37.479931999999998</v>
      </c>
      <c r="O13" s="367">
        <f t="shared" si="0"/>
        <v>2.5199880000000001</v>
      </c>
      <c r="P13" s="367">
        <f>'8-κ-15-17'!AG13</f>
        <v>8.6665799999999997</v>
      </c>
      <c r="Q13" s="367">
        <f>'11-χαρτόσ'!H13+'13-ντιΜιΧο'!CA13</f>
        <v>0.5</v>
      </c>
      <c r="R13" s="367">
        <f>'13-ντιΜιΧο'!BZ13</f>
        <v>0.45</v>
      </c>
      <c r="S13" s="492">
        <f>'13-ντιΜιΧο'!CB13</f>
        <v>0</v>
      </c>
      <c r="T13" s="313"/>
      <c r="U13" s="305"/>
      <c r="V13" s="305"/>
      <c r="W13" s="305"/>
      <c r="X13" s="305"/>
      <c r="Y13" s="305"/>
      <c r="Z13" s="308"/>
    </row>
    <row r="14" spans="1:27">
      <c r="A14" s="28"/>
      <c r="B14" s="429"/>
      <c r="C14" s="167"/>
      <c r="D14" s="32"/>
      <c r="E14" s="35"/>
      <c r="F14" s="35"/>
      <c r="G14" s="35"/>
      <c r="H14" s="35"/>
      <c r="I14" s="35"/>
      <c r="J14" s="35"/>
      <c r="K14" s="17"/>
      <c r="L14" s="17"/>
      <c r="M14" s="17"/>
      <c r="N14" s="17"/>
      <c r="O14" s="17"/>
      <c r="P14" s="17"/>
      <c r="Q14" s="17"/>
      <c r="R14" s="17"/>
      <c r="S14" s="492"/>
      <c r="T14" s="461"/>
      <c r="U14" s="462"/>
      <c r="V14" s="462"/>
      <c r="W14" s="462"/>
      <c r="X14" s="462"/>
      <c r="Y14" s="462"/>
      <c r="Z14" s="13"/>
      <c r="AA14" s="19"/>
    </row>
    <row r="15" spans="1:27" s="5" customFormat="1">
      <c r="A15" s="419" t="str">
        <f>'1-συμβολαια'!A15</f>
        <v>6ο</v>
      </c>
      <c r="B15" s="430">
        <f>'1-συμβολαια'!B15</f>
        <v>38567</v>
      </c>
      <c r="C15" s="416" t="str">
        <f>'1-συμβολαια'!C15</f>
        <v>υποθήκης 2ου   κύρου ;;;???;;;δρχ …..ΕΞΑΛΕΙΨΗ</v>
      </c>
      <c r="D15" s="424">
        <f>'1-συμβολαια'!D15</f>
        <v>0</v>
      </c>
      <c r="E15" s="385"/>
      <c r="F15" s="385"/>
      <c r="G15" s="385"/>
      <c r="H15" s="385"/>
      <c r="I15" s="385"/>
      <c r="J15" s="385"/>
      <c r="K15" s="367">
        <f>'1-συμβολαια'!N15</f>
        <v>22.68</v>
      </c>
      <c r="L15" s="367">
        <f>'2-δικαιώμ'!N15+'5-αντίγρ'!O15</f>
        <v>3.08</v>
      </c>
      <c r="M15" s="2">
        <v>1.32</v>
      </c>
      <c r="N15" s="367">
        <f>'1-συμβολαια'!O15</f>
        <v>34.24</v>
      </c>
      <c r="O15" s="367">
        <f t="shared" si="0"/>
        <v>1.76</v>
      </c>
      <c r="P15" s="367">
        <f>'8-κ-15-17'!AG15</f>
        <v>0</v>
      </c>
      <c r="Q15" s="367">
        <f>'11-χαρτόσ'!H15+'13-ντιΜιΧο'!CA15</f>
        <v>4.46</v>
      </c>
      <c r="R15" s="367">
        <f>'13-ντιΜιΧο'!BZ15</f>
        <v>66.790000000000006</v>
      </c>
      <c r="S15" s="492">
        <f>'13-ντιΜιΧο'!CB15</f>
        <v>0</v>
      </c>
      <c r="T15" s="313"/>
      <c r="U15" s="305"/>
      <c r="V15" s="305"/>
      <c r="W15" s="305"/>
      <c r="X15" s="305"/>
      <c r="Y15" s="305"/>
      <c r="Z15" s="308"/>
    </row>
    <row r="16" spans="1:27" s="5" customFormat="1">
      <c r="A16" s="419">
        <f>'1-συμβολαια'!A16</f>
        <v>0</v>
      </c>
      <c r="B16" s="430">
        <f>'1-συμβολαια'!B16</f>
        <v>0</v>
      </c>
      <c r="C16" s="416" t="str">
        <f>'1-συμβολαια'!C16</f>
        <v>δανείου 2ου   κύρου 7000.000δρχ …..ΕΞΟΦΛΗΣΗ</v>
      </c>
      <c r="D16" s="424">
        <f>'1-συμβολαια'!D16</f>
        <v>0</v>
      </c>
      <c r="E16" s="385"/>
      <c r="F16" s="385"/>
      <c r="G16" s="385"/>
      <c r="H16" s="385"/>
      <c r="I16" s="385"/>
      <c r="J16" s="385"/>
      <c r="K16" s="367">
        <f>'1-συμβολαια'!N16</f>
        <v>0</v>
      </c>
      <c r="L16" s="367">
        <f>'2-δικαιώμ'!N16+'5-αντίγρ'!O16</f>
        <v>1.3200000000000003</v>
      </c>
      <c r="M16" s="367"/>
      <c r="N16" s="367">
        <f>'1-συμβολαια'!O16</f>
        <v>30.68</v>
      </c>
      <c r="O16" s="367">
        <f t="shared" si="0"/>
        <v>1.3200000000000003</v>
      </c>
      <c r="P16" s="367">
        <f>'8-κ-15-17'!AG16</f>
        <v>0</v>
      </c>
      <c r="Q16" s="367">
        <f>'11-χαρτόσ'!H16+'13-ντιΜιΧο'!CA16</f>
        <v>0.5</v>
      </c>
      <c r="R16" s="367">
        <f>'13-ντιΜιΧο'!BZ16</f>
        <v>0.75</v>
      </c>
      <c r="S16" s="492">
        <f>'13-ντιΜιΧο'!CB16</f>
        <v>0</v>
      </c>
      <c r="T16" s="313"/>
      <c r="U16" s="305"/>
      <c r="V16" s="305"/>
      <c r="W16" s="305"/>
      <c r="X16" s="305"/>
      <c r="Y16" s="305"/>
      <c r="Z16" s="308"/>
    </row>
    <row r="17" spans="1:30" s="5" customFormat="1">
      <c r="A17" s="419">
        <f>'1-συμβολαια'!A17</f>
        <v>0</v>
      </c>
      <c r="B17" s="430">
        <f>'1-συμβολαια'!B17</f>
        <v>0</v>
      </c>
      <c r="C17" s="416" t="str">
        <f>'1-συμβολαια'!C17</f>
        <v>δανείου 2ου    κύρου …. ΤΟΚΟΙ {προπληρωθέντες VS υπερβάλλοντες}</v>
      </c>
      <c r="D17" s="424">
        <f>'1-συμβολαια'!D17</f>
        <v>444.44</v>
      </c>
      <c r="E17" s="385"/>
      <c r="F17" s="385"/>
      <c r="G17" s="385"/>
      <c r="H17" s="385"/>
      <c r="I17" s="385"/>
      <c r="J17" s="385"/>
      <c r="K17" s="367">
        <f>'1-συμβολαια'!N17</f>
        <v>0</v>
      </c>
      <c r="L17" s="367">
        <f>'2-δικαιώμ'!N17+'5-αντίγρ'!O17</f>
        <v>2.1199920000000003</v>
      </c>
      <c r="M17" s="367"/>
      <c r="N17" s="367">
        <f>'1-συμβολαια'!O17</f>
        <v>35.213288000000006</v>
      </c>
      <c r="O17" s="367">
        <f t="shared" si="0"/>
        <v>2.1199920000000003</v>
      </c>
      <c r="P17" s="367">
        <f>'8-κ-15-17'!AG17</f>
        <v>5.7777200000000004</v>
      </c>
      <c r="Q17" s="367">
        <f>'11-χαρτόσ'!H17+'13-ντιΜιΧο'!CA17</f>
        <v>0.5</v>
      </c>
      <c r="R17" s="367">
        <f>'13-ντιΜιΧο'!BZ17</f>
        <v>0.45</v>
      </c>
      <c r="S17" s="492">
        <f>'13-ντιΜιΧο'!CB17</f>
        <v>0</v>
      </c>
      <c r="T17" s="313"/>
      <c r="U17" s="305"/>
      <c r="V17" s="305"/>
      <c r="W17" s="305"/>
      <c r="X17" s="305"/>
      <c r="Y17" s="305"/>
      <c r="Z17" s="308"/>
    </row>
    <row r="18" spans="1:30">
      <c r="A18" s="28"/>
      <c r="B18" s="429"/>
      <c r="C18" s="167"/>
      <c r="D18" s="32"/>
      <c r="E18" s="35"/>
      <c r="F18" s="35"/>
      <c r="G18" s="35"/>
      <c r="H18" s="35"/>
      <c r="I18" s="35"/>
      <c r="J18" s="35"/>
      <c r="K18" s="17"/>
      <c r="L18" s="17"/>
      <c r="M18" s="17"/>
      <c r="N18" s="17"/>
      <c r="O18" s="17"/>
      <c r="P18" s="17"/>
      <c r="Q18" s="17"/>
      <c r="R18" s="17"/>
      <c r="S18" s="492"/>
      <c r="T18" s="461"/>
      <c r="U18" s="462"/>
      <c r="V18" s="462"/>
      <c r="W18" s="462"/>
      <c r="X18" s="462"/>
      <c r="Y18" s="462"/>
      <c r="Z18" s="13"/>
      <c r="AA18" s="19"/>
    </row>
    <row r="19" spans="1:30" s="5" customFormat="1">
      <c r="A19" s="419" t="str">
        <f>'1-συμβολαια'!A19</f>
        <v>7ο</v>
      </c>
      <c r="B19" s="430">
        <f>'1-συμβολαια'!B19</f>
        <v>38567</v>
      </c>
      <c r="C19" s="416" t="str">
        <f>'1-συμβολαια'!C19</f>
        <v>υποθήκης ???? 2.168.354δρχ …. ΕΞΑΛΕΙΨΗ</v>
      </c>
      <c r="D19" s="424">
        <f>'1-συμβολαια'!D19</f>
        <v>6363.47</v>
      </c>
      <c r="E19" s="385"/>
      <c r="F19" s="385"/>
      <c r="G19" s="385"/>
      <c r="H19" s="385"/>
      <c r="I19" s="385"/>
      <c r="J19" s="385"/>
      <c r="K19" s="367">
        <f>'1-συμβολαια'!N19</f>
        <v>22.68</v>
      </c>
      <c r="L19" s="367">
        <f>'2-δικαιώμ'!N19+'5-αντίγρ'!O19</f>
        <v>14.534246</v>
      </c>
      <c r="M19" s="2">
        <v>1.32</v>
      </c>
      <c r="N19" s="367">
        <f>'1-συμβολαια'!O19</f>
        <v>99.147393999999991</v>
      </c>
      <c r="O19" s="367">
        <f t="shared" si="0"/>
        <v>13.214245999999999</v>
      </c>
      <c r="P19" s="367">
        <f>'8-κ-15-17'!AG19</f>
        <v>82.725110000000015</v>
      </c>
      <c r="Q19" s="367">
        <f>'11-χαρτόσ'!H19+'13-ντιΜιΧο'!CA19</f>
        <v>4.46</v>
      </c>
      <c r="R19" s="367">
        <f>'13-ντιΜιΧο'!BZ19</f>
        <v>32.79</v>
      </c>
      <c r="S19" s="492">
        <f>'13-ντιΜιΧο'!CB19</f>
        <v>0</v>
      </c>
      <c r="T19" s="313"/>
      <c r="U19" s="305"/>
      <c r="V19" s="305"/>
      <c r="W19" s="305"/>
      <c r="X19" s="305"/>
      <c r="Y19" s="305"/>
      <c r="Z19" s="308"/>
    </row>
    <row r="20" spans="1:30" s="5" customFormat="1">
      <c r="A20" s="419">
        <f>'1-συμβολαια'!A20</f>
        <v>0</v>
      </c>
      <c r="B20" s="430">
        <f>'1-συμβολαια'!B20</f>
        <v>0</v>
      </c>
      <c r="C20" s="416" t="str">
        <f>'1-συμβολαια'!C20</f>
        <v>δανείου ??? 2.168.354δρχ ….. ΕΞΟΦΛΗΣΗ</v>
      </c>
      <c r="D20" s="424">
        <f>'1-συμβολαια'!D20</f>
        <v>6363.47</v>
      </c>
      <c r="E20" s="385"/>
      <c r="F20" s="385"/>
      <c r="G20" s="385"/>
      <c r="H20" s="385"/>
      <c r="I20" s="385"/>
      <c r="J20" s="385"/>
      <c r="K20" s="367">
        <f>'1-συμβολαια'!N20</f>
        <v>0</v>
      </c>
      <c r="L20" s="367">
        <f>'2-δικαιώμ'!N20+'5-αντίγρ'!O20</f>
        <v>12.774246</v>
      </c>
      <c r="M20" s="367"/>
      <c r="N20" s="367">
        <f>'1-συμβολαια'!O20</f>
        <v>95.587394000000003</v>
      </c>
      <c r="O20" s="367">
        <f t="shared" si="0"/>
        <v>12.774246</v>
      </c>
      <c r="P20" s="367">
        <f>'8-κ-15-17'!AG20</f>
        <v>82.725110000000015</v>
      </c>
      <c r="Q20" s="367">
        <f>'11-χαρτόσ'!H20+'13-ντιΜιΧο'!CA20</f>
        <v>0.5</v>
      </c>
      <c r="R20" s="367">
        <f>'13-ντιΜιΧο'!BZ20</f>
        <v>0.75</v>
      </c>
      <c r="S20" s="492">
        <f>'13-ντιΜιΧο'!CB20</f>
        <v>0</v>
      </c>
      <c r="T20" s="313"/>
      <c r="U20" s="305"/>
      <c r="V20" s="305"/>
      <c r="W20" s="305"/>
      <c r="X20" s="305"/>
      <c r="Y20" s="305"/>
      <c r="Z20" s="308"/>
    </row>
    <row r="21" spans="1:30" s="5" customFormat="1">
      <c r="A21" s="419">
        <f>'1-συμβολαια'!A21</f>
        <v>0</v>
      </c>
      <c r="B21" s="430">
        <f>'1-συμβολαια'!B21</f>
        <v>0</v>
      </c>
      <c r="C21" s="416" t="str">
        <f>'1-συμβολαια'!C21</f>
        <v>δανείου ???? ΤΟΚΟΙ</v>
      </c>
      <c r="D21" s="424">
        <f>'1-συμβολαια'!D21</f>
        <v>14444.44</v>
      </c>
      <c r="E21" s="385"/>
      <c r="F21" s="385"/>
      <c r="G21" s="385"/>
      <c r="H21" s="385"/>
      <c r="I21" s="385"/>
      <c r="J21" s="385"/>
      <c r="K21" s="367">
        <f>'1-συμβολαια'!N21</f>
        <v>0</v>
      </c>
      <c r="L21" s="367">
        <f>'2-δικαιώμ'!N21+'5-αντίγρ'!O21</f>
        <v>27.319992000000003</v>
      </c>
      <c r="M21" s="367"/>
      <c r="N21" s="367">
        <f>'1-συμβολαια'!O21</f>
        <v>178.01328799999999</v>
      </c>
      <c r="O21" s="367">
        <f t="shared" si="0"/>
        <v>27.319992000000003</v>
      </c>
      <c r="P21" s="367">
        <f>'8-κ-15-17'!AG21</f>
        <v>187.77772000000002</v>
      </c>
      <c r="Q21" s="367">
        <f>'11-χαρτόσ'!H21+'13-ντιΜιΧο'!CA21</f>
        <v>0.5</v>
      </c>
      <c r="R21" s="367">
        <f>'13-ντιΜιΧο'!BZ21</f>
        <v>0.45</v>
      </c>
      <c r="S21" s="492">
        <f>'13-ντιΜιΧο'!CB21</f>
        <v>0</v>
      </c>
      <c r="T21" s="313"/>
      <c r="U21" s="305"/>
      <c r="V21" s="305"/>
      <c r="W21" s="305"/>
      <c r="X21" s="305"/>
      <c r="Y21" s="305"/>
      <c r="Z21" s="308"/>
    </row>
    <row r="22" spans="1:30">
      <c r="A22" s="28"/>
      <c r="B22" s="429"/>
      <c r="C22" s="167"/>
      <c r="D22" s="32"/>
      <c r="E22" s="35"/>
      <c r="F22" s="35"/>
      <c r="G22" s="35"/>
      <c r="H22" s="35"/>
      <c r="I22" s="35"/>
      <c r="J22" s="35"/>
      <c r="K22" s="17"/>
      <c r="L22" s="17"/>
      <c r="M22" s="17"/>
      <c r="N22" s="17"/>
      <c r="O22" s="17"/>
      <c r="P22" s="17"/>
      <c r="Q22" s="17"/>
      <c r="R22" s="17"/>
      <c r="S22" s="492"/>
      <c r="T22" s="461"/>
      <c r="U22" s="462"/>
      <c r="V22" s="462"/>
      <c r="W22" s="462"/>
      <c r="X22" s="462"/>
      <c r="Y22" s="462"/>
      <c r="Z22" s="13"/>
      <c r="AA22" s="19"/>
    </row>
    <row r="23" spans="1:30" s="5" customFormat="1">
      <c r="A23" s="397">
        <f>'1-συμβολαια'!A23</f>
        <v>0</v>
      </c>
      <c r="B23" s="430">
        <f>'1-συμβολαια'!B23</f>
        <v>0</v>
      </c>
      <c r="C23" s="416" t="str">
        <f>'1-συμβολαια'!C23</f>
        <v>'του πλήρωσα ΚΑΙ τους φόρους''</v>
      </c>
      <c r="D23" s="424">
        <f>'1-συμβολαια'!D23</f>
        <v>111</v>
      </c>
      <c r="E23" s="385"/>
      <c r="F23" s="385"/>
      <c r="G23" s="385"/>
      <c r="H23" s="385"/>
      <c r="I23" s="385"/>
      <c r="J23" s="385"/>
      <c r="K23" s="367"/>
      <c r="L23" s="367"/>
      <c r="M23" s="367"/>
      <c r="N23" s="367"/>
      <c r="O23" s="367"/>
      <c r="P23" s="367"/>
      <c r="Q23" s="367"/>
      <c r="R23" s="367"/>
      <c r="S23" s="367"/>
      <c r="T23" s="313"/>
      <c r="U23" s="305"/>
      <c r="V23" s="305"/>
      <c r="W23" s="305"/>
      <c r="X23" s="305"/>
      <c r="Y23" s="305"/>
      <c r="Z23" s="308"/>
    </row>
    <row r="24" spans="1:30">
      <c r="A24" s="697" t="s">
        <v>56</v>
      </c>
      <c r="B24" s="697"/>
      <c r="C24" s="697"/>
      <c r="D24" s="697"/>
      <c r="E24" s="11">
        <f t="shared" ref="E24:Z24" si="1">SUM(E3:E23)</f>
        <v>0</v>
      </c>
      <c r="F24" s="11">
        <f t="shared" si="1"/>
        <v>0</v>
      </c>
      <c r="G24" s="11">
        <f t="shared" si="1"/>
        <v>0</v>
      </c>
      <c r="H24" s="11">
        <f t="shared" si="1"/>
        <v>0</v>
      </c>
      <c r="I24" s="11">
        <f t="shared" si="1"/>
        <v>0</v>
      </c>
      <c r="J24" s="11">
        <f t="shared" si="1"/>
        <v>0</v>
      </c>
      <c r="K24" s="11">
        <f t="shared" si="1"/>
        <v>113.4</v>
      </c>
      <c r="L24" s="11">
        <f t="shared" si="1"/>
        <v>464.34932800000001</v>
      </c>
      <c r="M24" s="11">
        <f t="shared" si="1"/>
        <v>6.6000000000000005</v>
      </c>
      <c r="N24" s="11">
        <f t="shared" si="1"/>
        <v>2947.2461920000001</v>
      </c>
      <c r="O24" s="11">
        <f t="shared" si="1"/>
        <v>457.74932800000005</v>
      </c>
      <c r="P24" s="11">
        <f t="shared" si="1"/>
        <v>3147.0784800000001</v>
      </c>
      <c r="Q24" s="11">
        <f t="shared" si="1"/>
        <v>27.3</v>
      </c>
      <c r="R24" s="11">
        <f t="shared" si="1"/>
        <v>267.55</v>
      </c>
      <c r="S24" s="425">
        <f t="shared" si="1"/>
        <v>0</v>
      </c>
      <c r="T24" s="314">
        <f t="shared" si="1"/>
        <v>0</v>
      </c>
      <c r="U24" s="314">
        <f t="shared" si="1"/>
        <v>0</v>
      </c>
      <c r="V24" s="314">
        <f t="shared" si="1"/>
        <v>0</v>
      </c>
      <c r="W24" s="314">
        <f t="shared" si="1"/>
        <v>0</v>
      </c>
      <c r="X24" s="314">
        <f t="shared" si="1"/>
        <v>0</v>
      </c>
      <c r="Y24" s="314">
        <f t="shared" si="1"/>
        <v>0</v>
      </c>
      <c r="Z24" s="315">
        <f t="shared" si="1"/>
        <v>0</v>
      </c>
    </row>
    <row r="26" spans="1:30">
      <c r="U26" s="88"/>
      <c r="V26" s="88"/>
      <c r="W26" s="88"/>
      <c r="X26" s="88"/>
      <c r="Y26" s="88"/>
      <c r="Z26" s="88"/>
      <c r="AA26" s="88"/>
      <c r="AB26" s="88"/>
      <c r="AC26" s="88"/>
      <c r="AD26" s="88"/>
    </row>
    <row r="27" spans="1:30">
      <c r="U27" s="88"/>
      <c r="V27" s="88"/>
      <c r="W27" s="88"/>
      <c r="X27" s="88"/>
      <c r="Y27" s="88"/>
      <c r="Z27" s="88"/>
      <c r="AA27" s="88"/>
      <c r="AB27" s="88"/>
      <c r="AC27" s="88"/>
      <c r="AD27" s="88"/>
    </row>
    <row r="28" spans="1:30" s="5" customFormat="1">
      <c r="A28" s="61"/>
      <c r="B28" s="136"/>
      <c r="C28" s="137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2"/>
      <c r="P28" s="4"/>
      <c r="Q28" s="4"/>
      <c r="R28" s="4"/>
      <c r="S28" s="4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</row>
    <row r="29" spans="1:30">
      <c r="L29" s="4"/>
    </row>
    <row r="30" spans="1:30">
      <c r="L30" s="4"/>
    </row>
  </sheetData>
  <mergeCells count="13">
    <mergeCell ref="T1:Z1"/>
    <mergeCell ref="T2:Y2"/>
    <mergeCell ref="N1:S1"/>
    <mergeCell ref="K1:K2"/>
    <mergeCell ref="L1:M1"/>
    <mergeCell ref="E1:F1"/>
    <mergeCell ref="G1:H1"/>
    <mergeCell ref="I1:J1"/>
    <mergeCell ref="A24:D24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38"/>
  <sheetViews>
    <sheetView workbookViewId="0">
      <pane ySplit="2" topLeftCell="A3" activePane="bottomLeft" state="frozen"/>
      <selection pane="bottomLeft" activeCell="D32" sqref="D3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13" t="s">
        <v>76</v>
      </c>
      <c r="B1" s="713"/>
      <c r="C1" s="713"/>
      <c r="D1" s="713"/>
      <c r="E1" s="713"/>
      <c r="F1" s="713"/>
      <c r="G1" s="713"/>
      <c r="H1" s="713"/>
      <c r="I1" s="713"/>
      <c r="J1" s="713"/>
      <c r="K1" s="713"/>
      <c r="L1" s="713"/>
      <c r="M1" s="713"/>
      <c r="N1" s="713"/>
      <c r="O1" s="713"/>
      <c r="P1" s="713"/>
      <c r="Q1" s="713"/>
    </row>
    <row r="2" spans="1:17" s="9" customFormat="1" ht="23.25" customHeight="1" thickBot="1">
      <c r="A2" s="281" t="s">
        <v>19</v>
      </c>
      <c r="B2" s="714" t="s">
        <v>29</v>
      </c>
      <c r="C2" s="715"/>
      <c r="D2" s="716"/>
      <c r="E2" s="717" t="s">
        <v>84</v>
      </c>
      <c r="F2" s="718"/>
      <c r="G2" s="718"/>
      <c r="H2" s="719"/>
      <c r="I2" s="720" t="s">
        <v>84</v>
      </c>
      <c r="J2" s="721"/>
      <c r="K2" s="721"/>
      <c r="L2" s="722"/>
      <c r="M2" s="282" t="s">
        <v>38</v>
      </c>
      <c r="N2" s="282" t="s">
        <v>39</v>
      </c>
      <c r="O2" s="282" t="s">
        <v>40</v>
      </c>
      <c r="P2" s="282" t="s">
        <v>41</v>
      </c>
      <c r="Q2" s="282" t="s">
        <v>42</v>
      </c>
    </row>
    <row r="3" spans="1:17" s="19" customFormat="1">
      <c r="A3" s="33" t="str">
        <f>'1-συμβολαια'!A3</f>
        <v>3ο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17" s="19" customFormat="1">
      <c r="A4" s="33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17" s="19" customFormat="1">
      <c r="A5" s="33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17" s="19" customFormat="1">
      <c r="A6" s="33">
        <f>'1-συμβολαια'!A6</f>
        <v>0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17" s="19" customFormat="1">
      <c r="A7" s="33" t="str">
        <f>'1-συμβολαια'!A7</f>
        <v>4ο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17" s="19" customFormat="1">
      <c r="A8" s="33">
        <f>'1-συμβολαια'!A8</f>
        <v>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 spans="1:17" s="19" customFormat="1">
      <c r="A9" s="33">
        <f>'1-συμβολαια'!A9</f>
        <v>0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 spans="1:17" s="19" customFormat="1">
      <c r="A10" s="33">
        <f>'1-συμβολαια'!A10</f>
        <v>0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1" spans="1:17" s="19" customFormat="1">
      <c r="A11" s="33" t="str">
        <f>'1-συμβολαια'!A11</f>
        <v>5ο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7" s="19" customFormat="1">
      <c r="A12" s="33">
        <f>'1-συμβολαια'!A12</f>
        <v>0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  <row r="13" spans="1:17" s="19" customFormat="1">
      <c r="A13" s="33">
        <f>'1-συμβολαια'!A13</f>
        <v>0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 spans="1:17" s="19" customFormat="1">
      <c r="A14" s="33">
        <f>'1-συμβολαια'!A14</f>
        <v>0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 spans="1:17" s="19" customFormat="1">
      <c r="A15" s="33" t="str">
        <f>'1-συμβολαια'!A15</f>
        <v>6ο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  <row r="16" spans="1:17" s="19" customFormat="1">
      <c r="A16" s="33">
        <f>'1-συμβολαια'!A16</f>
        <v>0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</row>
    <row r="17" spans="1:23" s="19" customFormat="1">
      <c r="A17" s="33">
        <f>'1-συμβολαια'!A17</f>
        <v>0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</row>
    <row r="18" spans="1:23" s="19" customFormat="1">
      <c r="A18" s="33">
        <f>'1-συμβολαια'!A18</f>
        <v>0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1:23" s="19" customFormat="1">
      <c r="A19" s="33" t="str">
        <f>'1-συμβολαια'!A19</f>
        <v>7ο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1:23" s="19" customFormat="1">
      <c r="A20" s="33">
        <f>'1-συμβολαια'!A20</f>
        <v>0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1:23" s="19" customFormat="1">
      <c r="A21" s="33">
        <f>'1-συμβολαια'!A21</f>
        <v>0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1:23" s="19" customFormat="1">
      <c r="A22" s="33">
        <f>'1-συμβολαια'!A22</f>
        <v>0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1:23" s="19" customFormat="1">
      <c r="A23" s="33">
        <f>'1-συμβολαια'!A23</f>
        <v>0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5" spans="1:23" ht="15.75" customHeight="1">
      <c r="B25" s="710" t="s">
        <v>104</v>
      </c>
      <c r="C25" s="710"/>
      <c r="D25" s="710"/>
      <c r="E25" s="710"/>
      <c r="F25" s="710"/>
      <c r="G25" s="710"/>
      <c r="H25" s="710"/>
      <c r="I25" s="710"/>
      <c r="J25" s="710"/>
      <c r="K25" s="710"/>
      <c r="L25" s="3"/>
      <c r="M25" s="3"/>
      <c r="N25" s="3"/>
      <c r="O25" s="3"/>
      <c r="P25" s="3"/>
      <c r="Q25" s="3"/>
    </row>
    <row r="26" spans="1:23" ht="15.75" customHeight="1">
      <c r="C26" s="712" t="s">
        <v>105</v>
      </c>
      <c r="D26" s="712"/>
      <c r="E26" s="712"/>
      <c r="F26" s="712"/>
      <c r="G26" s="712"/>
      <c r="H26" s="712"/>
      <c r="I26" s="712"/>
      <c r="J26" s="712"/>
      <c r="K26" s="712"/>
      <c r="L26" s="3"/>
      <c r="M26" s="3"/>
      <c r="N26" s="3"/>
      <c r="O26" s="3"/>
      <c r="P26" s="3"/>
      <c r="Q26" s="3"/>
    </row>
    <row r="27" spans="1:23" ht="15.75" customHeight="1">
      <c r="D27" s="710" t="s">
        <v>294</v>
      </c>
      <c r="E27" s="710"/>
      <c r="F27" s="710"/>
      <c r="G27" s="710"/>
      <c r="H27" s="710"/>
      <c r="I27" s="710"/>
      <c r="J27" s="710"/>
      <c r="K27" s="710"/>
      <c r="L27" s="710"/>
      <c r="M27" s="710"/>
      <c r="N27" s="710"/>
      <c r="O27" s="710"/>
      <c r="P27" s="3"/>
      <c r="Q27" s="3"/>
    </row>
    <row r="28" spans="1:23" s="5" customFormat="1" ht="15.75" customHeight="1">
      <c r="A28" s="61"/>
      <c r="B28" s="279"/>
      <c r="C28" s="279"/>
      <c r="D28" s="280"/>
      <c r="E28" s="712" t="s">
        <v>404</v>
      </c>
      <c r="F28" s="712"/>
      <c r="G28" s="712"/>
      <c r="H28" s="712"/>
      <c r="I28" s="712"/>
      <c r="J28" s="712"/>
      <c r="K28" s="712"/>
      <c r="L28" s="712"/>
      <c r="M28" s="712"/>
      <c r="N28" s="3"/>
      <c r="O28" s="3"/>
      <c r="P28" s="3"/>
      <c r="Q28" s="3"/>
    </row>
    <row r="29" spans="1:23" s="5" customFormat="1" ht="15.75" customHeight="1">
      <c r="A29" s="61"/>
      <c r="B29" s="279"/>
      <c r="C29" s="279"/>
      <c r="D29" s="280"/>
      <c r="E29" s="6"/>
      <c r="F29" s="710" t="s">
        <v>127</v>
      </c>
      <c r="G29" s="710"/>
      <c r="H29" s="710"/>
      <c r="I29" s="710"/>
      <c r="J29" s="710"/>
      <c r="K29" s="710"/>
      <c r="L29" s="710"/>
      <c r="M29" s="710"/>
      <c r="N29" s="710"/>
      <c r="O29" s="710"/>
      <c r="P29" s="710"/>
      <c r="Q29" s="3"/>
    </row>
    <row r="30" spans="1:23" s="5" customFormat="1" ht="15.75" customHeight="1">
      <c r="A30" s="61"/>
      <c r="B30" s="279"/>
      <c r="C30" s="279"/>
      <c r="D30" s="280"/>
      <c r="E30" s="6"/>
      <c r="F30" s="6"/>
      <c r="G30" s="712" t="s">
        <v>405</v>
      </c>
      <c r="H30" s="712"/>
      <c r="I30" s="712"/>
      <c r="J30" s="712"/>
      <c r="K30" s="712"/>
      <c r="L30" s="712"/>
      <c r="M30" s="712"/>
      <c r="N30" s="712"/>
      <c r="O30" s="712"/>
      <c r="P30" s="712"/>
      <c r="Q30" s="712"/>
    </row>
    <row r="31" spans="1:23" s="5" customFormat="1" ht="15.75" customHeight="1">
      <c r="A31" s="61"/>
      <c r="B31" s="279"/>
      <c r="C31" s="279"/>
      <c r="D31" s="280"/>
      <c r="E31" s="6"/>
      <c r="F31" s="6"/>
      <c r="G31" s="272"/>
      <c r="H31" s="710" t="s">
        <v>106</v>
      </c>
      <c r="I31" s="710"/>
      <c r="J31" s="710"/>
      <c r="K31" s="710"/>
      <c r="L31" s="710"/>
      <c r="M31" s="710"/>
      <c r="N31" s="710"/>
      <c r="O31" s="3"/>
      <c r="P31" s="3"/>
      <c r="Q31" s="3"/>
      <c r="R31" s="3"/>
      <c r="S31" s="3"/>
      <c r="T31" s="3"/>
      <c r="U31" s="3"/>
      <c r="V31" s="3"/>
      <c r="W31" s="3"/>
    </row>
    <row r="32" spans="1:23" s="5" customFormat="1" ht="15.75" customHeight="1">
      <c r="A32" s="61"/>
      <c r="B32" s="279"/>
      <c r="C32" s="279"/>
      <c r="D32" s="280"/>
      <c r="E32" s="6"/>
      <c r="F32" s="6"/>
      <c r="G32" s="272"/>
      <c r="H32" s="6"/>
      <c r="I32" s="712" t="s">
        <v>107</v>
      </c>
      <c r="J32" s="712"/>
      <c r="K32" s="712"/>
      <c r="L32" s="712"/>
      <c r="M32" s="712"/>
      <c r="N32" s="712"/>
      <c r="O32" s="712"/>
      <c r="P32" s="712"/>
      <c r="Q32" s="712"/>
      <c r="R32" s="712"/>
      <c r="S32" s="3"/>
      <c r="T32" s="3"/>
      <c r="U32" s="3"/>
      <c r="V32" s="3"/>
      <c r="W32" s="3"/>
    </row>
    <row r="33" spans="1:23" s="5" customFormat="1" ht="15.75" customHeight="1">
      <c r="A33" s="61"/>
      <c r="B33" s="279"/>
      <c r="C33" s="279"/>
      <c r="D33" s="280"/>
      <c r="E33" s="6"/>
      <c r="F33" s="6"/>
      <c r="G33" s="272"/>
      <c r="H33" s="6"/>
      <c r="I33" s="6"/>
      <c r="J33" s="710" t="s">
        <v>108</v>
      </c>
      <c r="K33" s="710"/>
      <c r="L33" s="710"/>
      <c r="M33" s="710"/>
      <c r="N33" s="710"/>
      <c r="O33" s="710"/>
      <c r="P33" s="710"/>
      <c r="Q33" s="710"/>
      <c r="R33" s="3"/>
      <c r="S33" s="3"/>
      <c r="T33" s="3"/>
      <c r="U33" s="3"/>
      <c r="V33" s="3"/>
      <c r="W33" s="3"/>
    </row>
    <row r="34" spans="1:23" s="5" customFormat="1" ht="15.75" customHeight="1">
      <c r="A34" s="61"/>
      <c r="B34" s="279"/>
      <c r="C34" s="279"/>
      <c r="D34" s="280"/>
      <c r="E34" s="6"/>
      <c r="F34" s="6"/>
      <c r="G34" s="272"/>
      <c r="H34" s="6"/>
      <c r="I34" s="6"/>
      <c r="J34" s="6"/>
      <c r="K34" s="711" t="s">
        <v>128</v>
      </c>
      <c r="L34" s="711"/>
      <c r="M34" s="711"/>
      <c r="N34" s="711"/>
      <c r="O34" s="711"/>
      <c r="P34" s="711"/>
      <c r="Q34" s="711"/>
      <c r="R34" s="711"/>
      <c r="S34" s="711"/>
      <c r="T34" s="711"/>
      <c r="U34" s="711"/>
      <c r="V34" s="3"/>
      <c r="W34" s="3"/>
    </row>
    <row r="35" spans="1:23" s="5" customFormat="1" ht="15.75" customHeight="1">
      <c r="A35" s="61"/>
      <c r="B35" s="279"/>
      <c r="C35" s="279"/>
      <c r="D35" s="280"/>
      <c r="E35" s="6"/>
      <c r="F35" s="6"/>
      <c r="G35" s="272"/>
      <c r="H35" s="6"/>
      <c r="I35" s="6"/>
      <c r="J35" s="6"/>
      <c r="K35" s="6"/>
      <c r="L35" s="710" t="s">
        <v>109</v>
      </c>
      <c r="M35" s="710"/>
      <c r="N35" s="710"/>
      <c r="O35" s="710"/>
      <c r="P35" s="710"/>
      <c r="Q35" s="710"/>
      <c r="R35" s="710"/>
      <c r="S35" s="710"/>
      <c r="T35" s="3"/>
      <c r="U35" s="3"/>
      <c r="V35" s="3"/>
      <c r="W35" s="3"/>
    </row>
    <row r="36" spans="1:23" s="5" customFormat="1" ht="15.75" customHeight="1">
      <c r="A36" s="61"/>
      <c r="B36" s="279"/>
      <c r="C36" s="279"/>
      <c r="D36" s="280"/>
      <c r="E36" s="6"/>
      <c r="F36" s="6"/>
      <c r="G36" s="272"/>
      <c r="H36" s="6"/>
      <c r="I36" s="6"/>
      <c r="J36" s="6"/>
      <c r="K36" s="6"/>
      <c r="L36" s="3"/>
      <c r="M36" s="712" t="s">
        <v>110</v>
      </c>
      <c r="N36" s="712"/>
      <c r="O36" s="712"/>
      <c r="P36" s="712"/>
      <c r="Q36" s="712"/>
      <c r="R36" s="712"/>
      <c r="S36" s="712"/>
      <c r="T36" s="712"/>
      <c r="U36" s="3"/>
      <c r="V36" s="3"/>
      <c r="W36" s="3"/>
    </row>
    <row r="37" spans="1:23" s="5" customFormat="1" ht="15.75" customHeight="1">
      <c r="A37" s="61"/>
      <c r="B37" s="279"/>
      <c r="C37" s="279"/>
      <c r="D37" s="280"/>
      <c r="E37" s="6"/>
      <c r="F37" s="6"/>
      <c r="G37" s="272"/>
      <c r="H37" s="6"/>
      <c r="I37" s="6"/>
      <c r="J37" s="6"/>
      <c r="K37" s="6"/>
      <c r="L37" s="3"/>
      <c r="M37" s="3"/>
      <c r="N37" s="710" t="s">
        <v>111</v>
      </c>
      <c r="O37" s="710"/>
      <c r="P37" s="710"/>
      <c r="Q37" s="710"/>
      <c r="R37" s="710"/>
      <c r="S37" s="710"/>
      <c r="T37" s="710"/>
      <c r="U37" s="710"/>
      <c r="V37" s="710"/>
      <c r="W37" s="710"/>
    </row>
    <row r="38" spans="1:23" s="5" customFormat="1" ht="15.75" customHeight="1">
      <c r="A38" s="61"/>
      <c r="B38" s="279"/>
      <c r="C38" s="279"/>
      <c r="D38" s="280"/>
      <c r="E38" s="6"/>
      <c r="F38" s="6"/>
      <c r="G38" s="272"/>
      <c r="H38" s="272"/>
      <c r="I38" s="272"/>
      <c r="J38" s="272"/>
      <c r="K38" s="272"/>
      <c r="L38" s="272"/>
      <c r="M38" s="272"/>
      <c r="N38" s="272"/>
      <c r="O38" s="272"/>
      <c r="P38" s="272"/>
      <c r="Q38" s="272"/>
    </row>
  </sheetData>
  <mergeCells count="17">
    <mergeCell ref="H31:N31"/>
    <mergeCell ref="I32:R32"/>
    <mergeCell ref="C26:K26"/>
    <mergeCell ref="D27:O27"/>
    <mergeCell ref="E28:M28"/>
    <mergeCell ref="F29:P29"/>
    <mergeCell ref="G30:Q30"/>
    <mergeCell ref="A1:Q1"/>
    <mergeCell ref="B2:D2"/>
    <mergeCell ref="E2:H2"/>
    <mergeCell ref="I2:L2"/>
    <mergeCell ref="B25:K25"/>
    <mergeCell ref="J33:Q33"/>
    <mergeCell ref="K34:U34"/>
    <mergeCell ref="L35:S35"/>
    <mergeCell ref="M36:T36"/>
    <mergeCell ref="N37:W3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32"/>
  <sheetViews>
    <sheetView workbookViewId="0">
      <pane ySplit="2" topLeftCell="A3" activePane="bottomLeft" state="frozen"/>
      <selection pane="bottomLeft" activeCell="D40" sqref="D40"/>
    </sheetView>
  </sheetViews>
  <sheetFormatPr defaultRowHeight="11.25"/>
  <cols>
    <col min="1" max="1" width="7.42578125" style="8" bestFit="1" customWidth="1"/>
    <col min="2" max="7" width="5.7109375" style="86" bestFit="1" customWidth="1"/>
    <col min="8" max="8" width="46.140625" style="86" customWidth="1"/>
    <col min="9" max="9" width="6.5703125" style="86" customWidth="1"/>
    <col min="10" max="10" width="52.85546875" style="86" customWidth="1"/>
    <col min="11" max="15" width="5.7109375" style="86" bestFit="1" customWidth="1"/>
    <col min="16" max="20" width="5.28515625" style="86" bestFit="1" customWidth="1"/>
    <col min="21" max="16384" width="9.140625" style="3"/>
  </cols>
  <sheetData>
    <row r="1" spans="1:20" ht="15.75">
      <c r="A1" s="713" t="s">
        <v>76</v>
      </c>
      <c r="B1" s="713"/>
      <c r="C1" s="713"/>
      <c r="D1" s="713"/>
      <c r="E1" s="713"/>
      <c r="F1" s="713"/>
      <c r="G1" s="713"/>
      <c r="H1" s="713"/>
      <c r="I1" s="713"/>
      <c r="J1" s="713"/>
      <c r="K1" s="713"/>
      <c r="L1" s="713"/>
      <c r="M1" s="713"/>
      <c r="N1" s="713"/>
      <c r="O1" s="713"/>
      <c r="P1" s="713"/>
      <c r="Q1" s="713"/>
      <c r="R1" s="713"/>
      <c r="S1" s="713"/>
      <c r="T1" s="713"/>
    </row>
    <row r="2" spans="1:20" s="9" customFormat="1" ht="23.25" customHeight="1" thickBot="1">
      <c r="A2" s="281" t="s">
        <v>19</v>
      </c>
      <c r="B2" s="714" t="s">
        <v>29</v>
      </c>
      <c r="C2" s="715"/>
      <c r="D2" s="716"/>
      <c r="E2" s="717" t="s">
        <v>84</v>
      </c>
      <c r="F2" s="718"/>
      <c r="G2" s="719"/>
      <c r="H2" s="724" t="s">
        <v>84</v>
      </c>
      <c r="I2" s="725"/>
      <c r="J2" s="726"/>
      <c r="K2" s="720" t="s">
        <v>84</v>
      </c>
      <c r="L2" s="721"/>
      <c r="M2" s="722"/>
      <c r="N2" s="282" t="s">
        <v>36</v>
      </c>
      <c r="O2" s="282" t="s">
        <v>37</v>
      </c>
      <c r="P2" s="282" t="s">
        <v>38</v>
      </c>
      <c r="Q2" s="282" t="s">
        <v>39</v>
      </c>
      <c r="R2" s="282" t="s">
        <v>40</v>
      </c>
      <c r="S2" s="282" t="s">
        <v>41</v>
      </c>
      <c r="T2" s="282" t="s">
        <v>42</v>
      </c>
    </row>
    <row r="3" spans="1:20" s="19" customFormat="1">
      <c r="A3" s="33" t="str">
        <f>'1-συμβολαια'!A3</f>
        <v>3ο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</row>
    <row r="4" spans="1:20" s="19" customFormat="1">
      <c r="A4" s="33">
        <f>'1-συμβολαια'!A4</f>
        <v>0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</row>
    <row r="5" spans="1:20" s="19" customFormat="1">
      <c r="A5" s="33">
        <f>'1-συμβολαια'!A5</f>
        <v>0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</row>
    <row r="6" spans="1:20" s="19" customFormat="1">
      <c r="A6" s="33">
        <f>'1-συμβολαια'!A6</f>
        <v>0</v>
      </c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pans="1:20" s="19" customFormat="1">
      <c r="A7" s="33" t="str">
        <f>'1-συμβολαια'!A7</f>
        <v>4ο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</row>
    <row r="8" spans="1:20" s="19" customFormat="1">
      <c r="A8" s="33">
        <f>'1-συμβολαια'!A8</f>
        <v>0</v>
      </c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</row>
    <row r="9" spans="1:20" s="19" customFormat="1">
      <c r="A9" s="33">
        <f>'1-συμβολαια'!A9</f>
        <v>0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</row>
    <row r="10" spans="1:20" s="19" customFormat="1">
      <c r="A10" s="33">
        <f>'1-συμβολαια'!A10</f>
        <v>0</v>
      </c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</row>
    <row r="11" spans="1:20" s="19" customFormat="1">
      <c r="A11" s="33" t="str">
        <f>'1-συμβολαια'!A11</f>
        <v>5ο</v>
      </c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</row>
    <row r="12" spans="1:20" s="19" customFormat="1">
      <c r="A12" s="33">
        <f>'1-συμβολαια'!A12</f>
        <v>0</v>
      </c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</row>
    <row r="13" spans="1:20" s="19" customFormat="1">
      <c r="A13" s="33">
        <f>'1-συμβολαια'!A13</f>
        <v>0</v>
      </c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</row>
    <row r="14" spans="1:20" s="19" customFormat="1">
      <c r="A14" s="33">
        <f>'1-συμβολαια'!A14</f>
        <v>0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</row>
    <row r="15" spans="1:20" s="19" customFormat="1">
      <c r="A15" s="33" t="str">
        <f>'1-συμβολαια'!A15</f>
        <v>6ο</v>
      </c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</row>
    <row r="16" spans="1:20" s="19" customFormat="1">
      <c r="A16" s="33">
        <f>'1-συμβολαια'!A16</f>
        <v>0</v>
      </c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</row>
    <row r="17" spans="1:20" s="19" customFormat="1">
      <c r="A17" s="33">
        <f>'1-συμβολαια'!A17</f>
        <v>0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</row>
    <row r="18" spans="1:20" s="19" customFormat="1">
      <c r="A18" s="33">
        <f>'1-συμβολαια'!A18</f>
        <v>0</v>
      </c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</row>
    <row r="19" spans="1:20" s="19" customFormat="1">
      <c r="A19" s="33" t="str">
        <f>'1-συμβολαια'!A19</f>
        <v>7ο</v>
      </c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</row>
    <row r="20" spans="1:20" s="19" customFormat="1">
      <c r="A20" s="33">
        <f>'1-συμβολαια'!A20</f>
        <v>0</v>
      </c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</row>
    <row r="21" spans="1:20" s="19" customFormat="1">
      <c r="A21" s="33">
        <f>'1-συμβολαια'!A21</f>
        <v>0</v>
      </c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</row>
    <row r="22" spans="1:20" s="19" customFormat="1">
      <c r="A22" s="33">
        <f>'1-συμβολαια'!A22</f>
        <v>0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</row>
    <row r="23" spans="1:20" s="19" customFormat="1">
      <c r="A23" s="33">
        <f>'1-συμβολαια'!A23</f>
        <v>0</v>
      </c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</row>
    <row r="25" spans="1:20" ht="15.75">
      <c r="B25" s="710" t="s">
        <v>112</v>
      </c>
      <c r="C25" s="710"/>
      <c r="D25" s="710"/>
      <c r="E25" s="710"/>
      <c r="F25" s="710"/>
      <c r="G25" s="710"/>
      <c r="H25" s="710"/>
      <c r="I25" s="144"/>
      <c r="J25" s="6"/>
      <c r="K25" s="6"/>
      <c r="L25" s="3"/>
      <c r="M25" s="3"/>
      <c r="N25" s="3"/>
      <c r="O25" s="3"/>
    </row>
    <row r="26" spans="1:20" ht="15.75">
      <c r="B26" s="6"/>
      <c r="C26" s="712" t="s">
        <v>113</v>
      </c>
      <c r="D26" s="712"/>
      <c r="E26" s="712"/>
      <c r="F26" s="712"/>
      <c r="G26" s="712"/>
      <c r="H26" s="712"/>
      <c r="I26" s="712"/>
      <c r="J26" s="6"/>
      <c r="K26" s="6"/>
      <c r="L26" s="3"/>
      <c r="M26" s="3"/>
      <c r="N26" s="3"/>
      <c r="O26" s="3"/>
    </row>
    <row r="27" spans="1:20" ht="15.75" customHeight="1">
      <c r="B27" s="6"/>
      <c r="C27" s="6"/>
      <c r="D27" s="710" t="s">
        <v>114</v>
      </c>
      <c r="E27" s="710"/>
      <c r="F27" s="710"/>
      <c r="G27" s="710"/>
      <c r="H27" s="710"/>
      <c r="I27" s="710"/>
      <c r="J27" s="710"/>
      <c r="K27" s="710"/>
      <c r="L27" s="3"/>
      <c r="M27" s="3"/>
      <c r="N27" s="3"/>
      <c r="O27" s="3"/>
    </row>
    <row r="28" spans="1:20" ht="15.75" customHeight="1">
      <c r="B28" s="6"/>
      <c r="C28" s="6"/>
      <c r="D28" s="6"/>
      <c r="E28" s="723" t="s">
        <v>119</v>
      </c>
      <c r="F28" s="723"/>
      <c r="G28" s="723"/>
      <c r="H28" s="723"/>
      <c r="I28" s="723"/>
      <c r="J28" s="723"/>
      <c r="K28" s="723"/>
      <c r="L28" s="723"/>
      <c r="M28" s="3"/>
      <c r="N28" s="3"/>
      <c r="O28" s="3"/>
    </row>
    <row r="29" spans="1:20" ht="15.75" customHeight="1">
      <c r="B29" s="6"/>
      <c r="C29" s="6"/>
      <c r="D29" s="6"/>
      <c r="E29" s="6"/>
      <c r="F29" s="710" t="s">
        <v>115</v>
      </c>
      <c r="G29" s="710"/>
      <c r="H29" s="710"/>
      <c r="I29" s="710"/>
      <c r="J29" s="710"/>
      <c r="K29" s="710"/>
      <c r="L29" s="710"/>
      <c r="M29" s="3"/>
      <c r="N29" s="3"/>
      <c r="O29" s="3"/>
    </row>
    <row r="30" spans="1:20" ht="15.75" customHeight="1">
      <c r="B30" s="6"/>
      <c r="C30" s="6"/>
      <c r="D30" s="6"/>
      <c r="E30" s="6"/>
      <c r="F30" s="6"/>
      <c r="G30" s="712" t="s">
        <v>116</v>
      </c>
      <c r="H30" s="712"/>
      <c r="I30" s="712"/>
      <c r="J30" s="712"/>
      <c r="K30" s="712"/>
      <c r="L30" s="712"/>
      <c r="M30" s="712"/>
      <c r="N30" s="3"/>
      <c r="O30" s="3"/>
    </row>
    <row r="31" spans="1:20" ht="15.75">
      <c r="B31" s="6"/>
      <c r="C31" s="6"/>
      <c r="D31" s="6"/>
      <c r="E31" s="6"/>
      <c r="F31" s="6"/>
      <c r="G31" s="6"/>
      <c r="H31" s="710" t="s">
        <v>117</v>
      </c>
      <c r="I31" s="710"/>
      <c r="J31" s="710"/>
      <c r="K31" s="710"/>
      <c r="L31" s="710"/>
      <c r="M31" s="710"/>
      <c r="N31" s="710"/>
      <c r="O31" s="3"/>
    </row>
    <row r="32" spans="1:20" ht="15.75">
      <c r="B32" s="6"/>
      <c r="C32" s="6"/>
      <c r="D32" s="6"/>
      <c r="E32" s="6"/>
      <c r="F32" s="6"/>
      <c r="G32" s="6"/>
      <c r="H32" s="6"/>
      <c r="I32" s="712" t="s">
        <v>118</v>
      </c>
      <c r="J32" s="712"/>
      <c r="K32" s="712"/>
      <c r="L32" s="712"/>
      <c r="M32" s="712"/>
      <c r="N32" s="712"/>
      <c r="O32" s="712"/>
    </row>
  </sheetData>
  <mergeCells count="13">
    <mergeCell ref="A1:T1"/>
    <mergeCell ref="B2:D2"/>
    <mergeCell ref="E2:G2"/>
    <mergeCell ref="H2:J2"/>
    <mergeCell ref="K2:M2"/>
    <mergeCell ref="G30:M30"/>
    <mergeCell ref="H31:N31"/>
    <mergeCell ref="I32:O32"/>
    <mergeCell ref="B25:H25"/>
    <mergeCell ref="C26:I26"/>
    <mergeCell ref="D27:K27"/>
    <mergeCell ref="E28:L28"/>
    <mergeCell ref="F29:L29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32"/>
  <sheetViews>
    <sheetView zoomScaleNormal="100" workbookViewId="0">
      <pane ySplit="2" topLeftCell="A3" activePane="bottomLeft" state="frozen"/>
      <selection pane="bottomLeft" activeCell="I33" sqref="I33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8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1" customWidth="1"/>
    <col min="23" max="23" width="5.5703125" style="86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7" customFormat="1" ht="15.75" customHeight="1">
      <c r="A1" s="561" t="s">
        <v>66</v>
      </c>
      <c r="B1" s="561"/>
      <c r="C1" s="733" t="s">
        <v>67</v>
      </c>
      <c r="D1" s="733"/>
      <c r="E1" s="561" t="s">
        <v>0</v>
      </c>
      <c r="F1" s="561"/>
      <c r="G1" s="731" t="s">
        <v>10</v>
      </c>
      <c r="H1" s="731"/>
      <c r="I1" s="731"/>
      <c r="J1" s="561" t="s">
        <v>8</v>
      </c>
      <c r="K1" s="561"/>
      <c r="L1" s="734" t="s">
        <v>406</v>
      </c>
      <c r="M1" s="735"/>
      <c r="N1" s="735"/>
      <c r="O1" s="736"/>
      <c r="P1" s="732" t="s">
        <v>65</v>
      </c>
      <c r="Q1" s="732"/>
      <c r="R1" s="731" t="s">
        <v>55</v>
      </c>
      <c r="S1" s="731"/>
      <c r="T1" s="729" t="s">
        <v>46</v>
      </c>
      <c r="U1" s="727" t="s">
        <v>84</v>
      </c>
      <c r="V1" s="727"/>
      <c r="W1" s="727"/>
      <c r="X1" s="727"/>
      <c r="Y1" s="727"/>
      <c r="Z1" s="727"/>
      <c r="AA1" s="727"/>
      <c r="AB1" s="727"/>
      <c r="AC1" s="727"/>
    </row>
    <row r="2" spans="1:29" s="12" customFormat="1" ht="15.75" customHeight="1" thickBot="1">
      <c r="A2" s="101"/>
      <c r="B2" s="54"/>
      <c r="C2" s="89"/>
      <c r="D2" s="57" t="s">
        <v>68</v>
      </c>
      <c r="E2" s="102"/>
      <c r="F2" s="55" t="s">
        <v>68</v>
      </c>
      <c r="G2" s="51" t="s">
        <v>11</v>
      </c>
      <c r="H2" s="49" t="s">
        <v>12</v>
      </c>
      <c r="I2" s="50" t="s">
        <v>29</v>
      </c>
      <c r="J2" s="76" t="s">
        <v>23</v>
      </c>
      <c r="K2" s="56" t="s">
        <v>68</v>
      </c>
      <c r="L2" s="76" t="s">
        <v>325</v>
      </c>
      <c r="M2" s="76" t="s">
        <v>326</v>
      </c>
      <c r="N2" s="76" t="s">
        <v>327</v>
      </c>
      <c r="O2" s="278" t="s">
        <v>29</v>
      </c>
      <c r="P2" s="63" t="s">
        <v>23</v>
      </c>
      <c r="Q2" s="56" t="s">
        <v>68</v>
      </c>
      <c r="R2" s="76" t="s">
        <v>23</v>
      </c>
      <c r="S2" s="36" t="s">
        <v>68</v>
      </c>
      <c r="T2" s="730"/>
      <c r="U2" s="728"/>
      <c r="V2" s="728"/>
      <c r="W2" s="728"/>
      <c r="X2" s="728"/>
      <c r="Y2" s="728"/>
      <c r="Z2" s="728"/>
      <c r="AA2" s="728"/>
      <c r="AB2" s="728"/>
      <c r="AC2" s="728"/>
    </row>
    <row r="3" spans="1:29" s="19" customFormat="1">
      <c r="A3" s="14" t="str">
        <f>'1-συμβολαια'!A3</f>
        <v>3ο</v>
      </c>
      <c r="B3" s="53"/>
      <c r="C3" s="84">
        <f>'1-συμβολαια'!B3</f>
        <v>38567</v>
      </c>
      <c r="D3" s="20"/>
      <c r="E3" s="97" t="str">
        <f>'1-συμβολαια'!C3</f>
        <v>υποθήκης ????  5.495.705δρχ ΕΞΑΛΕΙΨΗ</v>
      </c>
      <c r="F3" s="15"/>
      <c r="G3" s="16" t="str">
        <f>'4-πολλυπρ'!D3</f>
        <v>…??? τραπεζα [= …????</v>
      </c>
      <c r="H3" s="16" t="str">
        <f>'4-πολλυπρ'!I3</f>
        <v>219-1 = …???</v>
      </c>
      <c r="I3" s="21"/>
      <c r="J3" s="21">
        <f>'1-συμβολαια'!D3</f>
        <v>16128.26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1.76</v>
      </c>
      <c r="S3" s="24"/>
      <c r="T3" s="25"/>
      <c r="U3" s="90"/>
      <c r="V3" s="90"/>
      <c r="W3" s="85"/>
      <c r="X3" s="26"/>
      <c r="Y3" s="26"/>
      <c r="Z3" s="26"/>
      <c r="AA3" s="26"/>
      <c r="AB3" s="26"/>
      <c r="AC3" s="26"/>
    </row>
    <row r="4" spans="1:29" s="19" customFormat="1">
      <c r="A4" s="14">
        <f>'1-συμβολαια'!A4</f>
        <v>0</v>
      </c>
      <c r="B4" s="53"/>
      <c r="C4" s="84">
        <f>'1-συμβολαια'!B4</f>
        <v>0</v>
      </c>
      <c r="D4" s="20"/>
      <c r="E4" s="97" t="str">
        <f>'1-συμβολαια'!C4</f>
        <v>δανείου ??? 5.495.700 δρχ …. ΕΞΟΦΛΗΣΗ</v>
      </c>
      <c r="F4" s="15"/>
      <c r="G4" s="16" t="str">
        <f>'4-πολλυπρ'!D4</f>
        <v>…??? τραπεζα [= …????</v>
      </c>
      <c r="H4" s="16" t="str">
        <f>'4-πολλυπρ'!I4</f>
        <v>219-1 = …???</v>
      </c>
      <c r="I4" s="21"/>
      <c r="J4" s="21">
        <f>'1-συμβολαια'!D4</f>
        <v>16128.26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90"/>
      <c r="V4" s="90"/>
      <c r="W4" s="85"/>
      <c r="X4" s="26"/>
      <c r="Y4" s="26"/>
      <c r="Z4" s="26"/>
      <c r="AA4" s="26"/>
      <c r="AB4" s="26"/>
      <c r="AC4" s="26"/>
    </row>
    <row r="5" spans="1:29" s="19" customFormat="1">
      <c r="A5" s="14">
        <f>'1-συμβολαια'!A5</f>
        <v>0</v>
      </c>
      <c r="B5" s="53"/>
      <c r="C5" s="84">
        <f>'1-συμβολαια'!B5</f>
        <v>0</v>
      </c>
      <c r="D5" s="20"/>
      <c r="E5" s="97" t="str">
        <f>'1-συμβολαια'!C5</f>
        <v>δανείου ???? ΤΟΚΟΙ</v>
      </c>
      <c r="F5" s="15"/>
      <c r="G5" s="16" t="str">
        <f>'4-πολλυπρ'!D5</f>
        <v>…??? τραπεζα [= …????</v>
      </c>
      <c r="H5" s="16" t="str">
        <f>'4-πολλυπρ'!I5</f>
        <v>219-1 = …???</v>
      </c>
      <c r="I5" s="21"/>
      <c r="J5" s="21">
        <f>'1-συμβολαια'!D5</f>
        <v>33333.33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90"/>
      <c r="V5" s="90"/>
      <c r="W5" s="85"/>
      <c r="X5" s="26"/>
      <c r="Y5" s="26"/>
      <c r="Z5" s="26"/>
      <c r="AA5" s="26"/>
      <c r="AB5" s="26"/>
      <c r="AC5" s="26"/>
    </row>
    <row r="6" spans="1:29" s="19" customFormat="1">
      <c r="A6" s="14">
        <f>'1-συμβολαια'!A6</f>
        <v>0</v>
      </c>
      <c r="B6" s="53"/>
      <c r="C6" s="84">
        <f>'1-συμβολαια'!B6</f>
        <v>0</v>
      </c>
      <c r="D6" s="20"/>
      <c r="E6" s="97">
        <f>'1-συμβολαια'!C6</f>
        <v>0</v>
      </c>
      <c r="F6" s="15"/>
      <c r="G6" s="16">
        <f>'4-πολλυπρ'!D6</f>
        <v>0</v>
      </c>
      <c r="H6" s="16">
        <f>'4-πολλυπρ'!I6</f>
        <v>0</v>
      </c>
      <c r="I6" s="21"/>
      <c r="J6" s="21">
        <f>'1-συμβολαια'!D6</f>
        <v>0</v>
      </c>
      <c r="K6" s="21"/>
      <c r="L6" s="28">
        <f>'11-χαρτόσ'!D6</f>
        <v>0</v>
      </c>
      <c r="M6" s="28"/>
      <c r="N6" s="28"/>
      <c r="O6" s="22"/>
      <c r="P6" s="18" t="e">
        <f>#REF!-R6</f>
        <v>#REF!</v>
      </c>
      <c r="Q6" s="17"/>
      <c r="R6" s="23">
        <f>'5-αντίγρ'!Q6</f>
        <v>0</v>
      </c>
      <c r="S6" s="24"/>
      <c r="T6" s="25"/>
      <c r="U6" s="90"/>
      <c r="V6" s="90"/>
      <c r="W6" s="85"/>
      <c r="X6" s="26"/>
      <c r="Y6" s="26"/>
      <c r="Z6" s="26"/>
      <c r="AA6" s="26"/>
      <c r="AB6" s="26"/>
      <c r="AC6" s="26"/>
    </row>
    <row r="7" spans="1:29" s="19" customFormat="1">
      <c r="A7" s="14" t="str">
        <f>'1-συμβολαια'!A7</f>
        <v>4ο</v>
      </c>
      <c r="B7" s="53"/>
      <c r="C7" s="84">
        <f>'1-συμβολαια'!B7</f>
        <v>38567</v>
      </c>
      <c r="D7" s="20"/>
      <c r="E7" s="97" t="str">
        <f>'1-συμβολαια'!C7</f>
        <v>υποθήκης ???? 12.000.000δρχ ΕΞΑΛΕΙΨΗ</v>
      </c>
      <c r="F7" s="15"/>
      <c r="G7" s="16" t="str">
        <f>'4-πολλυπρ'!D7</f>
        <v>…??? τραπεζα [= …????</v>
      </c>
      <c r="H7" s="16" t="str">
        <f>'4-πολλυπρ'!I7</f>
        <v>219-1 = …???</v>
      </c>
      <c r="I7" s="21"/>
      <c r="J7" s="21">
        <f>'1-συμβολαια'!D7</f>
        <v>35216.43</v>
      </c>
      <c r="K7" s="21"/>
      <c r="L7" s="28">
        <f>'11-χαρτόσ'!D7</f>
        <v>0</v>
      </c>
      <c r="M7" s="28"/>
      <c r="N7" s="28"/>
      <c r="O7" s="22"/>
      <c r="P7" s="18" t="e">
        <f>#REF!-R7</f>
        <v>#REF!</v>
      </c>
      <c r="Q7" s="17"/>
      <c r="R7" s="23">
        <f>'5-αντίγρ'!Q7</f>
        <v>1.76</v>
      </c>
      <c r="S7" s="24"/>
      <c r="T7" s="25"/>
      <c r="U7" s="90"/>
      <c r="V7" s="90"/>
      <c r="W7" s="85"/>
      <c r="X7" s="26"/>
      <c r="Y7" s="26"/>
      <c r="Z7" s="26"/>
      <c r="AA7" s="26"/>
      <c r="AB7" s="26"/>
      <c r="AC7" s="26"/>
    </row>
    <row r="8" spans="1:29" s="19" customFormat="1">
      <c r="A8" s="14">
        <f>'1-συμβολαια'!A8</f>
        <v>0</v>
      </c>
      <c r="B8" s="53"/>
      <c r="C8" s="84">
        <f>'1-συμβολαια'!B8</f>
        <v>0</v>
      </c>
      <c r="D8" s="20"/>
      <c r="E8" s="97" t="str">
        <f>'1-συμβολαια'!C8</f>
        <v>δανείου ??? 12.000.000δρχ …. ΕΞΟΦΛΗΣΗ</v>
      </c>
      <c r="F8" s="15"/>
      <c r="G8" s="16" t="str">
        <f>'4-πολλυπρ'!D8</f>
        <v>…??? τραπεζα [= …????</v>
      </c>
      <c r="H8" s="16" t="str">
        <f>'4-πολλυπρ'!I8</f>
        <v>219-1 = …???</v>
      </c>
      <c r="I8" s="21"/>
      <c r="J8" s="21">
        <f>'1-συμβολαια'!D8</f>
        <v>35216.43</v>
      </c>
      <c r="K8" s="21"/>
      <c r="L8" s="28">
        <f>'11-χαρτόσ'!D8</f>
        <v>0</v>
      </c>
      <c r="M8" s="28"/>
      <c r="N8" s="28"/>
      <c r="O8" s="22"/>
      <c r="P8" s="18" t="e">
        <f>#REF!-R8</f>
        <v>#REF!</v>
      </c>
      <c r="Q8" s="17"/>
      <c r="R8" s="23">
        <f>'5-αντίγρ'!Q8</f>
        <v>0</v>
      </c>
      <c r="S8" s="24"/>
      <c r="T8" s="25"/>
      <c r="U8" s="90"/>
      <c r="V8" s="90"/>
      <c r="W8" s="85"/>
      <c r="X8" s="26"/>
      <c r="Y8" s="26"/>
      <c r="Z8" s="26"/>
      <c r="AA8" s="26"/>
      <c r="AB8" s="26"/>
      <c r="AC8" s="26"/>
    </row>
    <row r="9" spans="1:29" s="19" customFormat="1">
      <c r="A9" s="14">
        <f>'1-συμβολαια'!A9</f>
        <v>0</v>
      </c>
      <c r="B9" s="53"/>
      <c r="C9" s="84">
        <f>'1-συμβολαια'!B9</f>
        <v>0</v>
      </c>
      <c r="D9" s="20"/>
      <c r="E9" s="97" t="str">
        <f>'1-συμβολαια'!C9</f>
        <v>δανείου ???? ΤΟΚΟΙ</v>
      </c>
      <c r="F9" s="15"/>
      <c r="G9" s="16" t="str">
        <f>'4-πολλυπρ'!D9</f>
        <v>…??? τραπεζα [= …????</v>
      </c>
      <c r="H9" s="16" t="str">
        <f>'4-πολλυπρ'!I9</f>
        <v>219-1 = …???</v>
      </c>
      <c r="I9" s="21"/>
      <c r="J9" s="21">
        <f>'1-συμβολαια'!D9</f>
        <v>77777.77</v>
      </c>
      <c r="K9" s="21"/>
      <c r="L9" s="28">
        <f>'11-χαρτόσ'!D9</f>
        <v>0</v>
      </c>
      <c r="M9" s="28"/>
      <c r="N9" s="28"/>
      <c r="O9" s="22"/>
      <c r="P9" s="18" t="e">
        <f>#REF!-R9</f>
        <v>#REF!</v>
      </c>
      <c r="Q9" s="17"/>
      <c r="R9" s="23">
        <f>'5-αντίγρ'!Q9</f>
        <v>0</v>
      </c>
      <c r="S9" s="24"/>
      <c r="T9" s="25"/>
      <c r="U9" s="90"/>
      <c r="V9" s="90"/>
      <c r="W9" s="85"/>
      <c r="X9" s="26"/>
      <c r="Y9" s="26"/>
      <c r="Z9" s="26"/>
      <c r="AA9" s="26"/>
      <c r="AB9" s="26"/>
      <c r="AC9" s="26"/>
    </row>
    <row r="10" spans="1:29" s="19" customFormat="1">
      <c r="A10" s="14">
        <f>'1-συμβολαια'!A10</f>
        <v>0</v>
      </c>
      <c r="B10" s="53"/>
      <c r="C10" s="84">
        <f>'1-συμβολαια'!B10</f>
        <v>0</v>
      </c>
      <c r="D10" s="20"/>
      <c r="E10" s="97">
        <f>'1-συμβολαια'!C10</f>
        <v>0</v>
      </c>
      <c r="F10" s="15"/>
      <c r="G10" s="16">
        <f>'4-πολλυπρ'!D10</f>
        <v>0</v>
      </c>
      <c r="H10" s="16">
        <f>'4-πολλυπρ'!I10</f>
        <v>0</v>
      </c>
      <c r="I10" s="21"/>
      <c r="J10" s="21">
        <f>'1-συμβολαια'!D10</f>
        <v>0</v>
      </c>
      <c r="K10" s="21"/>
      <c r="L10" s="28">
        <f>'11-χαρτόσ'!D10</f>
        <v>0</v>
      </c>
      <c r="M10" s="28"/>
      <c r="N10" s="28"/>
      <c r="O10" s="22"/>
      <c r="P10" s="18" t="e">
        <f>#REF!-R10</f>
        <v>#REF!</v>
      </c>
      <c r="Q10" s="17"/>
      <c r="R10" s="23">
        <f>'5-αντίγρ'!Q10</f>
        <v>0</v>
      </c>
      <c r="S10" s="24"/>
      <c r="T10" s="25"/>
      <c r="U10" s="90"/>
      <c r="V10" s="90"/>
      <c r="W10" s="85"/>
      <c r="X10" s="26"/>
      <c r="Y10" s="26"/>
      <c r="Z10" s="26"/>
      <c r="AA10" s="26"/>
      <c r="AB10" s="26"/>
      <c r="AC10" s="26"/>
    </row>
    <row r="11" spans="1:29" s="19" customFormat="1">
      <c r="A11" s="14" t="str">
        <f>'1-συμβολαια'!A11</f>
        <v>5ο</v>
      </c>
      <c r="B11" s="53"/>
      <c r="C11" s="84">
        <f>'1-συμβολαια'!B11</f>
        <v>38567</v>
      </c>
      <c r="D11" s="20"/>
      <c r="E11" s="97" t="str">
        <f>'1-συμβολαια'!C11</f>
        <v>υποθήκης 1ου   κύρου ;;;???;;;δρχ ΕΞΑΛΕΙΨΗ</v>
      </c>
      <c r="F11" s="15"/>
      <c r="G11" s="16" t="str">
        <f>'4-πολλυπρ'!D11</f>
        <v>…??? τραπεζα [= …????</v>
      </c>
      <c r="H11" s="16" t="str">
        <f>'4-πολλυπρ'!I11</f>
        <v>219-1 = …???</v>
      </c>
      <c r="I11" s="21"/>
      <c r="J11" s="21">
        <f>'1-συμβολαια'!D11</f>
        <v>0</v>
      </c>
      <c r="K11" s="21"/>
      <c r="L11" s="28">
        <f>'11-χαρτόσ'!D11</f>
        <v>0</v>
      </c>
      <c r="M11" s="28"/>
      <c r="N11" s="28"/>
      <c r="O11" s="22"/>
      <c r="P11" s="18" t="e">
        <f>#REF!-R11</f>
        <v>#REF!</v>
      </c>
      <c r="Q11" s="17"/>
      <c r="R11" s="23">
        <f>'5-αντίγρ'!Q11</f>
        <v>1.76</v>
      </c>
      <c r="S11" s="24"/>
      <c r="T11" s="25"/>
      <c r="U11" s="90"/>
      <c r="V11" s="90"/>
      <c r="W11" s="85"/>
      <c r="X11" s="26"/>
      <c r="Y11" s="26"/>
      <c r="Z11" s="26"/>
      <c r="AA11" s="26"/>
      <c r="AB11" s="26"/>
      <c r="AC11" s="26"/>
    </row>
    <row r="12" spans="1:29" s="19" customFormat="1">
      <c r="A12" s="14">
        <f>'1-συμβολαια'!A12</f>
        <v>0</v>
      </c>
      <c r="B12" s="53"/>
      <c r="C12" s="84">
        <f>'1-συμβολαια'!B12</f>
        <v>0</v>
      </c>
      <c r="D12" s="20"/>
      <c r="E12" s="97" t="str">
        <f>'1-συμβολαια'!C12</f>
        <v>δανείου 1ου   κύρου 1.050.000δρχ ...ΕΞΟΦΛΗΣΗ</v>
      </c>
      <c r="F12" s="15"/>
      <c r="G12" s="16" t="str">
        <f>'4-πολλυπρ'!D12</f>
        <v>…??? τραπεζα [= …????</v>
      </c>
      <c r="H12" s="16" t="str">
        <f>'4-πολλυπρ'!I12</f>
        <v>219-1 = …???</v>
      </c>
      <c r="I12" s="21"/>
      <c r="J12" s="21">
        <f>'1-συμβολαια'!D12</f>
        <v>0</v>
      </c>
      <c r="K12" s="21"/>
      <c r="L12" s="28">
        <f>'11-χαρτόσ'!D12</f>
        <v>0</v>
      </c>
      <c r="M12" s="28"/>
      <c r="N12" s="28"/>
      <c r="O12" s="22"/>
      <c r="P12" s="18" t="e">
        <f>#REF!-R12</f>
        <v>#REF!</v>
      </c>
      <c r="Q12" s="17"/>
      <c r="R12" s="23">
        <f>'5-αντίγρ'!Q12</f>
        <v>0</v>
      </c>
      <c r="S12" s="24"/>
      <c r="T12" s="25"/>
      <c r="U12" s="90"/>
      <c r="V12" s="90"/>
      <c r="W12" s="85"/>
      <c r="X12" s="26"/>
      <c r="Y12" s="26"/>
      <c r="Z12" s="26"/>
      <c r="AA12" s="26"/>
      <c r="AB12" s="26"/>
      <c r="AC12" s="26"/>
    </row>
    <row r="13" spans="1:29" s="19" customFormat="1">
      <c r="A13" s="14">
        <f>'1-συμβολαια'!A13</f>
        <v>0</v>
      </c>
      <c r="B13" s="53"/>
      <c r="C13" s="84">
        <f>'1-συμβολαια'!B13</f>
        <v>0</v>
      </c>
      <c r="D13" s="20"/>
      <c r="E13" s="97" t="str">
        <f>'1-συμβολαια'!C13</f>
        <v>δανείου 1ου   κύρου ΤΟΚΟΙ {προπληρωθέντες VS υπερβάλλοντες}</v>
      </c>
      <c r="F13" s="15"/>
      <c r="G13" s="16" t="str">
        <f>'4-πολλυπρ'!D13</f>
        <v>…??? τραπεζα [= …????</v>
      </c>
      <c r="H13" s="16" t="str">
        <f>'4-πολλυπρ'!I13</f>
        <v>219-1 = …???</v>
      </c>
      <c r="I13" s="21"/>
      <c r="J13" s="21">
        <f>'1-συμβολαια'!D13</f>
        <v>666.66</v>
      </c>
      <c r="K13" s="21"/>
      <c r="L13" s="28">
        <f>'11-χαρτόσ'!D13</f>
        <v>0</v>
      </c>
      <c r="M13" s="28"/>
      <c r="N13" s="28"/>
      <c r="O13" s="22"/>
      <c r="P13" s="18" t="e">
        <f>#REF!-R13</f>
        <v>#REF!</v>
      </c>
      <c r="Q13" s="17"/>
      <c r="R13" s="23">
        <f>'5-αντίγρ'!Q13</f>
        <v>0</v>
      </c>
      <c r="S13" s="24"/>
      <c r="T13" s="25"/>
      <c r="U13" s="90"/>
      <c r="V13" s="90"/>
      <c r="W13" s="85"/>
      <c r="X13" s="26"/>
      <c r="Y13" s="26"/>
      <c r="Z13" s="26"/>
      <c r="AA13" s="26"/>
      <c r="AB13" s="26"/>
      <c r="AC13" s="26"/>
    </row>
    <row r="14" spans="1:29" s="19" customFormat="1">
      <c r="A14" s="14">
        <f>'1-συμβολαια'!A14</f>
        <v>0</v>
      </c>
      <c r="B14" s="53"/>
      <c r="C14" s="84">
        <f>'1-συμβολαια'!B14</f>
        <v>0</v>
      </c>
      <c r="D14" s="20"/>
      <c r="E14" s="97">
        <f>'1-συμβολαια'!C14</f>
        <v>0</v>
      </c>
      <c r="F14" s="15"/>
      <c r="G14" s="16">
        <f>'4-πολλυπρ'!D14</f>
        <v>0</v>
      </c>
      <c r="H14" s="16">
        <f>'4-πολλυπρ'!I14</f>
        <v>0</v>
      </c>
      <c r="I14" s="21"/>
      <c r="J14" s="21">
        <f>'1-συμβολαια'!D14</f>
        <v>0</v>
      </c>
      <c r="K14" s="21"/>
      <c r="L14" s="28">
        <f>'11-χαρτόσ'!D14</f>
        <v>0</v>
      </c>
      <c r="M14" s="28"/>
      <c r="N14" s="28"/>
      <c r="O14" s="22"/>
      <c r="P14" s="18" t="e">
        <f>#REF!-R14</f>
        <v>#REF!</v>
      </c>
      <c r="Q14" s="17"/>
      <c r="R14" s="23">
        <f>'5-αντίγρ'!Q14</f>
        <v>0</v>
      </c>
      <c r="S14" s="24"/>
      <c r="T14" s="25"/>
      <c r="U14" s="90"/>
      <c r="V14" s="90"/>
      <c r="W14" s="85"/>
      <c r="X14" s="26"/>
      <c r="Y14" s="26"/>
      <c r="Z14" s="26"/>
      <c r="AA14" s="26"/>
      <c r="AB14" s="26"/>
      <c r="AC14" s="26"/>
    </row>
    <row r="15" spans="1:29" s="19" customFormat="1">
      <c r="A15" s="14" t="str">
        <f>'1-συμβολαια'!A15</f>
        <v>6ο</v>
      </c>
      <c r="B15" s="53"/>
      <c r="C15" s="84">
        <f>'1-συμβολαια'!B15</f>
        <v>38567</v>
      </c>
      <c r="D15" s="20"/>
      <c r="E15" s="97" t="str">
        <f>'1-συμβολαια'!C15</f>
        <v>υποθήκης 2ου   κύρου ;;;???;;;δρχ …..ΕΞΑΛΕΙΨΗ</v>
      </c>
      <c r="F15" s="15"/>
      <c r="G15" s="16" t="str">
        <f>'4-πολλυπρ'!D15</f>
        <v>…??? τραπεζα [= …????</v>
      </c>
      <c r="H15" s="16" t="str">
        <f>'4-πολλυπρ'!I15</f>
        <v>219-1 = …???</v>
      </c>
      <c r="I15" s="21"/>
      <c r="J15" s="21">
        <f>'1-συμβολαια'!D15</f>
        <v>0</v>
      </c>
      <c r="K15" s="21"/>
      <c r="L15" s="28">
        <f>'11-χαρτόσ'!D15</f>
        <v>0</v>
      </c>
      <c r="M15" s="28"/>
      <c r="N15" s="28"/>
      <c r="O15" s="22"/>
      <c r="P15" s="18" t="e">
        <f>#REF!-R15</f>
        <v>#REF!</v>
      </c>
      <c r="Q15" s="17"/>
      <c r="R15" s="23">
        <f>'5-αντίγρ'!Q15</f>
        <v>1.76</v>
      </c>
      <c r="S15" s="24"/>
      <c r="T15" s="25"/>
      <c r="U15" s="90"/>
      <c r="V15" s="90"/>
      <c r="W15" s="85"/>
      <c r="X15" s="26"/>
      <c r="Y15" s="26"/>
      <c r="Z15" s="26"/>
      <c r="AA15" s="26"/>
      <c r="AB15" s="26"/>
      <c r="AC15" s="26"/>
    </row>
    <row r="16" spans="1:29" s="19" customFormat="1">
      <c r="A16" s="14">
        <f>'1-συμβολαια'!A16</f>
        <v>0</v>
      </c>
      <c r="B16" s="53"/>
      <c r="C16" s="84">
        <f>'1-συμβολαια'!B16</f>
        <v>0</v>
      </c>
      <c r="D16" s="20"/>
      <c r="E16" s="97" t="str">
        <f>'1-συμβολαια'!C16</f>
        <v>δανείου 2ου   κύρου 7000.000δρχ …..ΕΞΟΦΛΗΣΗ</v>
      </c>
      <c r="F16" s="15"/>
      <c r="G16" s="16" t="str">
        <f>'4-πολλυπρ'!D16</f>
        <v>…??? τραπεζα [= …????</v>
      </c>
      <c r="H16" s="16" t="str">
        <f>'4-πολλυπρ'!I16</f>
        <v>219-1 = …???</v>
      </c>
      <c r="I16" s="21"/>
      <c r="J16" s="21">
        <f>'1-συμβολαια'!D16</f>
        <v>0</v>
      </c>
      <c r="K16" s="21"/>
      <c r="L16" s="28">
        <f>'11-χαρτόσ'!D16</f>
        <v>0</v>
      </c>
      <c r="M16" s="28"/>
      <c r="N16" s="28"/>
      <c r="O16" s="22"/>
      <c r="P16" s="18" t="e">
        <f>#REF!-R16</f>
        <v>#REF!</v>
      </c>
      <c r="Q16" s="17"/>
      <c r="R16" s="23">
        <f>'5-αντίγρ'!Q16</f>
        <v>0</v>
      </c>
      <c r="S16" s="24"/>
      <c r="T16" s="25"/>
      <c r="U16" s="90"/>
      <c r="V16" s="90"/>
      <c r="W16" s="85"/>
      <c r="X16" s="26"/>
      <c r="Y16" s="26"/>
      <c r="Z16" s="26"/>
      <c r="AA16" s="26"/>
      <c r="AB16" s="26"/>
      <c r="AC16" s="26"/>
    </row>
    <row r="17" spans="1:35" s="19" customFormat="1">
      <c r="A17" s="14">
        <f>'1-συμβολαια'!A17</f>
        <v>0</v>
      </c>
      <c r="B17" s="53"/>
      <c r="C17" s="84">
        <f>'1-συμβολαια'!B17</f>
        <v>0</v>
      </c>
      <c r="D17" s="20"/>
      <c r="E17" s="97" t="str">
        <f>'1-συμβολαια'!C17</f>
        <v>δανείου 2ου    κύρου …. ΤΟΚΟΙ {προπληρωθέντες VS υπερβάλλοντες}</v>
      </c>
      <c r="F17" s="15"/>
      <c r="G17" s="16" t="str">
        <f>'4-πολλυπρ'!D17</f>
        <v>…??? τραπεζα [= …????</v>
      </c>
      <c r="H17" s="16" t="str">
        <f>'4-πολλυπρ'!I17</f>
        <v>219-1 = …???</v>
      </c>
      <c r="I17" s="21"/>
      <c r="J17" s="21">
        <f>'1-συμβολαια'!D17</f>
        <v>444.44</v>
      </c>
      <c r="K17" s="21"/>
      <c r="L17" s="28">
        <f>'11-χαρτόσ'!D17</f>
        <v>0</v>
      </c>
      <c r="M17" s="28"/>
      <c r="N17" s="28"/>
      <c r="O17" s="22"/>
      <c r="P17" s="18" t="e">
        <f>#REF!-R17</f>
        <v>#REF!</v>
      </c>
      <c r="Q17" s="17"/>
      <c r="R17" s="23">
        <f>'5-αντίγρ'!Q17</f>
        <v>0</v>
      </c>
      <c r="S17" s="24"/>
      <c r="T17" s="25"/>
      <c r="U17" s="90"/>
      <c r="V17" s="90"/>
      <c r="W17" s="85"/>
      <c r="X17" s="26"/>
      <c r="Y17" s="26"/>
      <c r="Z17" s="26"/>
      <c r="AA17" s="26"/>
      <c r="AB17" s="26"/>
      <c r="AC17" s="26"/>
    </row>
    <row r="18" spans="1:35" s="19" customFormat="1">
      <c r="A18" s="14">
        <f>'1-συμβολαια'!A18</f>
        <v>0</v>
      </c>
      <c r="B18" s="53"/>
      <c r="C18" s="84">
        <f>'1-συμβολαια'!B18</f>
        <v>0</v>
      </c>
      <c r="D18" s="20"/>
      <c r="E18" s="97">
        <f>'1-συμβολαια'!C18</f>
        <v>0</v>
      </c>
      <c r="F18" s="15"/>
      <c r="G18" s="16">
        <f>'4-πολλυπρ'!D18</f>
        <v>0</v>
      </c>
      <c r="H18" s="16">
        <f>'4-πολλυπρ'!I18</f>
        <v>0</v>
      </c>
      <c r="I18" s="21"/>
      <c r="J18" s="21">
        <f>'1-συμβολαια'!D18</f>
        <v>0</v>
      </c>
      <c r="K18" s="21"/>
      <c r="L18" s="28">
        <f>'11-χαρτόσ'!D18</f>
        <v>0</v>
      </c>
      <c r="M18" s="28"/>
      <c r="N18" s="28"/>
      <c r="O18" s="22"/>
      <c r="P18" s="18" t="e">
        <f>#REF!-R18</f>
        <v>#REF!</v>
      </c>
      <c r="Q18" s="17"/>
      <c r="R18" s="23">
        <f>'5-αντίγρ'!Q18</f>
        <v>0</v>
      </c>
      <c r="S18" s="24"/>
      <c r="T18" s="25"/>
      <c r="U18" s="90"/>
      <c r="V18" s="90"/>
      <c r="W18" s="85"/>
      <c r="X18" s="26"/>
      <c r="Y18" s="26"/>
      <c r="Z18" s="26"/>
      <c r="AA18" s="26"/>
      <c r="AB18" s="26"/>
      <c r="AC18" s="26"/>
    </row>
    <row r="19" spans="1:35" s="19" customFormat="1">
      <c r="A19" s="14" t="str">
        <f>'1-συμβολαια'!A19</f>
        <v>7ο</v>
      </c>
      <c r="B19" s="53"/>
      <c r="C19" s="84">
        <f>'1-συμβολαια'!B19</f>
        <v>38567</v>
      </c>
      <c r="D19" s="20"/>
      <c r="E19" s="97" t="str">
        <f>'1-συμβολαια'!C19</f>
        <v>υποθήκης ???? 2.168.354δρχ …. ΕΞΑΛΕΙΨΗ</v>
      </c>
      <c r="F19" s="15"/>
      <c r="G19" s="16" t="str">
        <f>'4-πολλυπρ'!D19</f>
        <v>…??? τραπεζα [= …????</v>
      </c>
      <c r="H19" s="16" t="str">
        <f>'4-πολλυπρ'!I19</f>
        <v>219-1 = …???</v>
      </c>
      <c r="I19" s="21"/>
      <c r="J19" s="21">
        <f>'1-συμβολαια'!D19</f>
        <v>6363.47</v>
      </c>
      <c r="K19" s="21"/>
      <c r="L19" s="28">
        <f>'11-χαρτόσ'!D19</f>
        <v>0</v>
      </c>
      <c r="M19" s="28"/>
      <c r="N19" s="28"/>
      <c r="O19" s="22"/>
      <c r="P19" s="18" t="e">
        <f>#REF!-R19</f>
        <v>#REF!</v>
      </c>
      <c r="Q19" s="17"/>
      <c r="R19" s="23">
        <f>'5-αντίγρ'!Q19</f>
        <v>1.76</v>
      </c>
      <c r="S19" s="24"/>
      <c r="T19" s="25"/>
      <c r="U19" s="90"/>
      <c r="V19" s="90"/>
      <c r="W19" s="85"/>
      <c r="X19" s="26"/>
      <c r="Y19" s="26"/>
      <c r="Z19" s="26"/>
      <c r="AA19" s="26"/>
      <c r="AB19" s="26"/>
      <c r="AC19" s="26"/>
    </row>
    <row r="20" spans="1:35" s="19" customFormat="1">
      <c r="A20" s="14">
        <f>'1-συμβολαια'!A20</f>
        <v>0</v>
      </c>
      <c r="B20" s="53"/>
      <c r="C20" s="84">
        <f>'1-συμβολαια'!B20</f>
        <v>0</v>
      </c>
      <c r="D20" s="20"/>
      <c r="E20" s="97" t="str">
        <f>'1-συμβολαια'!C20</f>
        <v>δανείου ??? 2.168.354δρχ ….. ΕΞΟΦΛΗΣΗ</v>
      </c>
      <c r="F20" s="15"/>
      <c r="G20" s="16" t="str">
        <f>'4-πολλυπρ'!D20</f>
        <v>…??? τραπεζα [= …????</v>
      </c>
      <c r="H20" s="16" t="str">
        <f>'4-πολλυπρ'!I20</f>
        <v>219-1 = …???</v>
      </c>
      <c r="I20" s="21"/>
      <c r="J20" s="21">
        <f>'1-συμβολαια'!D20</f>
        <v>6363.47</v>
      </c>
      <c r="K20" s="21"/>
      <c r="L20" s="28">
        <f>'11-χαρτόσ'!D20</f>
        <v>0</v>
      </c>
      <c r="M20" s="28"/>
      <c r="N20" s="28"/>
      <c r="O20" s="22"/>
      <c r="P20" s="18" t="e">
        <f>#REF!-R20</f>
        <v>#REF!</v>
      </c>
      <c r="Q20" s="17"/>
      <c r="R20" s="23">
        <f>'5-αντίγρ'!Q20</f>
        <v>0</v>
      </c>
      <c r="S20" s="24"/>
      <c r="T20" s="25"/>
      <c r="U20" s="90"/>
      <c r="V20" s="90"/>
      <c r="W20" s="85"/>
      <c r="X20" s="26"/>
      <c r="Y20" s="26"/>
      <c r="Z20" s="26"/>
      <c r="AA20" s="26"/>
      <c r="AB20" s="26"/>
      <c r="AC20" s="26"/>
    </row>
    <row r="21" spans="1:35" s="19" customFormat="1">
      <c r="A21" s="14">
        <f>'1-συμβολαια'!A21</f>
        <v>0</v>
      </c>
      <c r="B21" s="53"/>
      <c r="C21" s="84">
        <f>'1-συμβολαια'!B21</f>
        <v>0</v>
      </c>
      <c r="D21" s="20"/>
      <c r="E21" s="97" t="str">
        <f>'1-συμβολαια'!C21</f>
        <v>δανείου ???? ΤΟΚΟΙ</v>
      </c>
      <c r="F21" s="15"/>
      <c r="G21" s="16" t="str">
        <f>'4-πολλυπρ'!D21</f>
        <v>…??? τραπεζα [= …????</v>
      </c>
      <c r="H21" s="16" t="str">
        <f>'4-πολλυπρ'!I21</f>
        <v>219-1 = …???</v>
      </c>
      <c r="I21" s="21"/>
      <c r="J21" s="21">
        <f>'1-συμβολαια'!D21</f>
        <v>14444.44</v>
      </c>
      <c r="K21" s="21"/>
      <c r="L21" s="28">
        <f>'11-χαρτόσ'!D21</f>
        <v>0</v>
      </c>
      <c r="M21" s="28"/>
      <c r="N21" s="28"/>
      <c r="O21" s="22"/>
      <c r="P21" s="18" t="e">
        <f>#REF!-R21</f>
        <v>#REF!</v>
      </c>
      <c r="Q21" s="17"/>
      <c r="R21" s="23">
        <f>'5-αντίγρ'!Q21</f>
        <v>0</v>
      </c>
      <c r="S21" s="24"/>
      <c r="T21" s="25"/>
      <c r="U21" s="90"/>
      <c r="V21" s="90"/>
      <c r="W21" s="85"/>
      <c r="X21" s="26"/>
      <c r="Y21" s="26"/>
      <c r="Z21" s="26"/>
      <c r="AA21" s="26"/>
      <c r="AB21" s="26"/>
      <c r="AC21" s="26"/>
    </row>
    <row r="22" spans="1:35" s="19" customFormat="1">
      <c r="A22" s="14">
        <f>'1-συμβολαια'!A22</f>
        <v>0</v>
      </c>
      <c r="B22" s="53"/>
      <c r="C22" s="84">
        <f>'1-συμβολαια'!B22</f>
        <v>0</v>
      </c>
      <c r="D22" s="20"/>
      <c r="E22" s="97">
        <f>'1-συμβολαια'!C22</f>
        <v>0</v>
      </c>
      <c r="F22" s="15"/>
      <c r="G22" s="16">
        <f>'4-πολλυπρ'!D22</f>
        <v>0</v>
      </c>
      <c r="H22" s="16">
        <f>'4-πολλυπρ'!I22</f>
        <v>0</v>
      </c>
      <c r="I22" s="21"/>
      <c r="J22" s="21">
        <f>'1-συμβολαια'!D22</f>
        <v>0</v>
      </c>
      <c r="K22" s="21"/>
      <c r="L22" s="28">
        <f>'11-χαρτόσ'!D22</f>
        <v>0</v>
      </c>
      <c r="M22" s="28"/>
      <c r="N22" s="28"/>
      <c r="O22" s="22"/>
      <c r="P22" s="18" t="e">
        <f>#REF!-R22</f>
        <v>#REF!</v>
      </c>
      <c r="Q22" s="17"/>
      <c r="R22" s="23">
        <f>'5-αντίγρ'!Q22</f>
        <v>0</v>
      </c>
      <c r="S22" s="24"/>
      <c r="T22" s="25"/>
      <c r="U22" s="90"/>
      <c r="V22" s="90"/>
      <c r="W22" s="85"/>
      <c r="X22" s="26"/>
      <c r="Y22" s="26"/>
      <c r="Z22" s="26"/>
      <c r="AA22" s="26"/>
      <c r="AB22" s="26"/>
      <c r="AC22" s="26"/>
    </row>
    <row r="23" spans="1:35" s="19" customFormat="1">
      <c r="A23" s="14">
        <f>'1-συμβολαια'!A23</f>
        <v>0</v>
      </c>
      <c r="B23" s="53"/>
      <c r="C23" s="84">
        <f>'1-συμβολαια'!B23</f>
        <v>0</v>
      </c>
      <c r="D23" s="20"/>
      <c r="E23" s="97" t="str">
        <f>'1-συμβολαια'!C23</f>
        <v>'του πλήρωσα ΚΑΙ τους φόρους''</v>
      </c>
      <c r="F23" s="15"/>
      <c r="G23" s="16">
        <f>'4-πολλυπρ'!D23</f>
        <v>0</v>
      </c>
      <c r="H23" s="16">
        <f>'4-πολλυπρ'!I23</f>
        <v>0</v>
      </c>
      <c r="I23" s="21"/>
      <c r="J23" s="21">
        <f>'1-συμβολαια'!D23</f>
        <v>111</v>
      </c>
      <c r="K23" s="21"/>
      <c r="L23" s="28">
        <f>'11-χαρτόσ'!D23</f>
        <v>0</v>
      </c>
      <c r="M23" s="28"/>
      <c r="N23" s="28"/>
      <c r="O23" s="22"/>
      <c r="P23" s="18" t="e">
        <f>#REF!-R23</f>
        <v>#REF!</v>
      </c>
      <c r="Q23" s="17"/>
      <c r="R23" s="23">
        <f>'5-αντίγρ'!Q23</f>
        <v>0</v>
      </c>
      <c r="S23" s="24"/>
      <c r="T23" s="25"/>
      <c r="U23" s="90"/>
      <c r="V23" s="90"/>
      <c r="W23" s="85"/>
      <c r="X23" s="26"/>
      <c r="Y23" s="26"/>
      <c r="Z23" s="26"/>
      <c r="AA23" s="26"/>
      <c r="AB23" s="26"/>
      <c r="AC23" s="26"/>
    </row>
    <row r="24" spans="1:35">
      <c r="A24" s="504" t="s">
        <v>56</v>
      </c>
      <c r="B24" s="505"/>
      <c r="C24" s="505"/>
      <c r="D24" s="505"/>
      <c r="E24" s="505"/>
      <c r="F24" s="505"/>
      <c r="G24" s="505"/>
      <c r="H24" s="505"/>
      <c r="I24" s="505"/>
      <c r="J24" s="505"/>
      <c r="K24" s="48"/>
      <c r="L24" s="1">
        <f>SUM(L3:L23)</f>
        <v>0</v>
      </c>
      <c r="M24" s="1"/>
      <c r="N24" s="1"/>
      <c r="O24" s="1">
        <f>SUM(O3:O23)</f>
        <v>0</v>
      </c>
      <c r="P24" s="41" t="e">
        <f>SUM(P3:P23)</f>
        <v>#REF!</v>
      </c>
      <c r="Q24" s="1">
        <f>SUM(Q3:Q23)</f>
        <v>0</v>
      </c>
      <c r="R24" s="1">
        <f>SUM(R3:R23)</f>
        <v>8.8000000000000007</v>
      </c>
      <c r="S24" s="1">
        <f>SUM(S3:S23)</f>
        <v>0</v>
      </c>
      <c r="T24" s="3"/>
      <c r="U24" s="86"/>
      <c r="V24" s="86"/>
    </row>
    <row r="25" spans="1:35">
      <c r="T25" s="146"/>
    </row>
    <row r="26" spans="1:35" ht="15.75" customHeight="1">
      <c r="T26" s="146"/>
      <c r="U26" s="710" t="s">
        <v>120</v>
      </c>
      <c r="V26" s="710"/>
      <c r="W26" s="710"/>
      <c r="X26" s="710"/>
      <c r="Y26" s="710"/>
      <c r="Z26" s="710"/>
      <c r="AA26" s="710"/>
      <c r="AB26" s="710"/>
      <c r="AC26" s="710"/>
      <c r="AD26" s="144"/>
      <c r="AE26" s="144"/>
      <c r="AF26" s="144"/>
      <c r="AG26" s="144"/>
      <c r="AH26" s="139"/>
      <c r="AI26" s="139"/>
    </row>
    <row r="27" spans="1:35" ht="15.75" customHeight="1">
      <c r="T27" s="146"/>
      <c r="U27" s="145"/>
      <c r="V27" s="712" t="s">
        <v>121</v>
      </c>
      <c r="W27" s="712"/>
      <c r="X27" s="712"/>
      <c r="Y27" s="712"/>
      <c r="Z27" s="712"/>
      <c r="AA27" s="712"/>
      <c r="AB27" s="712"/>
      <c r="AC27" s="712"/>
      <c r="AD27" s="712"/>
      <c r="AE27" s="139"/>
      <c r="AF27" s="139"/>
      <c r="AG27" s="139"/>
      <c r="AH27" s="139"/>
      <c r="AI27" s="139"/>
    </row>
    <row r="28" spans="1:35" ht="15.75" customHeight="1">
      <c r="T28" s="146"/>
      <c r="U28" s="145"/>
      <c r="V28" s="145"/>
      <c r="W28" s="710" t="s">
        <v>122</v>
      </c>
      <c r="X28" s="710"/>
      <c r="Y28" s="710"/>
      <c r="Z28" s="710"/>
      <c r="AA28" s="710"/>
      <c r="AB28" s="710"/>
      <c r="AC28" s="710"/>
      <c r="AD28" s="710"/>
      <c r="AE28" s="710"/>
      <c r="AF28" s="139"/>
      <c r="AG28" s="139"/>
      <c r="AH28" s="139"/>
      <c r="AI28" s="139"/>
    </row>
    <row r="29" spans="1:35" ht="15.75">
      <c r="U29" s="145"/>
      <c r="V29" s="145"/>
      <c r="W29" s="145"/>
      <c r="X29" s="712" t="s">
        <v>123</v>
      </c>
      <c r="Y29" s="712"/>
      <c r="Z29" s="712"/>
      <c r="AA29" s="712"/>
      <c r="AB29" s="712"/>
      <c r="AC29" s="712"/>
      <c r="AD29" s="712"/>
      <c r="AE29" s="712"/>
      <c r="AF29" s="712"/>
      <c r="AG29" s="139"/>
      <c r="AH29" s="139"/>
      <c r="AI29" s="139"/>
    </row>
    <row r="30" spans="1:35" ht="15.75">
      <c r="U30" s="145"/>
      <c r="V30" s="145"/>
      <c r="W30" s="145"/>
      <c r="X30" s="145"/>
      <c r="Y30" s="710" t="s">
        <v>124</v>
      </c>
      <c r="Z30" s="710"/>
      <c r="AA30" s="710"/>
      <c r="AB30" s="710"/>
      <c r="AC30" s="710"/>
      <c r="AD30" s="710"/>
      <c r="AE30" s="710"/>
      <c r="AF30" s="710"/>
      <c r="AG30" s="710"/>
      <c r="AH30" s="139"/>
      <c r="AI30" s="139"/>
    </row>
    <row r="31" spans="1:35" ht="15.75">
      <c r="U31" s="145"/>
      <c r="V31" s="145"/>
      <c r="W31" s="145"/>
      <c r="X31" s="145"/>
      <c r="Y31" s="145"/>
      <c r="Z31" s="712" t="s">
        <v>125</v>
      </c>
      <c r="AA31" s="712"/>
      <c r="AB31" s="712"/>
      <c r="AC31" s="712"/>
      <c r="AD31" s="712"/>
      <c r="AE31" s="712"/>
      <c r="AF31" s="712"/>
      <c r="AG31" s="712"/>
      <c r="AH31" s="712"/>
      <c r="AI31" s="139"/>
    </row>
    <row r="32" spans="1:35" ht="15.75">
      <c r="U32" s="145"/>
      <c r="V32" s="145"/>
      <c r="W32" s="145"/>
      <c r="X32" s="145"/>
      <c r="Y32" s="145"/>
      <c r="Z32" s="145"/>
      <c r="AA32" s="710" t="s">
        <v>126</v>
      </c>
      <c r="AB32" s="710"/>
      <c r="AC32" s="710"/>
      <c r="AD32" s="710"/>
      <c r="AE32" s="710"/>
      <c r="AF32" s="710"/>
      <c r="AG32" s="710"/>
      <c r="AH32" s="710"/>
      <c r="AI32" s="710"/>
    </row>
  </sheetData>
  <mergeCells count="18">
    <mergeCell ref="A24:J24"/>
    <mergeCell ref="E1:F1"/>
    <mergeCell ref="P1:Q1"/>
    <mergeCell ref="A1:B1"/>
    <mergeCell ref="C1:D1"/>
    <mergeCell ref="G1:I1"/>
    <mergeCell ref="J1:K1"/>
    <mergeCell ref="L1:O1"/>
    <mergeCell ref="U26:AC26"/>
    <mergeCell ref="V27:AD27"/>
    <mergeCell ref="U1:AC2"/>
    <mergeCell ref="T1:T2"/>
    <mergeCell ref="R1:S1"/>
    <mergeCell ref="W28:AE28"/>
    <mergeCell ref="X29:AF29"/>
    <mergeCell ref="Y30:AG30"/>
    <mergeCell ref="Z31:AH31"/>
    <mergeCell ref="AA32:AI3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26"/>
  <sheetViews>
    <sheetView workbookViewId="0">
      <pane ySplit="2" topLeftCell="A3" activePane="bottomLeft" state="frozen"/>
      <selection pane="bottomLeft" activeCell="A24" sqref="A24:XFD121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24" customFormat="1" ht="32.25" customHeight="1">
      <c r="A1" s="741" t="s">
        <v>31</v>
      </c>
      <c r="B1" s="742"/>
      <c r="C1" s="742"/>
      <c r="D1" s="742"/>
      <c r="E1" s="743"/>
      <c r="F1" s="744" t="s">
        <v>298</v>
      </c>
      <c r="G1" s="745"/>
      <c r="H1" s="745"/>
      <c r="I1" s="746"/>
      <c r="J1" s="737" t="s">
        <v>299</v>
      </c>
      <c r="K1" s="738"/>
      <c r="L1" s="738"/>
      <c r="M1" s="738"/>
      <c r="N1" s="738"/>
      <c r="O1" s="738"/>
      <c r="P1" s="738"/>
      <c r="Q1" s="738"/>
      <c r="R1" s="738"/>
      <c r="S1" s="738"/>
      <c r="T1" s="738"/>
      <c r="U1" s="738"/>
      <c r="V1" s="738"/>
      <c r="W1" s="738"/>
      <c r="X1" s="738"/>
      <c r="Y1" s="739"/>
      <c r="Z1" s="747" t="s">
        <v>300</v>
      </c>
      <c r="AA1" s="748"/>
      <c r="AB1" s="748"/>
      <c r="AC1" s="749"/>
      <c r="AD1" s="737" t="s">
        <v>301</v>
      </c>
      <c r="AE1" s="738"/>
      <c r="AF1" s="738"/>
      <c r="AG1" s="738"/>
      <c r="AH1" s="738"/>
      <c r="AI1" s="738"/>
      <c r="AJ1" s="738"/>
      <c r="AK1" s="738"/>
      <c r="AL1" s="738"/>
      <c r="AM1" s="738"/>
      <c r="AN1" s="738"/>
      <c r="AO1" s="738"/>
      <c r="AP1" s="738"/>
      <c r="AQ1" s="738"/>
      <c r="AR1" s="738"/>
      <c r="AS1" s="739"/>
      <c r="AT1" s="744" t="s">
        <v>302</v>
      </c>
      <c r="AU1" s="745"/>
      <c r="AV1" s="745"/>
      <c r="AW1" s="746"/>
      <c r="AX1" s="737" t="s">
        <v>303</v>
      </c>
      <c r="AY1" s="738"/>
      <c r="AZ1" s="738"/>
      <c r="BA1" s="738"/>
      <c r="BB1" s="738"/>
      <c r="BC1" s="738"/>
      <c r="BD1" s="738"/>
      <c r="BE1" s="738"/>
      <c r="BF1" s="738"/>
      <c r="BG1" s="738"/>
      <c r="BH1" s="738"/>
      <c r="BI1" s="738"/>
      <c r="BJ1" s="738"/>
      <c r="BK1" s="738"/>
      <c r="BL1" s="738"/>
      <c r="BM1" s="739"/>
    </row>
    <row r="2" spans="1:65" s="4" customFormat="1" ht="23.25" customHeight="1">
      <c r="A2" s="216" t="s">
        <v>19</v>
      </c>
      <c r="B2" s="216" t="s">
        <v>304</v>
      </c>
      <c r="C2" s="217" t="s">
        <v>305</v>
      </c>
      <c r="D2" s="514" t="s">
        <v>29</v>
      </c>
      <c r="E2" s="709"/>
      <c r="F2" s="218" t="s">
        <v>306</v>
      </c>
      <c r="G2" s="216" t="s">
        <v>18</v>
      </c>
      <c r="H2" s="218" t="s">
        <v>23</v>
      </c>
      <c r="I2" s="219" t="s">
        <v>84</v>
      </c>
      <c r="J2" s="220" t="s">
        <v>307</v>
      </c>
      <c r="K2" s="220" t="s">
        <v>308</v>
      </c>
      <c r="L2" s="218" t="s">
        <v>309</v>
      </c>
      <c r="M2" s="218" t="s">
        <v>310</v>
      </c>
      <c r="N2" s="218" t="s">
        <v>311</v>
      </c>
      <c r="O2" s="218" t="s">
        <v>312</v>
      </c>
      <c r="P2" s="218" t="s">
        <v>313</v>
      </c>
      <c r="Q2" s="218" t="s">
        <v>314</v>
      </c>
      <c r="R2" s="218" t="s">
        <v>315</v>
      </c>
      <c r="S2" s="218" t="s">
        <v>316</v>
      </c>
      <c r="T2" s="218" t="s">
        <v>317</v>
      </c>
      <c r="U2" s="218" t="s">
        <v>23</v>
      </c>
      <c r="V2" s="218" t="s">
        <v>318</v>
      </c>
      <c r="W2" s="218" t="s">
        <v>319</v>
      </c>
      <c r="X2" s="218" t="s">
        <v>320</v>
      </c>
      <c r="Y2" s="221" t="s">
        <v>321</v>
      </c>
      <c r="Z2" s="218" t="s">
        <v>306</v>
      </c>
      <c r="AA2" s="216" t="s">
        <v>18</v>
      </c>
      <c r="AB2" s="218" t="s">
        <v>23</v>
      </c>
      <c r="AC2" s="222" t="s">
        <v>84</v>
      </c>
      <c r="AD2" s="220" t="s">
        <v>307</v>
      </c>
      <c r="AE2" s="220" t="s">
        <v>308</v>
      </c>
      <c r="AF2" s="218" t="s">
        <v>309</v>
      </c>
      <c r="AG2" s="218" t="s">
        <v>310</v>
      </c>
      <c r="AH2" s="218" t="s">
        <v>311</v>
      </c>
      <c r="AI2" s="218" t="s">
        <v>312</v>
      </c>
      <c r="AJ2" s="218" t="s">
        <v>313</v>
      </c>
      <c r="AK2" s="218" t="s">
        <v>314</v>
      </c>
      <c r="AL2" s="218" t="s">
        <v>315</v>
      </c>
      <c r="AM2" s="218" t="s">
        <v>316</v>
      </c>
      <c r="AN2" s="218" t="s">
        <v>317</v>
      </c>
      <c r="AO2" s="218" t="s">
        <v>23</v>
      </c>
      <c r="AP2" s="218" t="s">
        <v>318</v>
      </c>
      <c r="AQ2" s="218" t="s">
        <v>319</v>
      </c>
      <c r="AR2" s="218" t="s">
        <v>320</v>
      </c>
      <c r="AS2" s="221" t="s">
        <v>321</v>
      </c>
      <c r="AT2" s="218" t="s">
        <v>306</v>
      </c>
      <c r="AU2" s="216" t="s">
        <v>18</v>
      </c>
      <c r="AV2" s="218" t="s">
        <v>23</v>
      </c>
      <c r="AW2" s="219" t="s">
        <v>84</v>
      </c>
      <c r="AX2" s="220" t="s">
        <v>307</v>
      </c>
      <c r="AY2" s="220" t="s">
        <v>308</v>
      </c>
      <c r="AZ2" s="218" t="s">
        <v>309</v>
      </c>
      <c r="BA2" s="218" t="s">
        <v>310</v>
      </c>
      <c r="BB2" s="218" t="s">
        <v>311</v>
      </c>
      <c r="BC2" s="218" t="s">
        <v>312</v>
      </c>
      <c r="BD2" s="218" t="s">
        <v>313</v>
      </c>
      <c r="BE2" s="218" t="s">
        <v>314</v>
      </c>
      <c r="BF2" s="218" t="s">
        <v>315</v>
      </c>
      <c r="BG2" s="218" t="s">
        <v>316</v>
      </c>
      <c r="BH2" s="218" t="s">
        <v>317</v>
      </c>
      <c r="BI2" s="218" t="s">
        <v>23</v>
      </c>
      <c r="BJ2" s="218" t="s">
        <v>318</v>
      </c>
      <c r="BK2" s="218" t="s">
        <v>319</v>
      </c>
      <c r="BL2" s="218" t="s">
        <v>322</v>
      </c>
      <c r="BM2" s="221" t="s">
        <v>321</v>
      </c>
    </row>
    <row r="3" spans="1:65">
      <c r="A3" s="33" t="str">
        <f>'1-συμβολαια'!A3</f>
        <v>3ο</v>
      </c>
      <c r="B3" s="16" t="str">
        <f>'4-πολλυπρ'!D3</f>
        <v>…??? τραπεζα [= …????</v>
      </c>
      <c r="C3" s="16" t="str">
        <f>'4-πολλυπρ'!I3</f>
        <v>219-1 = …???</v>
      </c>
      <c r="D3" s="26"/>
      <c r="E3" s="26"/>
      <c r="F3" s="13"/>
      <c r="G3" s="31"/>
      <c r="H3" s="13"/>
      <c r="I3" s="26"/>
      <c r="J3" s="13"/>
      <c r="K3" s="169" t="s">
        <v>323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1"/>
      <c r="W3" s="31"/>
      <c r="X3" s="26"/>
      <c r="Y3" s="26"/>
      <c r="Z3" s="13"/>
      <c r="AA3" s="26"/>
      <c r="AB3" s="13"/>
      <c r="AC3" s="26"/>
      <c r="AD3" s="13"/>
      <c r="AE3" s="223" t="s">
        <v>323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4" spans="1:65">
      <c r="A4" s="33">
        <f>'1-συμβολαια'!A4</f>
        <v>0</v>
      </c>
      <c r="B4" s="16" t="str">
        <f>'4-πολλυπρ'!D4</f>
        <v>…??? τραπεζα [= …????</v>
      </c>
      <c r="C4" s="16" t="str">
        <f>'4-πολλυπρ'!I4</f>
        <v>219-1 = …???</v>
      </c>
      <c r="D4" s="26"/>
      <c r="E4" s="26"/>
      <c r="F4" s="13"/>
      <c r="G4" s="31"/>
      <c r="H4" s="13"/>
      <c r="I4" s="26"/>
      <c r="J4" s="13"/>
      <c r="K4" s="169" t="s">
        <v>323</v>
      </c>
      <c r="L4" s="26"/>
      <c r="M4" s="26"/>
      <c r="N4" s="26"/>
      <c r="O4" s="26"/>
      <c r="P4" s="26"/>
      <c r="Q4" s="26"/>
      <c r="R4" s="26"/>
      <c r="S4" s="26"/>
      <c r="T4" s="26"/>
      <c r="U4" s="13"/>
      <c r="V4" s="31"/>
      <c r="W4" s="31"/>
      <c r="X4" s="26"/>
      <c r="Y4" s="26"/>
      <c r="Z4" s="13"/>
      <c r="AA4" s="26"/>
      <c r="AB4" s="13"/>
      <c r="AC4" s="26"/>
      <c r="AD4" s="13"/>
      <c r="AE4" s="223" t="s">
        <v>323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13"/>
      <c r="AU4" s="26"/>
      <c r="AV4" s="13"/>
      <c r="AW4" s="26"/>
      <c r="AX4" s="13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13"/>
      <c r="BJ4" s="26"/>
      <c r="BK4" s="26"/>
      <c r="BL4" s="26"/>
      <c r="BM4" s="26"/>
    </row>
    <row r="5" spans="1:65">
      <c r="A5" s="33">
        <f>'1-συμβολαια'!A5</f>
        <v>0</v>
      </c>
      <c r="B5" s="16" t="str">
        <f>'4-πολλυπρ'!D5</f>
        <v>…??? τραπεζα [= …????</v>
      </c>
      <c r="C5" s="16" t="str">
        <f>'4-πολλυπρ'!I5</f>
        <v>219-1 = …???</v>
      </c>
      <c r="D5" s="26"/>
      <c r="E5" s="26"/>
      <c r="F5" s="13"/>
      <c r="G5" s="31"/>
      <c r="H5" s="13"/>
      <c r="I5" s="26"/>
      <c r="J5" s="13"/>
      <c r="K5" s="169" t="s">
        <v>323</v>
      </c>
      <c r="L5" s="26"/>
      <c r="M5" s="26"/>
      <c r="N5" s="26"/>
      <c r="O5" s="26"/>
      <c r="P5" s="26"/>
      <c r="Q5" s="26"/>
      <c r="R5" s="26"/>
      <c r="S5" s="26"/>
      <c r="T5" s="26"/>
      <c r="U5" s="13"/>
      <c r="V5" s="31"/>
      <c r="W5" s="31"/>
      <c r="X5" s="26"/>
      <c r="Y5" s="26"/>
      <c r="Z5" s="13"/>
      <c r="AA5" s="26"/>
      <c r="AB5" s="13"/>
      <c r="AC5" s="26"/>
      <c r="AD5" s="13"/>
      <c r="AE5" s="223" t="s">
        <v>323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13"/>
      <c r="AU5" s="26"/>
      <c r="AV5" s="13"/>
      <c r="AW5" s="26"/>
      <c r="AX5" s="13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13"/>
      <c r="BJ5" s="26"/>
      <c r="BK5" s="26"/>
      <c r="BL5" s="26"/>
      <c r="BM5" s="26"/>
    </row>
    <row r="6" spans="1:65">
      <c r="A6" s="33">
        <f>'1-συμβολαια'!A6</f>
        <v>0</v>
      </c>
      <c r="B6" s="16">
        <f>'4-πολλυπρ'!D6</f>
        <v>0</v>
      </c>
      <c r="C6" s="16">
        <f>'4-πολλυπρ'!I6</f>
        <v>0</v>
      </c>
      <c r="D6" s="26"/>
      <c r="E6" s="26"/>
      <c r="F6" s="13"/>
      <c r="G6" s="31"/>
      <c r="H6" s="13"/>
      <c r="I6" s="26"/>
      <c r="J6" s="13"/>
      <c r="K6" s="169" t="s">
        <v>323</v>
      </c>
      <c r="L6" s="26"/>
      <c r="M6" s="26"/>
      <c r="N6" s="26"/>
      <c r="O6" s="26"/>
      <c r="P6" s="26"/>
      <c r="Q6" s="26"/>
      <c r="R6" s="26"/>
      <c r="S6" s="26"/>
      <c r="T6" s="26"/>
      <c r="U6" s="13"/>
      <c r="V6" s="31"/>
      <c r="W6" s="31"/>
      <c r="X6" s="26"/>
      <c r="Y6" s="26"/>
      <c r="Z6" s="13"/>
      <c r="AA6" s="26"/>
      <c r="AB6" s="13"/>
      <c r="AC6" s="26"/>
      <c r="AD6" s="13"/>
      <c r="AE6" s="223" t="s">
        <v>323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13"/>
      <c r="AU6" s="26"/>
      <c r="AV6" s="13"/>
      <c r="AW6" s="26"/>
      <c r="AX6" s="13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13"/>
      <c r="BJ6" s="26"/>
      <c r="BK6" s="26"/>
      <c r="BL6" s="26"/>
      <c r="BM6" s="26"/>
    </row>
    <row r="7" spans="1:65">
      <c r="A7" s="33" t="str">
        <f>'1-συμβολαια'!A7</f>
        <v>4ο</v>
      </c>
      <c r="B7" s="16" t="str">
        <f>'4-πολλυπρ'!D7</f>
        <v>…??? τραπεζα [= …????</v>
      </c>
      <c r="C7" s="16" t="str">
        <f>'4-πολλυπρ'!I7</f>
        <v>219-1 = …???</v>
      </c>
      <c r="D7" s="26"/>
      <c r="E7" s="26"/>
      <c r="F7" s="13"/>
      <c r="G7" s="31"/>
      <c r="H7" s="13"/>
      <c r="I7" s="26"/>
      <c r="J7" s="13"/>
      <c r="K7" s="169" t="s">
        <v>323</v>
      </c>
      <c r="L7" s="26"/>
      <c r="M7" s="26"/>
      <c r="N7" s="26"/>
      <c r="O7" s="26"/>
      <c r="P7" s="26"/>
      <c r="Q7" s="26"/>
      <c r="R7" s="26"/>
      <c r="S7" s="26"/>
      <c r="T7" s="26"/>
      <c r="U7" s="13"/>
      <c r="V7" s="31"/>
      <c r="W7" s="31"/>
      <c r="X7" s="26"/>
      <c r="Y7" s="26"/>
      <c r="Z7" s="13"/>
      <c r="AA7" s="26"/>
      <c r="AB7" s="13"/>
      <c r="AC7" s="26"/>
      <c r="AD7" s="13"/>
      <c r="AE7" s="223" t="s">
        <v>323</v>
      </c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13"/>
      <c r="AU7" s="26"/>
      <c r="AV7" s="13"/>
      <c r="AW7" s="26"/>
      <c r="AX7" s="13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13"/>
      <c r="BJ7" s="26"/>
      <c r="BK7" s="26"/>
      <c r="BL7" s="26"/>
      <c r="BM7" s="26"/>
    </row>
    <row r="8" spans="1:65">
      <c r="A8" s="33">
        <f>'1-συμβολαια'!A8</f>
        <v>0</v>
      </c>
      <c r="B8" s="16" t="str">
        <f>'4-πολλυπρ'!D8</f>
        <v>…??? τραπεζα [= …????</v>
      </c>
      <c r="C8" s="16" t="str">
        <f>'4-πολλυπρ'!I8</f>
        <v>219-1 = …???</v>
      </c>
      <c r="D8" s="26"/>
      <c r="E8" s="26"/>
      <c r="F8" s="13"/>
      <c r="G8" s="31"/>
      <c r="H8" s="13"/>
      <c r="I8" s="26"/>
      <c r="J8" s="13"/>
      <c r="K8" s="169" t="s">
        <v>323</v>
      </c>
      <c r="L8" s="26"/>
      <c r="M8" s="26"/>
      <c r="N8" s="26"/>
      <c r="O8" s="26"/>
      <c r="P8" s="26"/>
      <c r="Q8" s="26"/>
      <c r="R8" s="26"/>
      <c r="S8" s="26"/>
      <c r="T8" s="26"/>
      <c r="U8" s="13"/>
      <c r="V8" s="31"/>
      <c r="W8" s="31"/>
      <c r="X8" s="26"/>
      <c r="Y8" s="26"/>
      <c r="Z8" s="13"/>
      <c r="AA8" s="26"/>
      <c r="AB8" s="13"/>
      <c r="AC8" s="26"/>
      <c r="AD8" s="13"/>
      <c r="AE8" s="223" t="s">
        <v>323</v>
      </c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13"/>
      <c r="AU8" s="26"/>
      <c r="AV8" s="13"/>
      <c r="AW8" s="26"/>
      <c r="AX8" s="13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13"/>
      <c r="BJ8" s="26"/>
      <c r="BK8" s="26"/>
      <c r="BL8" s="26"/>
      <c r="BM8" s="26"/>
    </row>
    <row r="9" spans="1:65">
      <c r="A9" s="33">
        <f>'1-συμβολαια'!A9</f>
        <v>0</v>
      </c>
      <c r="B9" s="16" t="str">
        <f>'4-πολλυπρ'!D9</f>
        <v>…??? τραπεζα [= …????</v>
      </c>
      <c r="C9" s="16" t="str">
        <f>'4-πολλυπρ'!I9</f>
        <v>219-1 = …???</v>
      </c>
      <c r="D9" s="26"/>
      <c r="E9" s="26"/>
      <c r="F9" s="13"/>
      <c r="G9" s="31"/>
      <c r="H9" s="13"/>
      <c r="I9" s="26"/>
      <c r="J9" s="13"/>
      <c r="K9" s="169" t="s">
        <v>323</v>
      </c>
      <c r="L9" s="26"/>
      <c r="M9" s="26"/>
      <c r="N9" s="26"/>
      <c r="O9" s="26"/>
      <c r="P9" s="26"/>
      <c r="Q9" s="26"/>
      <c r="R9" s="26"/>
      <c r="S9" s="26"/>
      <c r="T9" s="26"/>
      <c r="U9" s="13"/>
      <c r="V9" s="31"/>
      <c r="W9" s="31"/>
      <c r="X9" s="26"/>
      <c r="Y9" s="26"/>
      <c r="Z9" s="13"/>
      <c r="AA9" s="26"/>
      <c r="AB9" s="13"/>
      <c r="AC9" s="26"/>
      <c r="AD9" s="13"/>
      <c r="AE9" s="223" t="s">
        <v>323</v>
      </c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13"/>
      <c r="AU9" s="26"/>
      <c r="AV9" s="13"/>
      <c r="AW9" s="26"/>
      <c r="AX9" s="13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13"/>
      <c r="BJ9" s="26"/>
      <c r="BK9" s="26"/>
      <c r="BL9" s="26"/>
      <c r="BM9" s="26"/>
    </row>
    <row r="10" spans="1:65">
      <c r="A10" s="33">
        <f>'1-συμβολαια'!A10</f>
        <v>0</v>
      </c>
      <c r="B10" s="16">
        <f>'4-πολλυπρ'!D10</f>
        <v>0</v>
      </c>
      <c r="C10" s="16">
        <f>'4-πολλυπρ'!I10</f>
        <v>0</v>
      </c>
      <c r="D10" s="26"/>
      <c r="E10" s="26"/>
      <c r="F10" s="13"/>
      <c r="G10" s="31"/>
      <c r="H10" s="13"/>
      <c r="I10" s="26"/>
      <c r="J10" s="13"/>
      <c r="K10" s="169" t="s">
        <v>323</v>
      </c>
      <c r="L10" s="26"/>
      <c r="M10" s="26"/>
      <c r="N10" s="26"/>
      <c r="O10" s="26"/>
      <c r="P10" s="26"/>
      <c r="Q10" s="26"/>
      <c r="R10" s="26"/>
      <c r="S10" s="26"/>
      <c r="T10" s="26"/>
      <c r="U10" s="13"/>
      <c r="V10" s="31"/>
      <c r="W10" s="31"/>
      <c r="X10" s="26"/>
      <c r="Y10" s="26"/>
      <c r="Z10" s="13"/>
      <c r="AA10" s="26"/>
      <c r="AB10" s="13"/>
      <c r="AC10" s="26"/>
      <c r="AD10" s="13"/>
      <c r="AE10" s="223" t="s">
        <v>323</v>
      </c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13"/>
      <c r="AU10" s="26"/>
      <c r="AV10" s="13"/>
      <c r="AW10" s="26"/>
      <c r="AX10" s="13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13"/>
      <c r="BJ10" s="26"/>
      <c r="BK10" s="26"/>
      <c r="BL10" s="26"/>
      <c r="BM10" s="26"/>
    </row>
    <row r="11" spans="1:65">
      <c r="A11" s="33" t="str">
        <f>'1-συμβολαια'!A11</f>
        <v>5ο</v>
      </c>
      <c r="B11" s="16" t="str">
        <f>'4-πολλυπρ'!D11</f>
        <v>…??? τραπεζα [= …????</v>
      </c>
      <c r="C11" s="16" t="str">
        <f>'4-πολλυπρ'!I11</f>
        <v>219-1 = …???</v>
      </c>
      <c r="D11" s="26"/>
      <c r="E11" s="26"/>
      <c r="F11" s="13"/>
      <c r="G11" s="31"/>
      <c r="H11" s="13"/>
      <c r="I11" s="26"/>
      <c r="J11" s="13"/>
      <c r="K11" s="169" t="s">
        <v>323</v>
      </c>
      <c r="L11" s="26"/>
      <c r="M11" s="26"/>
      <c r="N11" s="26"/>
      <c r="O11" s="26"/>
      <c r="P11" s="26"/>
      <c r="Q11" s="26"/>
      <c r="R11" s="26"/>
      <c r="S11" s="26"/>
      <c r="T11" s="26"/>
      <c r="U11" s="13"/>
      <c r="V11" s="31"/>
      <c r="W11" s="31"/>
      <c r="X11" s="26"/>
      <c r="Y11" s="26"/>
      <c r="Z11" s="13"/>
      <c r="AA11" s="26"/>
      <c r="AB11" s="13"/>
      <c r="AC11" s="26"/>
      <c r="AD11" s="13"/>
      <c r="AE11" s="223" t="s">
        <v>323</v>
      </c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13"/>
      <c r="AU11" s="26"/>
      <c r="AV11" s="13"/>
      <c r="AW11" s="26"/>
      <c r="AX11" s="13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13"/>
      <c r="BJ11" s="26"/>
      <c r="BK11" s="26"/>
      <c r="BL11" s="26"/>
      <c r="BM11" s="26"/>
    </row>
    <row r="12" spans="1:65">
      <c r="A12" s="33">
        <f>'1-συμβολαια'!A12</f>
        <v>0</v>
      </c>
      <c r="B12" s="16" t="str">
        <f>'4-πολλυπρ'!D12</f>
        <v>…??? τραπεζα [= …????</v>
      </c>
      <c r="C12" s="16" t="str">
        <f>'4-πολλυπρ'!I12</f>
        <v>219-1 = …???</v>
      </c>
      <c r="D12" s="26"/>
      <c r="E12" s="26"/>
      <c r="F12" s="13"/>
      <c r="G12" s="31"/>
      <c r="H12" s="13"/>
      <c r="I12" s="26"/>
      <c r="J12" s="13"/>
      <c r="K12" s="169" t="s">
        <v>323</v>
      </c>
      <c r="L12" s="26"/>
      <c r="M12" s="26"/>
      <c r="N12" s="26"/>
      <c r="O12" s="26"/>
      <c r="P12" s="26"/>
      <c r="Q12" s="26"/>
      <c r="R12" s="26"/>
      <c r="S12" s="26"/>
      <c r="T12" s="26"/>
      <c r="U12" s="13"/>
      <c r="V12" s="31"/>
      <c r="W12" s="31"/>
      <c r="X12" s="26"/>
      <c r="Y12" s="26"/>
      <c r="Z12" s="13"/>
      <c r="AA12" s="26"/>
      <c r="AB12" s="13"/>
      <c r="AC12" s="26"/>
      <c r="AD12" s="13"/>
      <c r="AE12" s="223" t="s">
        <v>323</v>
      </c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13"/>
      <c r="AU12" s="26"/>
      <c r="AV12" s="13"/>
      <c r="AW12" s="26"/>
      <c r="AX12" s="13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13"/>
      <c r="BJ12" s="26"/>
      <c r="BK12" s="26"/>
      <c r="BL12" s="26"/>
      <c r="BM12" s="26"/>
    </row>
    <row r="13" spans="1:65">
      <c r="A13" s="33">
        <f>'1-συμβολαια'!A13</f>
        <v>0</v>
      </c>
      <c r="B13" s="16" t="str">
        <f>'4-πολλυπρ'!D13</f>
        <v>…??? τραπεζα [= …????</v>
      </c>
      <c r="C13" s="16" t="str">
        <f>'4-πολλυπρ'!I13</f>
        <v>219-1 = …???</v>
      </c>
      <c r="D13" s="26"/>
      <c r="E13" s="26"/>
      <c r="F13" s="13"/>
      <c r="G13" s="31"/>
      <c r="H13" s="13"/>
      <c r="I13" s="26"/>
      <c r="J13" s="13"/>
      <c r="K13" s="169" t="s">
        <v>323</v>
      </c>
      <c r="L13" s="26"/>
      <c r="M13" s="26"/>
      <c r="N13" s="26"/>
      <c r="O13" s="26"/>
      <c r="P13" s="26"/>
      <c r="Q13" s="26"/>
      <c r="R13" s="26"/>
      <c r="S13" s="26"/>
      <c r="T13" s="26"/>
      <c r="U13" s="13"/>
      <c r="V13" s="31"/>
      <c r="W13" s="31"/>
      <c r="X13" s="26"/>
      <c r="Y13" s="26"/>
      <c r="Z13" s="13"/>
      <c r="AA13" s="26"/>
      <c r="AB13" s="13"/>
      <c r="AC13" s="26"/>
      <c r="AD13" s="13"/>
      <c r="AE13" s="223" t="s">
        <v>323</v>
      </c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13"/>
      <c r="AU13" s="26"/>
      <c r="AV13" s="13"/>
      <c r="AW13" s="26"/>
      <c r="AX13" s="13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13"/>
      <c r="BJ13" s="26"/>
      <c r="BK13" s="26"/>
      <c r="BL13" s="26"/>
      <c r="BM13" s="26"/>
    </row>
    <row r="14" spans="1:65">
      <c r="A14" s="33">
        <f>'1-συμβολαια'!A14</f>
        <v>0</v>
      </c>
      <c r="B14" s="16">
        <f>'4-πολλυπρ'!D14</f>
        <v>0</v>
      </c>
      <c r="C14" s="16">
        <f>'4-πολλυπρ'!I14</f>
        <v>0</v>
      </c>
      <c r="D14" s="26"/>
      <c r="E14" s="26"/>
      <c r="F14" s="13"/>
      <c r="G14" s="31"/>
      <c r="H14" s="13"/>
      <c r="I14" s="26"/>
      <c r="J14" s="13"/>
      <c r="K14" s="169" t="s">
        <v>323</v>
      </c>
      <c r="L14" s="26"/>
      <c r="M14" s="26"/>
      <c r="N14" s="26"/>
      <c r="O14" s="26"/>
      <c r="P14" s="26"/>
      <c r="Q14" s="26"/>
      <c r="R14" s="26"/>
      <c r="S14" s="26"/>
      <c r="T14" s="26"/>
      <c r="U14" s="13"/>
      <c r="V14" s="31"/>
      <c r="W14" s="31"/>
      <c r="X14" s="26"/>
      <c r="Y14" s="26"/>
      <c r="Z14" s="13"/>
      <c r="AA14" s="26"/>
      <c r="AB14" s="13"/>
      <c r="AC14" s="26"/>
      <c r="AD14" s="13"/>
      <c r="AE14" s="223" t="s">
        <v>323</v>
      </c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13"/>
      <c r="AU14" s="26"/>
      <c r="AV14" s="13"/>
      <c r="AW14" s="26"/>
      <c r="AX14" s="13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13"/>
      <c r="BJ14" s="26"/>
      <c r="BK14" s="26"/>
      <c r="BL14" s="26"/>
      <c r="BM14" s="26"/>
    </row>
    <row r="15" spans="1:65">
      <c r="A15" s="33" t="str">
        <f>'1-συμβολαια'!A15</f>
        <v>6ο</v>
      </c>
      <c r="B15" s="16" t="str">
        <f>'4-πολλυπρ'!D15</f>
        <v>…??? τραπεζα [= …????</v>
      </c>
      <c r="C15" s="16" t="str">
        <f>'4-πολλυπρ'!I15</f>
        <v>219-1 = …???</v>
      </c>
      <c r="D15" s="26"/>
      <c r="E15" s="26"/>
      <c r="F15" s="13"/>
      <c r="G15" s="31"/>
      <c r="H15" s="13"/>
      <c r="I15" s="26"/>
      <c r="J15" s="13"/>
      <c r="K15" s="169" t="s">
        <v>323</v>
      </c>
      <c r="L15" s="26"/>
      <c r="M15" s="26"/>
      <c r="N15" s="26"/>
      <c r="O15" s="26"/>
      <c r="P15" s="26"/>
      <c r="Q15" s="26"/>
      <c r="R15" s="26"/>
      <c r="S15" s="26"/>
      <c r="T15" s="26"/>
      <c r="U15" s="13"/>
      <c r="V15" s="31"/>
      <c r="W15" s="31"/>
      <c r="X15" s="26"/>
      <c r="Y15" s="26"/>
      <c r="Z15" s="13"/>
      <c r="AA15" s="26"/>
      <c r="AB15" s="13"/>
      <c r="AC15" s="26"/>
      <c r="AD15" s="13"/>
      <c r="AE15" s="223" t="s">
        <v>323</v>
      </c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13"/>
      <c r="AU15" s="26"/>
      <c r="AV15" s="13"/>
      <c r="AW15" s="26"/>
      <c r="AX15" s="13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13"/>
      <c r="BJ15" s="26"/>
      <c r="BK15" s="26"/>
      <c r="BL15" s="26"/>
      <c r="BM15" s="26"/>
    </row>
    <row r="16" spans="1:65">
      <c r="A16" s="33">
        <f>'1-συμβολαια'!A16</f>
        <v>0</v>
      </c>
      <c r="B16" s="16" t="str">
        <f>'4-πολλυπρ'!D16</f>
        <v>…??? τραπεζα [= …????</v>
      </c>
      <c r="C16" s="16" t="str">
        <f>'4-πολλυπρ'!I16</f>
        <v>219-1 = …???</v>
      </c>
      <c r="D16" s="26"/>
      <c r="E16" s="26"/>
      <c r="F16" s="13"/>
      <c r="G16" s="31"/>
      <c r="H16" s="13"/>
      <c r="I16" s="26"/>
      <c r="J16" s="13"/>
      <c r="K16" s="169" t="s">
        <v>323</v>
      </c>
      <c r="L16" s="26"/>
      <c r="M16" s="26"/>
      <c r="N16" s="26"/>
      <c r="O16" s="26"/>
      <c r="P16" s="26"/>
      <c r="Q16" s="26"/>
      <c r="R16" s="26"/>
      <c r="S16" s="26"/>
      <c r="T16" s="26"/>
      <c r="U16" s="13"/>
      <c r="V16" s="31"/>
      <c r="W16" s="31"/>
      <c r="X16" s="26"/>
      <c r="Y16" s="26"/>
      <c r="Z16" s="13"/>
      <c r="AA16" s="26"/>
      <c r="AB16" s="13"/>
      <c r="AC16" s="26"/>
      <c r="AD16" s="13"/>
      <c r="AE16" s="223" t="s">
        <v>323</v>
      </c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13"/>
      <c r="AU16" s="26"/>
      <c r="AV16" s="13"/>
      <c r="AW16" s="26"/>
      <c r="AX16" s="13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13"/>
      <c r="BJ16" s="26"/>
      <c r="BK16" s="26"/>
      <c r="BL16" s="26"/>
      <c r="BM16" s="26"/>
    </row>
    <row r="17" spans="1:65">
      <c r="A17" s="33">
        <f>'1-συμβολαια'!A17</f>
        <v>0</v>
      </c>
      <c r="B17" s="16" t="str">
        <f>'4-πολλυπρ'!D17</f>
        <v>…??? τραπεζα [= …????</v>
      </c>
      <c r="C17" s="16" t="str">
        <f>'4-πολλυπρ'!I17</f>
        <v>219-1 = …???</v>
      </c>
      <c r="D17" s="26"/>
      <c r="E17" s="26"/>
      <c r="F17" s="13"/>
      <c r="G17" s="31"/>
      <c r="H17" s="13"/>
      <c r="I17" s="26"/>
      <c r="J17" s="13"/>
      <c r="K17" s="169" t="s">
        <v>323</v>
      </c>
      <c r="L17" s="26"/>
      <c r="M17" s="26"/>
      <c r="N17" s="26"/>
      <c r="O17" s="26"/>
      <c r="P17" s="26"/>
      <c r="Q17" s="26"/>
      <c r="R17" s="26"/>
      <c r="S17" s="26"/>
      <c r="T17" s="26"/>
      <c r="U17" s="13"/>
      <c r="V17" s="31"/>
      <c r="W17" s="31"/>
      <c r="X17" s="26"/>
      <c r="Y17" s="26"/>
      <c r="Z17" s="13"/>
      <c r="AA17" s="26"/>
      <c r="AB17" s="13"/>
      <c r="AC17" s="26"/>
      <c r="AD17" s="13"/>
      <c r="AE17" s="223" t="s">
        <v>323</v>
      </c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13"/>
      <c r="AU17" s="26"/>
      <c r="AV17" s="13"/>
      <c r="AW17" s="26"/>
      <c r="AX17" s="13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13"/>
      <c r="BJ17" s="26"/>
      <c r="BK17" s="26"/>
      <c r="BL17" s="26"/>
      <c r="BM17" s="26"/>
    </row>
    <row r="18" spans="1:65">
      <c r="A18" s="33">
        <f>'1-συμβολαια'!A18</f>
        <v>0</v>
      </c>
      <c r="B18" s="16">
        <f>'4-πολλυπρ'!D18</f>
        <v>0</v>
      </c>
      <c r="C18" s="16">
        <f>'4-πολλυπρ'!I18</f>
        <v>0</v>
      </c>
      <c r="D18" s="26"/>
      <c r="E18" s="26"/>
      <c r="F18" s="13"/>
      <c r="G18" s="31"/>
      <c r="H18" s="13"/>
      <c r="I18" s="26"/>
      <c r="J18" s="13"/>
      <c r="K18" s="169" t="s">
        <v>323</v>
      </c>
      <c r="L18" s="26"/>
      <c r="M18" s="26"/>
      <c r="N18" s="26"/>
      <c r="O18" s="26"/>
      <c r="P18" s="26"/>
      <c r="Q18" s="26"/>
      <c r="R18" s="26"/>
      <c r="S18" s="26"/>
      <c r="T18" s="26"/>
      <c r="U18" s="13"/>
      <c r="V18" s="31"/>
      <c r="W18" s="31"/>
      <c r="X18" s="26"/>
      <c r="Y18" s="26"/>
      <c r="Z18" s="13"/>
      <c r="AA18" s="26"/>
      <c r="AB18" s="13"/>
      <c r="AC18" s="26"/>
      <c r="AD18" s="13"/>
      <c r="AE18" s="223" t="s">
        <v>323</v>
      </c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13"/>
      <c r="AU18" s="26"/>
      <c r="AV18" s="13"/>
      <c r="AW18" s="26"/>
      <c r="AX18" s="13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13"/>
      <c r="BJ18" s="26"/>
      <c r="BK18" s="26"/>
      <c r="BL18" s="26"/>
      <c r="BM18" s="26"/>
    </row>
    <row r="19" spans="1:65">
      <c r="A19" s="33" t="str">
        <f>'1-συμβολαια'!A19</f>
        <v>7ο</v>
      </c>
      <c r="B19" s="16" t="str">
        <f>'4-πολλυπρ'!D19</f>
        <v>…??? τραπεζα [= …????</v>
      </c>
      <c r="C19" s="16" t="str">
        <f>'4-πολλυπρ'!I19</f>
        <v>219-1 = …???</v>
      </c>
      <c r="D19" s="26"/>
      <c r="E19" s="26"/>
      <c r="F19" s="13"/>
      <c r="G19" s="31"/>
      <c r="H19" s="13"/>
      <c r="I19" s="26"/>
      <c r="J19" s="13"/>
      <c r="K19" s="169" t="s">
        <v>323</v>
      </c>
      <c r="L19" s="26"/>
      <c r="M19" s="26"/>
      <c r="N19" s="26"/>
      <c r="O19" s="26"/>
      <c r="P19" s="26"/>
      <c r="Q19" s="26"/>
      <c r="R19" s="26"/>
      <c r="S19" s="26"/>
      <c r="T19" s="26"/>
      <c r="U19" s="13"/>
      <c r="V19" s="31"/>
      <c r="W19" s="31"/>
      <c r="X19" s="26"/>
      <c r="Y19" s="26"/>
      <c r="Z19" s="13"/>
      <c r="AA19" s="26"/>
      <c r="AB19" s="13"/>
      <c r="AC19" s="26"/>
      <c r="AD19" s="13"/>
      <c r="AE19" s="223" t="s">
        <v>323</v>
      </c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13"/>
      <c r="AU19" s="26"/>
      <c r="AV19" s="13"/>
      <c r="AW19" s="26"/>
      <c r="AX19" s="13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13"/>
      <c r="BJ19" s="26"/>
      <c r="BK19" s="26"/>
      <c r="BL19" s="26"/>
      <c r="BM19" s="26"/>
    </row>
    <row r="20" spans="1:65">
      <c r="A20" s="33">
        <f>'1-συμβολαια'!A20</f>
        <v>0</v>
      </c>
      <c r="B20" s="16" t="str">
        <f>'4-πολλυπρ'!D20</f>
        <v>…??? τραπεζα [= …????</v>
      </c>
      <c r="C20" s="16" t="str">
        <f>'4-πολλυπρ'!I20</f>
        <v>219-1 = …???</v>
      </c>
      <c r="D20" s="26"/>
      <c r="E20" s="26"/>
      <c r="F20" s="13"/>
      <c r="G20" s="31"/>
      <c r="H20" s="13"/>
      <c r="I20" s="26"/>
      <c r="J20" s="13"/>
      <c r="K20" s="169" t="s">
        <v>323</v>
      </c>
      <c r="L20" s="26"/>
      <c r="M20" s="26"/>
      <c r="N20" s="26"/>
      <c r="O20" s="26"/>
      <c r="P20" s="26"/>
      <c r="Q20" s="26"/>
      <c r="R20" s="26"/>
      <c r="S20" s="26"/>
      <c r="T20" s="26"/>
      <c r="U20" s="13"/>
      <c r="V20" s="31"/>
      <c r="W20" s="31"/>
      <c r="X20" s="26"/>
      <c r="Y20" s="26"/>
      <c r="Z20" s="13"/>
      <c r="AA20" s="26"/>
      <c r="AB20" s="13"/>
      <c r="AC20" s="26"/>
      <c r="AD20" s="13"/>
      <c r="AE20" s="223" t="s">
        <v>323</v>
      </c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13"/>
      <c r="AU20" s="26"/>
      <c r="AV20" s="13"/>
      <c r="AW20" s="26"/>
      <c r="AX20" s="13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13"/>
      <c r="BJ20" s="26"/>
      <c r="BK20" s="26"/>
      <c r="BL20" s="26"/>
      <c r="BM20" s="26"/>
    </row>
    <row r="21" spans="1:65">
      <c r="A21" s="33">
        <f>'1-συμβολαια'!A21</f>
        <v>0</v>
      </c>
      <c r="B21" s="16" t="str">
        <f>'4-πολλυπρ'!D21</f>
        <v>…??? τραπεζα [= …????</v>
      </c>
      <c r="C21" s="16" t="str">
        <f>'4-πολλυπρ'!I21</f>
        <v>219-1 = …???</v>
      </c>
      <c r="D21" s="26"/>
      <c r="E21" s="26"/>
      <c r="F21" s="13"/>
      <c r="G21" s="31"/>
      <c r="H21" s="13"/>
      <c r="I21" s="26"/>
      <c r="J21" s="13"/>
      <c r="K21" s="169" t="s">
        <v>323</v>
      </c>
      <c r="L21" s="26"/>
      <c r="M21" s="26"/>
      <c r="N21" s="26"/>
      <c r="O21" s="26"/>
      <c r="P21" s="26"/>
      <c r="Q21" s="26"/>
      <c r="R21" s="26"/>
      <c r="S21" s="26"/>
      <c r="T21" s="26"/>
      <c r="U21" s="13"/>
      <c r="V21" s="31"/>
      <c r="W21" s="31"/>
      <c r="X21" s="26"/>
      <c r="Y21" s="26"/>
      <c r="Z21" s="13"/>
      <c r="AA21" s="26"/>
      <c r="AB21" s="13"/>
      <c r="AC21" s="26"/>
      <c r="AD21" s="13"/>
      <c r="AE21" s="223" t="s">
        <v>323</v>
      </c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13"/>
      <c r="AU21" s="26"/>
      <c r="AV21" s="13"/>
      <c r="AW21" s="26"/>
      <c r="AX21" s="13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13"/>
      <c r="BJ21" s="26"/>
      <c r="BK21" s="26"/>
      <c r="BL21" s="26"/>
      <c r="BM21" s="26"/>
    </row>
    <row r="22" spans="1:65">
      <c r="A22" s="33">
        <f>'1-συμβολαια'!A22</f>
        <v>0</v>
      </c>
      <c r="B22" s="16">
        <f>'4-πολλυπρ'!D22</f>
        <v>0</v>
      </c>
      <c r="C22" s="16">
        <f>'4-πολλυπρ'!I22</f>
        <v>0</v>
      </c>
      <c r="D22" s="26"/>
      <c r="E22" s="26"/>
      <c r="F22" s="13"/>
      <c r="G22" s="31"/>
      <c r="H22" s="13"/>
      <c r="I22" s="26"/>
      <c r="J22" s="13"/>
      <c r="K22" s="169" t="s">
        <v>323</v>
      </c>
      <c r="L22" s="26"/>
      <c r="M22" s="26"/>
      <c r="N22" s="26"/>
      <c r="O22" s="26"/>
      <c r="P22" s="26"/>
      <c r="Q22" s="26"/>
      <c r="R22" s="26"/>
      <c r="S22" s="26"/>
      <c r="T22" s="26"/>
      <c r="U22" s="13"/>
      <c r="V22" s="31"/>
      <c r="W22" s="31"/>
      <c r="X22" s="26"/>
      <c r="Y22" s="26"/>
      <c r="Z22" s="13"/>
      <c r="AA22" s="26"/>
      <c r="AB22" s="13"/>
      <c r="AC22" s="26"/>
      <c r="AD22" s="13"/>
      <c r="AE22" s="223" t="s">
        <v>323</v>
      </c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13"/>
      <c r="AU22" s="26"/>
      <c r="AV22" s="13"/>
      <c r="AW22" s="26"/>
      <c r="AX22" s="13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13"/>
      <c r="BJ22" s="26"/>
      <c r="BK22" s="26"/>
      <c r="BL22" s="26"/>
      <c r="BM22" s="26"/>
    </row>
    <row r="23" spans="1:65">
      <c r="A23" s="33">
        <f>'1-συμβολαια'!A23</f>
        <v>0</v>
      </c>
      <c r="B23" s="16">
        <f>'4-πολλυπρ'!D23</f>
        <v>0</v>
      </c>
      <c r="C23" s="16">
        <f>'4-πολλυπρ'!I23</f>
        <v>0</v>
      </c>
      <c r="D23" s="26"/>
      <c r="E23" s="26"/>
      <c r="F23" s="13"/>
      <c r="G23" s="31"/>
      <c r="H23" s="13"/>
      <c r="I23" s="26"/>
      <c r="J23" s="13"/>
      <c r="K23" s="169" t="s">
        <v>323</v>
      </c>
      <c r="L23" s="26"/>
      <c r="M23" s="26"/>
      <c r="N23" s="26"/>
      <c r="O23" s="26"/>
      <c r="P23" s="26"/>
      <c r="Q23" s="26"/>
      <c r="R23" s="26"/>
      <c r="S23" s="26"/>
      <c r="T23" s="26"/>
      <c r="U23" s="13"/>
      <c r="V23" s="31"/>
      <c r="W23" s="31"/>
      <c r="X23" s="26"/>
      <c r="Y23" s="26"/>
      <c r="Z23" s="13"/>
      <c r="AA23" s="26"/>
      <c r="AB23" s="13"/>
      <c r="AC23" s="26"/>
      <c r="AD23" s="13"/>
      <c r="AE23" s="223" t="s">
        <v>323</v>
      </c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13"/>
      <c r="AU23" s="26"/>
      <c r="AV23" s="13"/>
      <c r="AW23" s="26"/>
      <c r="AX23" s="13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13"/>
      <c r="BJ23" s="26"/>
      <c r="BK23" s="26"/>
      <c r="BL23" s="26"/>
      <c r="BM23" s="26"/>
    </row>
    <row r="25" spans="1:65">
      <c r="F25" s="740" t="s">
        <v>324</v>
      </c>
      <c r="G25" s="740"/>
      <c r="H25" s="740"/>
      <c r="I25" s="740"/>
    </row>
    <row r="26" spans="1:65">
      <c r="F26" s="740"/>
      <c r="G26" s="740"/>
      <c r="H26" s="740"/>
      <c r="I26" s="740"/>
    </row>
  </sheetData>
  <mergeCells count="9">
    <mergeCell ref="AX1:BM1"/>
    <mergeCell ref="D2:E2"/>
    <mergeCell ref="F25:I2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E56"/>
  <sheetViews>
    <sheetView tabSelected="1" workbookViewId="0">
      <pane ySplit="2" topLeftCell="A3" activePane="bottomLeft" state="frozen"/>
      <selection pane="bottomLeft" activeCell="K50" sqref="K50"/>
    </sheetView>
  </sheetViews>
  <sheetFormatPr defaultRowHeight="11.25"/>
  <cols>
    <col min="1" max="1" width="7.28515625" style="8" bestFit="1" customWidth="1"/>
    <col min="2" max="2" width="8.7109375" style="159" bestFit="1" customWidth="1"/>
    <col min="3" max="3" width="36.28515625" style="98" customWidth="1"/>
    <col min="4" max="4" width="9.42578125" style="3" customWidth="1"/>
    <col min="5" max="5" width="8.7109375" style="3" customWidth="1"/>
    <col min="6" max="6" width="8.140625" style="3" bestFit="1" customWidth="1"/>
    <col min="7" max="7" width="8.7109375" style="2" customWidth="1"/>
    <col min="8" max="8" width="8.140625" style="2" bestFit="1" customWidth="1"/>
    <col min="9" max="9" width="9.7109375" style="2" customWidth="1"/>
    <col min="10" max="11" width="9.42578125" style="2" customWidth="1"/>
    <col min="12" max="12" width="8.140625" style="2" bestFit="1" customWidth="1"/>
    <col min="13" max="13" width="10" style="79" customWidth="1"/>
    <col min="14" max="14" width="8.140625" style="79" bestFit="1" customWidth="1"/>
    <col min="15" max="15" width="10.28515625" style="2" bestFit="1" customWidth="1"/>
    <col min="16" max="16" width="10" style="2" customWidth="1"/>
    <col min="17" max="18" width="11.140625" style="2" bestFit="1" customWidth="1"/>
    <col min="19" max="19" width="8.5703125" style="2" customWidth="1"/>
    <col min="20" max="21" width="9.42578125" style="2" bestFit="1" customWidth="1"/>
    <col min="22" max="22" width="8.140625" style="2" bestFit="1" customWidth="1"/>
    <col min="23" max="23" width="10.7109375" style="2" customWidth="1"/>
    <col min="24" max="24" width="8.7109375" style="30" bestFit="1" customWidth="1"/>
    <col min="25" max="25" width="10.5703125" style="8" customWidth="1"/>
    <col min="26" max="26" width="23.28515625" style="82" customWidth="1"/>
    <col min="27" max="27" width="7.5703125" style="3" customWidth="1"/>
    <col min="28" max="28" width="9.5703125" style="3" customWidth="1"/>
    <col min="29" max="31" width="6.42578125" style="3" customWidth="1"/>
    <col min="32" max="34" width="7" style="3" customWidth="1"/>
    <col min="35" max="35" width="29.28515625" style="3" bestFit="1" customWidth="1"/>
    <col min="36" max="16384" width="9.140625" style="3"/>
  </cols>
  <sheetData>
    <row r="1" spans="1:31" ht="29.25" customHeight="1">
      <c r="A1" s="756" t="s">
        <v>1</v>
      </c>
      <c r="B1" s="758" t="s">
        <v>2</v>
      </c>
      <c r="C1" s="755" t="s">
        <v>0</v>
      </c>
      <c r="D1" s="759" t="s">
        <v>11</v>
      </c>
      <c r="E1" s="753" t="s">
        <v>12</v>
      </c>
      <c r="F1" s="764" t="s">
        <v>511</v>
      </c>
      <c r="G1" s="765"/>
      <c r="H1" s="765"/>
      <c r="I1" s="766" t="s">
        <v>368</v>
      </c>
      <c r="J1" s="770" t="s">
        <v>140</v>
      </c>
      <c r="K1" s="768" t="s">
        <v>512</v>
      </c>
      <c r="L1" s="774" t="s">
        <v>501</v>
      </c>
      <c r="M1" s="775"/>
      <c r="N1" s="775"/>
      <c r="O1" s="775"/>
      <c r="P1" s="426" t="s">
        <v>497</v>
      </c>
      <c r="Q1" s="778" t="s">
        <v>43</v>
      </c>
      <c r="R1" s="779"/>
      <c r="S1" s="780" t="s">
        <v>58</v>
      </c>
      <c r="T1" s="781"/>
      <c r="U1" s="776" t="s">
        <v>77</v>
      </c>
      <c r="V1" s="777"/>
      <c r="W1" s="777"/>
      <c r="X1" s="782" t="s">
        <v>54</v>
      </c>
      <c r="Y1" s="784" t="s">
        <v>44</v>
      </c>
      <c r="Z1" s="772" t="s">
        <v>80</v>
      </c>
      <c r="AA1" s="761" t="s">
        <v>29</v>
      </c>
      <c r="AB1" s="762"/>
      <c r="AC1" s="762"/>
      <c r="AD1" s="762"/>
      <c r="AE1" s="763"/>
    </row>
    <row r="2" spans="1:31" ht="26.25" thickBot="1">
      <c r="A2" s="757"/>
      <c r="B2" s="509"/>
      <c r="C2" s="533"/>
      <c r="D2" s="760"/>
      <c r="E2" s="754"/>
      <c r="F2" s="287" t="s">
        <v>259</v>
      </c>
      <c r="G2" s="286" t="s">
        <v>91</v>
      </c>
      <c r="H2" s="363" t="s">
        <v>47</v>
      </c>
      <c r="I2" s="767"/>
      <c r="J2" s="771"/>
      <c r="K2" s="769"/>
      <c r="L2" s="73" t="s">
        <v>23</v>
      </c>
      <c r="M2" s="78" t="s">
        <v>81</v>
      </c>
      <c r="N2" s="78" t="s">
        <v>542</v>
      </c>
      <c r="O2" s="486" t="s">
        <v>543</v>
      </c>
      <c r="P2" s="73"/>
      <c r="Q2" s="44" t="s">
        <v>23</v>
      </c>
      <c r="R2" s="38" t="s">
        <v>34</v>
      </c>
      <c r="S2" s="44" t="s">
        <v>23</v>
      </c>
      <c r="T2" s="45" t="s">
        <v>34</v>
      </c>
      <c r="U2" s="44" t="s">
        <v>499</v>
      </c>
      <c r="V2" s="10" t="s">
        <v>500</v>
      </c>
      <c r="W2" s="43" t="s">
        <v>33</v>
      </c>
      <c r="X2" s="783"/>
      <c r="Y2" s="785"/>
      <c r="Z2" s="773"/>
      <c r="AA2" s="761"/>
      <c r="AB2" s="762"/>
      <c r="AC2" s="762"/>
      <c r="AD2" s="762"/>
      <c r="AE2" s="763"/>
    </row>
    <row r="3" spans="1:31" s="5" customFormat="1">
      <c r="A3" s="389" t="str">
        <f>'1-συμβολαια'!A3</f>
        <v>3ο</v>
      </c>
      <c r="B3" s="432">
        <f>'1-συμβολαια'!B3</f>
        <v>38567</v>
      </c>
      <c r="C3" s="386" t="str">
        <f>'1-συμβολαια'!C3</f>
        <v>υποθήκης ????  5.495.705δρχ ΕΞΑΛΕΙΨΗ</v>
      </c>
      <c r="D3" s="376" t="str">
        <f>'4-πολλυπρ'!D3</f>
        <v>…??? τραπεζα [= …????</v>
      </c>
      <c r="E3" s="376" t="str">
        <f>'4-πολλυπρ'!I3</f>
        <v>219-1 = …???</v>
      </c>
      <c r="F3" s="377">
        <f>'14-βιβλΕσ'!O3</f>
        <v>30.790868000000003</v>
      </c>
      <c r="G3" s="368">
        <f>'14-βιβλΕσ'!Q3</f>
        <v>4.46</v>
      </c>
      <c r="H3" s="368">
        <f t="shared" ref="H3:H21" si="0">F3+G3</f>
        <v>35.250868000000004</v>
      </c>
      <c r="I3" s="368">
        <f>'8-κ-15-17'!AG3</f>
        <v>209.66738000000001</v>
      </c>
      <c r="J3" s="368">
        <f>'14-βιβλΕσ'!R3</f>
        <v>62.389999999999993</v>
      </c>
      <c r="K3" s="368">
        <f>('14-βιβλΕσ'!N3+'14-βιβλΕσ'!O3+'14-βιβλΕσ'!R3)*40%</f>
        <v>116.77164800000001</v>
      </c>
      <c r="L3" s="368">
        <f>V3</f>
        <v>24</v>
      </c>
      <c r="M3" s="304" t="s">
        <v>544</v>
      </c>
      <c r="N3" s="368">
        <v>244.38</v>
      </c>
      <c r="O3" s="368">
        <v>5766</v>
      </c>
      <c r="P3" s="368">
        <f>W3</f>
        <v>506.05650000000003</v>
      </c>
      <c r="Q3" s="368">
        <f>W3+N3+P3</f>
        <v>1256.4929999999999</v>
      </c>
      <c r="R3" s="308">
        <v>216462.32428372855</v>
      </c>
      <c r="S3" s="433"/>
      <c r="T3" s="433"/>
      <c r="U3" s="368">
        <f>'1-συμβολαια'!L3+'8-κ-15-17'!AE3+'14-βιβλΕσ'!L3+'14-βιβλΕσ'!Q3+'14-βιβλΕσ'!R3</f>
        <v>530.05650000000003</v>
      </c>
      <c r="V3" s="368">
        <f>'1-συμβολαια'!M3-'1-συμβολαια'!P3</f>
        <v>24</v>
      </c>
      <c r="W3" s="368">
        <f t="shared" ref="W3:W23" si="1">U3-V3</f>
        <v>506.05650000000003</v>
      </c>
      <c r="X3" s="387">
        <v>45968</v>
      </c>
      <c r="Y3" s="304">
        <f t="shared" ref="Y3:Y23" si="2">R3+T3</f>
        <v>216462.32428372855</v>
      </c>
      <c r="Z3" s="388"/>
      <c r="AA3" s="77"/>
      <c r="AB3" s="77"/>
      <c r="AC3" s="77"/>
      <c r="AD3" s="77"/>
      <c r="AE3" s="77"/>
    </row>
    <row r="4" spans="1:31" s="5" customFormat="1">
      <c r="A4" s="389">
        <f>'1-συμβολαια'!A4</f>
        <v>0</v>
      </c>
      <c r="B4" s="432"/>
      <c r="C4" s="386" t="str">
        <f>'1-συμβολαια'!C4</f>
        <v>δανείου ??? 5.495.700 δρχ …. ΕΞΟΦΛΗΣΗ</v>
      </c>
      <c r="D4" s="376" t="str">
        <f>'4-πολλυπρ'!D4</f>
        <v>…??? τραπεζα [= …????</v>
      </c>
      <c r="E4" s="376" t="str">
        <f>'4-πολλυπρ'!I4</f>
        <v>219-1 = …???</v>
      </c>
      <c r="F4" s="377">
        <f>'14-βιβλΕσ'!O4</f>
        <v>30.350868000000002</v>
      </c>
      <c r="G4" s="368">
        <f>'14-βιβλΕσ'!Q4</f>
        <v>0.5</v>
      </c>
      <c r="H4" s="368">
        <f t="shared" si="0"/>
        <v>30.850868000000002</v>
      </c>
      <c r="I4" s="368">
        <f>'8-κ-15-17'!AG4</f>
        <v>209.66738000000001</v>
      </c>
      <c r="J4" s="368">
        <f>'14-βιβλΕσ'!R4</f>
        <v>0.75</v>
      </c>
      <c r="K4" s="368">
        <f>('14-βιβλΕσ'!N4+'14-βιβλΕσ'!O4+'14-βιβλΕσ'!R4)*40%</f>
        <v>90.515647999999999</v>
      </c>
      <c r="L4" s="368">
        <f t="shared" ref="L4:L21" si="3">V4</f>
        <v>0</v>
      </c>
      <c r="M4" s="304" t="s">
        <v>544</v>
      </c>
      <c r="N4" s="368"/>
      <c r="O4" s="368">
        <v>5452.38</v>
      </c>
      <c r="P4" s="368">
        <f t="shared" ref="P4:P5" si="4">W4</f>
        <v>436.45650000000001</v>
      </c>
      <c r="Q4" s="368">
        <f t="shared" ref="Q4:Q5" si="5">W4+N4+P4</f>
        <v>872.91300000000001</v>
      </c>
      <c r="R4" s="308">
        <v>215766.32428372855</v>
      </c>
      <c r="S4" s="433"/>
      <c r="T4" s="433"/>
      <c r="U4" s="368">
        <f>'1-συμβολαια'!L4+'8-κ-15-17'!AE4+'14-βιβλΕσ'!L4+'14-βιβλΕσ'!Q4+'14-βιβλΕσ'!R4</f>
        <v>436.45650000000001</v>
      </c>
      <c r="V4" s="368">
        <f>'1-συμβολαια'!M4-'1-συμβολαια'!P4</f>
        <v>0</v>
      </c>
      <c r="W4" s="368">
        <f t="shared" si="1"/>
        <v>436.45650000000001</v>
      </c>
      <c r="X4" s="387"/>
      <c r="Y4" s="304">
        <f t="shared" si="2"/>
        <v>215766.32428372855</v>
      </c>
      <c r="Z4" s="388"/>
      <c r="AA4" s="77"/>
      <c r="AB4" s="77"/>
      <c r="AC4" s="77"/>
      <c r="AD4" s="77"/>
      <c r="AE4" s="77"/>
    </row>
    <row r="5" spans="1:31" s="5" customFormat="1">
      <c r="A5" s="389">
        <f>'1-συμβολαια'!A5</f>
        <v>0</v>
      </c>
      <c r="B5" s="432"/>
      <c r="C5" s="386" t="str">
        <f>'1-συμβολαια'!C5</f>
        <v>δανείου ???? ΤΟΚΟΙ</v>
      </c>
      <c r="D5" s="376" t="str">
        <f>'4-πολλυπρ'!D5</f>
        <v>…??? τραπεζα [= …????</v>
      </c>
      <c r="E5" s="376" t="str">
        <f>'4-πολλυπρ'!I5</f>
        <v>219-1 = …???</v>
      </c>
      <c r="F5" s="377">
        <f>'14-βιβλΕσ'!O5</f>
        <v>61.319994000000008</v>
      </c>
      <c r="G5" s="368">
        <f>'14-βιβλΕσ'!Q5</f>
        <v>0.5</v>
      </c>
      <c r="H5" s="368">
        <f t="shared" si="0"/>
        <v>61.819994000000008</v>
      </c>
      <c r="I5" s="368">
        <f>'8-κ-15-17'!AG5</f>
        <v>433.33329000000003</v>
      </c>
      <c r="J5" s="368">
        <f>'14-βιβλΕσ'!R5</f>
        <v>0.45</v>
      </c>
      <c r="K5" s="368">
        <f>('14-βιβλΕσ'!N5+'14-βιβλΕσ'!O5+'14-βιβλΕσ'!R5)*40%</f>
        <v>172.97998400000003</v>
      </c>
      <c r="L5" s="368">
        <f t="shared" si="3"/>
        <v>0</v>
      </c>
      <c r="M5" s="304" t="s">
        <v>544</v>
      </c>
      <c r="N5" s="368"/>
      <c r="O5" s="368">
        <v>3927.74</v>
      </c>
      <c r="P5" s="368">
        <f t="shared" si="4"/>
        <v>866.28325000000018</v>
      </c>
      <c r="Q5" s="368">
        <f t="shared" si="5"/>
        <v>1732.5665000000004</v>
      </c>
      <c r="R5" s="308">
        <v>441884.90865887178</v>
      </c>
      <c r="S5" s="433"/>
      <c r="T5" s="433"/>
      <c r="U5" s="368">
        <f>'1-συμβολαια'!L5+'8-κ-15-17'!AE5+'14-βιβλΕσ'!L5+'14-βιβλΕσ'!Q5+'14-βιβλΕσ'!R5</f>
        <v>866.28325000000018</v>
      </c>
      <c r="V5" s="368">
        <f>'1-συμβολαια'!M5-'1-συμβολαια'!P5</f>
        <v>0</v>
      </c>
      <c r="W5" s="368">
        <f t="shared" si="1"/>
        <v>866.28325000000018</v>
      </c>
      <c r="X5" s="387"/>
      <c r="Y5" s="304">
        <f t="shared" si="2"/>
        <v>441884.90865887178</v>
      </c>
      <c r="Z5" s="388"/>
      <c r="AA5" s="77"/>
      <c r="AB5" s="77"/>
      <c r="AC5" s="77"/>
      <c r="AD5" s="77"/>
      <c r="AE5" s="77"/>
    </row>
    <row r="6" spans="1:31">
      <c r="A6" s="40"/>
      <c r="B6" s="431"/>
      <c r="C6" s="103"/>
      <c r="D6" s="21"/>
      <c r="E6" s="21"/>
      <c r="F6" s="39"/>
      <c r="G6" s="29"/>
      <c r="H6" s="29"/>
      <c r="I6" s="29"/>
      <c r="J6" s="29"/>
      <c r="K6" s="29"/>
      <c r="L6" s="29"/>
      <c r="M6" s="242"/>
      <c r="N6" s="29"/>
      <c r="O6" s="29"/>
      <c r="P6" s="29"/>
      <c r="Q6" s="29"/>
      <c r="R6" s="13"/>
      <c r="S6" s="29"/>
      <c r="T6" s="13"/>
      <c r="U6" s="29"/>
      <c r="V6" s="29"/>
      <c r="W6" s="29"/>
      <c r="X6" s="31"/>
      <c r="Y6" s="242"/>
      <c r="Z6" s="81"/>
      <c r="AA6" s="26"/>
      <c r="AB6" s="26"/>
      <c r="AC6" s="26"/>
      <c r="AD6" s="26"/>
      <c r="AE6" s="26"/>
    </row>
    <row r="7" spans="1:31" s="5" customFormat="1">
      <c r="A7" s="389" t="str">
        <f>'1-συμβολαια'!A7</f>
        <v>4ο</v>
      </c>
      <c r="B7" s="432">
        <f>'1-συμβολαια'!B7</f>
        <v>38567</v>
      </c>
      <c r="C7" s="386" t="str">
        <f>'1-συμβολαια'!C7</f>
        <v>υποθήκης ???? 12.000.000δρχ ΕΞΑΛΕΙΨΗ</v>
      </c>
      <c r="D7" s="376" t="str">
        <f>'4-πολλυπρ'!D7</f>
        <v>…??? τραπεζα [= …????</v>
      </c>
      <c r="E7" s="376" t="str">
        <f>'4-πολλυπρ'!I7</f>
        <v>219-1 = …???</v>
      </c>
      <c r="F7" s="377">
        <f>'14-βιβλΕσ'!O7</f>
        <v>65.149574000000015</v>
      </c>
      <c r="G7" s="368">
        <f>'14-βιβλΕσ'!Q7</f>
        <v>4.46</v>
      </c>
      <c r="H7" s="368">
        <f t="shared" si="0"/>
        <v>69.609574000000009</v>
      </c>
      <c r="I7" s="368">
        <f>'8-κ-15-17'!AG7</f>
        <v>457.81359000000003</v>
      </c>
      <c r="J7" s="368">
        <f>'14-βιβλΕσ'!R7</f>
        <v>32.79</v>
      </c>
      <c r="K7" s="368">
        <f>('14-βιβλΕσ'!N7+'14-βιβλΕσ'!O7+'14-βιβλΕσ'!R7)*40%</f>
        <v>196.55486400000007</v>
      </c>
      <c r="L7" s="368">
        <f t="shared" si="3"/>
        <v>24</v>
      </c>
      <c r="M7" s="304" t="s">
        <v>544</v>
      </c>
      <c r="N7" s="368">
        <v>244.38</v>
      </c>
      <c r="O7" s="368">
        <v>10625.14</v>
      </c>
      <c r="P7" s="368">
        <f t="shared" ref="P7:P9" si="6">W7</f>
        <v>953.66075000000001</v>
      </c>
      <c r="Q7" s="368">
        <f t="shared" ref="Q7:Q9" si="7">W7+N7+P7</f>
        <v>2151.7015000000001</v>
      </c>
      <c r="R7" s="8">
        <f>31038-10265-4662+I7+P7</f>
        <v>17522.474340000001</v>
      </c>
      <c r="S7" s="433"/>
      <c r="T7" s="433"/>
      <c r="U7" s="368">
        <f>'1-συμβολαια'!L7+'8-κ-15-17'!AE7+'14-βιβλΕσ'!L7+'14-βιβλΕσ'!Q7+'14-βιβλΕσ'!R7</f>
        <v>977.66075000000001</v>
      </c>
      <c r="V7" s="368">
        <f>'1-συμβολαια'!M7-'1-συμβολαια'!P7</f>
        <v>24</v>
      </c>
      <c r="W7" s="368">
        <f t="shared" si="1"/>
        <v>953.66075000000001</v>
      </c>
      <c r="X7" s="387">
        <v>45968</v>
      </c>
      <c r="Y7" s="304">
        <f t="shared" si="2"/>
        <v>17522.474340000001</v>
      </c>
      <c r="Z7" s="388"/>
      <c r="AA7" s="77"/>
      <c r="AB7" s="77"/>
      <c r="AC7" s="77"/>
      <c r="AD7" s="77"/>
      <c r="AE7" s="77"/>
    </row>
    <row r="8" spans="1:31" s="5" customFormat="1">
      <c r="A8" s="389">
        <f>'1-συμβολαια'!A8</f>
        <v>0</v>
      </c>
      <c r="B8" s="432"/>
      <c r="C8" s="386" t="str">
        <f>'1-συμβολαια'!C8</f>
        <v>δανείου ??? 12.000.000δρχ …. ΕΞΟΦΛΗΣΗ</v>
      </c>
      <c r="D8" s="376" t="str">
        <f>'4-πολλυπρ'!D8</f>
        <v>…??? τραπεζα [= …????</v>
      </c>
      <c r="E8" s="376" t="str">
        <f>'4-πολλυπρ'!I8</f>
        <v>219-1 = …???</v>
      </c>
      <c r="F8" s="377">
        <f>'14-βιβλΕσ'!O8</f>
        <v>64.709574000000003</v>
      </c>
      <c r="G8" s="368">
        <f>'14-βιβλΕσ'!Q8</f>
        <v>0.5</v>
      </c>
      <c r="H8" s="368">
        <f t="shared" si="0"/>
        <v>65.209574000000003</v>
      </c>
      <c r="I8" s="368">
        <f>'8-κ-15-17'!AG8</f>
        <v>457.81359000000003</v>
      </c>
      <c r="J8" s="368">
        <f>'14-βιβλΕσ'!R8</f>
        <v>0.75</v>
      </c>
      <c r="K8" s="368">
        <f>('14-βιβλΕσ'!N8+'14-βιβλΕσ'!O8+'14-βιβλΕσ'!R8)*40%</f>
        <v>182.13886400000001</v>
      </c>
      <c r="L8" s="368">
        <f t="shared" si="3"/>
        <v>0</v>
      </c>
      <c r="M8" s="304" t="s">
        <v>544</v>
      </c>
      <c r="N8" s="368"/>
      <c r="O8" s="368">
        <v>10311.51</v>
      </c>
      <c r="P8" s="368">
        <f t="shared" si="6"/>
        <v>913.66075000000001</v>
      </c>
      <c r="Q8" s="368">
        <f t="shared" si="7"/>
        <v>1827.3215</v>
      </c>
      <c r="R8" s="8">
        <f>30342-10114-4662+I8+P8</f>
        <v>16937.474340000001</v>
      </c>
      <c r="S8" s="433"/>
      <c r="T8" s="433"/>
      <c r="U8" s="368">
        <f>'1-συμβολαια'!L8+'8-κ-15-17'!AE8+'14-βιβλΕσ'!L8+'14-βιβλΕσ'!Q8+'14-βιβλΕσ'!R8</f>
        <v>913.66075000000001</v>
      </c>
      <c r="V8" s="368">
        <f>'1-συμβολαια'!M8-'1-συμβολαια'!P8</f>
        <v>0</v>
      </c>
      <c r="W8" s="368">
        <f t="shared" si="1"/>
        <v>913.66075000000001</v>
      </c>
      <c r="X8" s="387"/>
      <c r="Y8" s="304">
        <f t="shared" si="2"/>
        <v>16937.474340000001</v>
      </c>
      <c r="Z8" s="388"/>
      <c r="AA8" s="77"/>
      <c r="AB8" s="77"/>
      <c r="AC8" s="77"/>
      <c r="AD8" s="77"/>
      <c r="AE8" s="77"/>
    </row>
    <row r="9" spans="1:31" s="5" customFormat="1">
      <c r="A9" s="389">
        <f>'1-συμβολαια'!A9</f>
        <v>0</v>
      </c>
      <c r="B9" s="432"/>
      <c r="C9" s="386" t="str">
        <f>'1-συμβολαια'!C9</f>
        <v>δανείου ???? ΤΟΚΟΙ</v>
      </c>
      <c r="D9" s="376" t="str">
        <f>'4-πολλυπρ'!D9</f>
        <v>…??? τραπεζα [= …????</v>
      </c>
      <c r="E9" s="376" t="str">
        <f>'4-πολλυπρ'!I9</f>
        <v>219-1 = …???</v>
      </c>
      <c r="F9" s="377">
        <f>'14-βιβλΕσ'!O9</f>
        <v>141.319986</v>
      </c>
      <c r="G9" s="368">
        <f>'14-βιβλΕσ'!Q9</f>
        <v>0.5</v>
      </c>
      <c r="H9" s="368">
        <f t="shared" si="0"/>
        <v>141.819986</v>
      </c>
      <c r="I9" s="368">
        <f>'8-κ-15-17'!AG9</f>
        <v>1011.1110100000002</v>
      </c>
      <c r="J9" s="368">
        <f>'14-βιβλΕσ'!R9</f>
        <v>0.45</v>
      </c>
      <c r="K9" s="368">
        <f>('14-βιβλΕσ'!N9+'14-βιβλΕσ'!O9+'14-βιβλΕσ'!R9)*40%</f>
        <v>386.31329600000004</v>
      </c>
      <c r="L9" s="368">
        <f t="shared" si="3"/>
        <v>0</v>
      </c>
      <c r="M9" s="304" t="s">
        <v>544</v>
      </c>
      <c r="N9" s="368"/>
      <c r="O9" s="368">
        <v>6756.26</v>
      </c>
      <c r="P9" s="368">
        <f t="shared" si="6"/>
        <v>1977.3942500000003</v>
      </c>
      <c r="Q9" s="368">
        <f t="shared" si="7"/>
        <v>3954.7885000000006</v>
      </c>
      <c r="R9" s="8">
        <f>62470-20823-2942+I9+P9</f>
        <v>41693.505259999998</v>
      </c>
      <c r="S9" s="433"/>
      <c r="T9" s="433"/>
      <c r="U9" s="368">
        <f>'1-συμβολαια'!L9+'8-κ-15-17'!AE9+'14-βιβλΕσ'!L9+'14-βιβλΕσ'!Q9+'14-βιβλΕσ'!R9</f>
        <v>1977.3942500000003</v>
      </c>
      <c r="V9" s="368">
        <f>'1-συμβολαια'!M9-'1-συμβολαια'!P9</f>
        <v>0</v>
      </c>
      <c r="W9" s="368">
        <f t="shared" si="1"/>
        <v>1977.3942500000003</v>
      </c>
      <c r="X9" s="387"/>
      <c r="Y9" s="304">
        <f t="shared" si="2"/>
        <v>41693.505259999998</v>
      </c>
      <c r="Z9" s="388"/>
      <c r="AA9" s="77"/>
      <c r="AB9" s="77"/>
      <c r="AC9" s="77"/>
      <c r="AD9" s="77"/>
      <c r="AE9" s="77"/>
    </row>
    <row r="10" spans="1:31">
      <c r="A10" s="40"/>
      <c r="B10" s="431"/>
      <c r="C10" s="103"/>
      <c r="D10" s="21"/>
      <c r="E10" s="21"/>
      <c r="F10" s="39"/>
      <c r="G10" s="29"/>
      <c r="H10" s="29"/>
      <c r="I10" s="29"/>
      <c r="J10" s="29"/>
      <c r="K10" s="29"/>
      <c r="L10" s="29"/>
      <c r="M10" s="242"/>
      <c r="N10" s="29"/>
      <c r="O10" s="29"/>
      <c r="P10" s="29"/>
      <c r="Q10" s="29"/>
      <c r="R10" s="13"/>
      <c r="S10" s="29"/>
      <c r="T10" s="13"/>
      <c r="U10" s="29"/>
      <c r="V10" s="29"/>
      <c r="W10" s="29"/>
      <c r="X10" s="31"/>
      <c r="Y10" s="242"/>
      <c r="Z10" s="81"/>
      <c r="AA10" s="26"/>
      <c r="AB10" s="26"/>
      <c r="AC10" s="26"/>
      <c r="AD10" s="26"/>
      <c r="AE10" s="26"/>
    </row>
    <row r="11" spans="1:31" s="5" customFormat="1">
      <c r="A11" s="389" t="str">
        <f>'1-συμβολαια'!A11</f>
        <v>5ο</v>
      </c>
      <c r="B11" s="432">
        <f>'1-συμβολαια'!B11</f>
        <v>38567</v>
      </c>
      <c r="C11" s="386" t="str">
        <f>'1-συμβολαια'!C11</f>
        <v>υποθήκης 1ου   κύρου ;;;???;;;δρχ ΕΞΑΛΕΙΨΗ</v>
      </c>
      <c r="D11" s="376" t="str">
        <f>'4-πολλυπρ'!D11</f>
        <v>…??? τραπεζα [= …????</v>
      </c>
      <c r="E11" s="376" t="str">
        <f>'4-πολλυπρ'!I11</f>
        <v>219-1 = …???</v>
      </c>
      <c r="F11" s="377">
        <f>'14-βιβλΕσ'!O11</f>
        <v>1.76</v>
      </c>
      <c r="G11" s="368">
        <f>'14-βιβλΕσ'!Q11</f>
        <v>4.46</v>
      </c>
      <c r="H11" s="368">
        <f t="shared" si="0"/>
        <v>6.22</v>
      </c>
      <c r="I11" s="368">
        <f>'8-κ-15-17'!AG11</f>
        <v>0</v>
      </c>
      <c r="J11" s="368">
        <f>'14-βιβλΕσ'!R11</f>
        <v>66.790000000000006</v>
      </c>
      <c r="K11" s="368">
        <f>('14-βιβλΕσ'!N11+'14-βιβλΕσ'!O11+'14-βιβλΕσ'!R11)*40%</f>
        <v>41.116000000000007</v>
      </c>
      <c r="L11" s="368">
        <f t="shared" si="3"/>
        <v>24</v>
      </c>
      <c r="M11" s="304" t="s">
        <v>544</v>
      </c>
      <c r="N11" s="368">
        <v>244.38</v>
      </c>
      <c r="O11" s="368">
        <v>4672.5924337952174</v>
      </c>
      <c r="P11" s="368">
        <f t="shared" ref="P11:P13" si="8">W11</f>
        <v>107.25</v>
      </c>
      <c r="Q11" s="368">
        <f t="shared" ref="Q11:Q13" si="9">W11+N11+P11</f>
        <v>458.88</v>
      </c>
      <c r="R11" s="308">
        <v>14262.15975085193</v>
      </c>
      <c r="S11" s="433"/>
      <c r="T11" s="433"/>
      <c r="U11" s="368">
        <f>'1-συμβολαια'!L11+'8-κ-15-17'!AE11+'14-βιβλΕσ'!L11+'14-βιβλΕσ'!Q11+'14-βιβλΕσ'!R11</f>
        <v>131.25</v>
      </c>
      <c r="V11" s="368">
        <f>'1-συμβολαια'!M11-'1-συμβολαια'!P11</f>
        <v>24</v>
      </c>
      <c r="W11" s="368">
        <f t="shared" si="1"/>
        <v>107.25</v>
      </c>
      <c r="X11" s="387">
        <v>45949</v>
      </c>
      <c r="Y11" s="304">
        <f t="shared" si="2"/>
        <v>14262.15975085193</v>
      </c>
      <c r="Z11" s="388" t="s">
        <v>545</v>
      </c>
      <c r="AA11" s="77"/>
      <c r="AB11" s="77"/>
      <c r="AC11" s="77"/>
      <c r="AD11" s="77"/>
      <c r="AE11" s="77"/>
    </row>
    <row r="12" spans="1:31" s="5" customFormat="1">
      <c r="A12" s="389">
        <f>'1-συμβολαια'!A12</f>
        <v>0</v>
      </c>
      <c r="B12" s="432"/>
      <c r="C12" s="386" t="str">
        <f>'1-συμβολαια'!C12</f>
        <v>δανείου 1ου   κύρου 1.050.000δρχ ...ΕΞΟΦΛΗΣΗ</v>
      </c>
      <c r="D12" s="376" t="str">
        <f>'4-πολλυπρ'!D12</f>
        <v>…??? τραπεζα [= …????</v>
      </c>
      <c r="E12" s="376" t="str">
        <f>'4-πολλυπρ'!I12</f>
        <v>219-1 = …???</v>
      </c>
      <c r="F12" s="377">
        <f>'14-βιβλΕσ'!O12</f>
        <v>1.3200000000000003</v>
      </c>
      <c r="G12" s="368">
        <f>'14-βιβλΕσ'!Q12</f>
        <v>0.5</v>
      </c>
      <c r="H12" s="368">
        <f t="shared" si="0"/>
        <v>1.8200000000000003</v>
      </c>
      <c r="I12" s="368">
        <f>'8-κ-15-17'!AG12</f>
        <v>0</v>
      </c>
      <c r="J12" s="368">
        <f>'14-βιβλΕσ'!R12</f>
        <v>0.75</v>
      </c>
      <c r="K12" s="368">
        <f>('14-βιβλΕσ'!N12+'14-βιβλΕσ'!O12+'14-βιβλΕσ'!R12)*40%</f>
        <v>13.100000000000001</v>
      </c>
      <c r="L12" s="368">
        <f t="shared" si="3"/>
        <v>0</v>
      </c>
      <c r="M12" s="304" t="s">
        <v>544</v>
      </c>
      <c r="N12" s="368"/>
      <c r="O12" s="368">
        <v>677.14303706280975</v>
      </c>
      <c r="P12" s="368">
        <f t="shared" si="8"/>
        <v>33.25</v>
      </c>
      <c r="Q12" s="368">
        <f t="shared" si="9"/>
        <v>66.5</v>
      </c>
      <c r="R12" s="308">
        <v>2031.4291111884293</v>
      </c>
      <c r="S12" s="433"/>
      <c r="T12" s="433"/>
      <c r="U12" s="368">
        <f>'1-συμβολαια'!L12+'8-κ-15-17'!AE12+'14-βιβλΕσ'!L12+'14-βιβλΕσ'!Q12+'14-βιβλΕσ'!R12</f>
        <v>33.25</v>
      </c>
      <c r="V12" s="368">
        <f>'1-συμβολαια'!M12-'1-συμβολαια'!P12</f>
        <v>0</v>
      </c>
      <c r="W12" s="368">
        <f t="shared" si="1"/>
        <v>33.25</v>
      </c>
      <c r="X12" s="387"/>
      <c r="Y12" s="304">
        <f t="shared" si="2"/>
        <v>2031.4291111884293</v>
      </c>
      <c r="Z12" s="388"/>
      <c r="AA12" s="77"/>
      <c r="AB12" s="77"/>
      <c r="AC12" s="77"/>
      <c r="AD12" s="77"/>
      <c r="AE12" s="77"/>
    </row>
    <row r="13" spans="1:31" s="5" customFormat="1">
      <c r="A13" s="389">
        <f>'1-συμβολαια'!A13</f>
        <v>0</v>
      </c>
      <c r="B13" s="432"/>
      <c r="C13" s="386" t="str">
        <f>'1-συμβολαια'!C13</f>
        <v>δανείου 1ου   κύρου ΤΟΚΟΙ {προπληρωθέντες VS υπερβάλλοντες}</v>
      </c>
      <c r="D13" s="376" t="str">
        <f>'4-πολλυπρ'!D13</f>
        <v>…??? τραπεζα [= …????</v>
      </c>
      <c r="E13" s="376" t="str">
        <f>'4-πολλυπρ'!I13</f>
        <v>219-1 = …???</v>
      </c>
      <c r="F13" s="377">
        <f>'14-βιβλΕσ'!O13</f>
        <v>2.5199880000000001</v>
      </c>
      <c r="G13" s="368">
        <f>'14-βιβλΕσ'!Q13</f>
        <v>0.5</v>
      </c>
      <c r="H13" s="368">
        <f t="shared" si="0"/>
        <v>3.0199880000000001</v>
      </c>
      <c r="I13" s="368">
        <f>'8-κ-15-17'!AG13</f>
        <v>8.6665799999999997</v>
      </c>
      <c r="J13" s="368">
        <f>'14-βιβλΕσ'!R13</f>
        <v>0.45</v>
      </c>
      <c r="K13" s="368">
        <f>('14-βιβλΕσ'!N13+'14-βιβλΕσ'!O13+'14-βιβλΕσ'!R13)*40%</f>
        <v>16.179967999999999</v>
      </c>
      <c r="L13" s="368">
        <f t="shared" si="3"/>
        <v>0</v>
      </c>
      <c r="M13" s="304" t="s">
        <v>544</v>
      </c>
      <c r="N13" s="368"/>
      <c r="O13" s="368">
        <v>1010.4501503286303</v>
      </c>
      <c r="P13" s="368">
        <f t="shared" si="8"/>
        <v>49.616500000000002</v>
      </c>
      <c r="Q13" s="368">
        <f t="shared" si="9"/>
        <v>99.233000000000004</v>
      </c>
      <c r="R13" s="308">
        <v>3031.3504509858913</v>
      </c>
      <c r="S13" s="433"/>
      <c r="T13" s="433"/>
      <c r="U13" s="368">
        <f>'1-συμβολαια'!L13+'8-κ-15-17'!AE13+'14-βιβλΕσ'!L13+'14-βιβλΕσ'!Q13+'14-βιβλΕσ'!R13</f>
        <v>49.616500000000002</v>
      </c>
      <c r="V13" s="368">
        <f>'1-συμβολαια'!M13-'1-συμβολαια'!P13</f>
        <v>0</v>
      </c>
      <c r="W13" s="368">
        <f t="shared" si="1"/>
        <v>49.616500000000002</v>
      </c>
      <c r="X13" s="387"/>
      <c r="Y13" s="304">
        <f t="shared" si="2"/>
        <v>3031.3504509858913</v>
      </c>
      <c r="Z13" s="388"/>
      <c r="AA13" s="77"/>
      <c r="AB13" s="77"/>
      <c r="AC13" s="77"/>
      <c r="AD13" s="77"/>
      <c r="AE13" s="77"/>
    </row>
    <row r="14" spans="1:31">
      <c r="A14" s="40"/>
      <c r="B14" s="431"/>
      <c r="C14" s="103"/>
      <c r="D14" s="21"/>
      <c r="E14" s="21"/>
      <c r="F14" s="39"/>
      <c r="G14" s="29"/>
      <c r="H14" s="29"/>
      <c r="I14" s="29"/>
      <c r="J14" s="29"/>
      <c r="K14" s="29"/>
      <c r="L14" s="29"/>
      <c r="M14" s="242"/>
      <c r="N14" s="29"/>
      <c r="O14" s="29"/>
      <c r="P14" s="29"/>
      <c r="Q14" s="29"/>
      <c r="R14" s="13"/>
      <c r="S14" s="29"/>
      <c r="T14" s="13"/>
      <c r="U14" s="29"/>
      <c r="V14" s="29"/>
      <c r="W14" s="29"/>
      <c r="X14" s="31"/>
      <c r="Y14" s="242"/>
      <c r="Z14" s="81"/>
      <c r="AA14" s="26"/>
      <c r="AB14" s="26"/>
      <c r="AC14" s="26"/>
      <c r="AD14" s="26"/>
      <c r="AE14" s="26"/>
    </row>
    <row r="15" spans="1:31" s="5" customFormat="1">
      <c r="A15" s="389" t="str">
        <f>'1-συμβολαια'!A15</f>
        <v>6ο</v>
      </c>
      <c r="B15" s="432">
        <f>'1-συμβολαια'!B15</f>
        <v>38567</v>
      </c>
      <c r="C15" s="386" t="str">
        <f>'1-συμβολαια'!C15</f>
        <v>υποθήκης 2ου   κύρου ;;;???;;;δρχ …..ΕΞΑΛΕΙΨΗ</v>
      </c>
      <c r="D15" s="376" t="str">
        <f>'4-πολλυπρ'!D15</f>
        <v>…??? τραπεζα [= …????</v>
      </c>
      <c r="E15" s="376" t="str">
        <f>'4-πολλυπρ'!I15</f>
        <v>219-1 = …???</v>
      </c>
      <c r="F15" s="377">
        <f>'14-βιβλΕσ'!O15</f>
        <v>1.76</v>
      </c>
      <c r="G15" s="368">
        <f>'14-βιβλΕσ'!Q15</f>
        <v>4.46</v>
      </c>
      <c r="H15" s="368">
        <f t="shared" si="0"/>
        <v>6.22</v>
      </c>
      <c r="I15" s="368">
        <f>'8-κ-15-17'!AG15</f>
        <v>0</v>
      </c>
      <c r="J15" s="368">
        <f>'14-βιβλΕσ'!R15</f>
        <v>66.790000000000006</v>
      </c>
      <c r="K15" s="368">
        <f>('14-βιβλΕσ'!N15+'14-βιβλΕσ'!O15+'14-βιβλΕσ'!R15)*40%</f>
        <v>41.116000000000007</v>
      </c>
      <c r="L15" s="368">
        <f t="shared" si="3"/>
        <v>24</v>
      </c>
      <c r="M15" s="304" t="s">
        <v>544</v>
      </c>
      <c r="N15" s="368">
        <v>244.38</v>
      </c>
      <c r="O15" s="368">
        <v>4916.9748832614941</v>
      </c>
      <c r="P15" s="368">
        <f t="shared" ref="P15:P17" si="10">W15</f>
        <v>107.25</v>
      </c>
      <c r="Q15" s="368">
        <f t="shared" ref="Q15:Q17" si="11">W15+N15+P15</f>
        <v>458.88</v>
      </c>
      <c r="R15" s="308">
        <v>14262.15975085193</v>
      </c>
      <c r="S15" s="433"/>
      <c r="T15" s="433"/>
      <c r="U15" s="368">
        <f>'1-συμβολαια'!L15+'8-κ-15-17'!AE15+'14-βιβλΕσ'!L15+'14-βιβλΕσ'!Q15+'14-βιβλΕσ'!R15</f>
        <v>131.25</v>
      </c>
      <c r="V15" s="368">
        <f>'1-συμβολαια'!M15-'1-συμβολαια'!P15</f>
        <v>24</v>
      </c>
      <c r="W15" s="368">
        <f t="shared" si="1"/>
        <v>107.25</v>
      </c>
      <c r="X15" s="387">
        <v>45949</v>
      </c>
      <c r="Y15" s="304">
        <f t="shared" si="2"/>
        <v>14262.15975085193</v>
      </c>
      <c r="Z15" s="388" t="s">
        <v>546</v>
      </c>
      <c r="AA15" s="77"/>
      <c r="AB15" s="77"/>
      <c r="AC15" s="77"/>
      <c r="AD15" s="77"/>
      <c r="AE15" s="77"/>
    </row>
    <row r="16" spans="1:31" s="5" customFormat="1">
      <c r="A16" s="389">
        <f>'1-συμβολαια'!A16</f>
        <v>0</v>
      </c>
      <c r="B16" s="432"/>
      <c r="C16" s="386" t="str">
        <f>'1-συμβολαια'!C16</f>
        <v>δανείου 2ου   κύρου 7000.000δρχ …..ΕΞΟΦΛΗΣΗ</v>
      </c>
      <c r="D16" s="376" t="str">
        <f>'4-πολλυπρ'!D16</f>
        <v>…??? τραπεζα [= …????</v>
      </c>
      <c r="E16" s="376" t="str">
        <f>'4-πολλυπρ'!I16</f>
        <v>219-1 = …???</v>
      </c>
      <c r="F16" s="377">
        <f>'14-βιβλΕσ'!O16</f>
        <v>1.3200000000000003</v>
      </c>
      <c r="G16" s="368">
        <f>'14-βιβλΕσ'!Q16</f>
        <v>0.5</v>
      </c>
      <c r="H16" s="368">
        <f t="shared" si="0"/>
        <v>1.8200000000000003</v>
      </c>
      <c r="I16" s="368">
        <f>'8-κ-15-17'!AG16</f>
        <v>0</v>
      </c>
      <c r="J16" s="368">
        <f>'14-βιβλΕσ'!R16</f>
        <v>0.75</v>
      </c>
      <c r="K16" s="368">
        <f>('14-βιβλΕσ'!N16+'14-βιβλΕσ'!O16+'14-βιβλΕσ'!R16)*40%</f>
        <v>13.100000000000001</v>
      </c>
      <c r="L16" s="368">
        <f t="shared" si="3"/>
        <v>0</v>
      </c>
      <c r="M16" s="304" t="s">
        <v>544</v>
      </c>
      <c r="N16" s="368"/>
      <c r="O16" s="368">
        <v>677.14303706280975</v>
      </c>
      <c r="P16" s="368">
        <f t="shared" si="10"/>
        <v>33.25</v>
      </c>
      <c r="Q16" s="368">
        <f t="shared" si="11"/>
        <v>66.5</v>
      </c>
      <c r="R16" s="308">
        <v>2031.4291111884293</v>
      </c>
      <c r="S16" s="433"/>
      <c r="T16" s="433"/>
      <c r="U16" s="368">
        <f>'1-συμβολαια'!L16+'8-κ-15-17'!AE16+'14-βιβλΕσ'!L16+'14-βιβλΕσ'!Q16+'14-βιβλΕσ'!R16</f>
        <v>33.25</v>
      </c>
      <c r="V16" s="368">
        <f>'1-συμβολαια'!M16-'1-συμβολαια'!P16</f>
        <v>0</v>
      </c>
      <c r="W16" s="368">
        <f t="shared" si="1"/>
        <v>33.25</v>
      </c>
      <c r="X16" s="387"/>
      <c r="Y16" s="304">
        <f t="shared" si="2"/>
        <v>2031.4291111884293</v>
      </c>
      <c r="Z16" s="388"/>
      <c r="AA16" s="77"/>
      <c r="AB16" s="77"/>
      <c r="AC16" s="77"/>
      <c r="AD16" s="77"/>
      <c r="AE16" s="77"/>
    </row>
    <row r="17" spans="1:31" s="5" customFormat="1">
      <c r="A17" s="389">
        <f>'1-συμβολαια'!A17</f>
        <v>0</v>
      </c>
      <c r="B17" s="432"/>
      <c r="C17" s="386" t="str">
        <f>'1-συμβολαια'!C17</f>
        <v>δανείου 2ου    κύρου …. ΤΟΚΟΙ {προπληρωθέντες VS υπερβάλλοντες}</v>
      </c>
      <c r="D17" s="376" t="str">
        <f>'4-πολλυπρ'!D17</f>
        <v>…??? τραπεζα [= …????</v>
      </c>
      <c r="E17" s="376" t="str">
        <f>'4-πολλυπρ'!I17</f>
        <v>219-1 = …???</v>
      </c>
      <c r="F17" s="377">
        <f>'14-βιβλΕσ'!O17</f>
        <v>2.1199920000000003</v>
      </c>
      <c r="G17" s="368">
        <f>'14-βιβλΕσ'!Q17</f>
        <v>0.5</v>
      </c>
      <c r="H17" s="368">
        <f t="shared" si="0"/>
        <v>2.6199920000000003</v>
      </c>
      <c r="I17" s="368">
        <f>'8-κ-15-17'!AG17</f>
        <v>5.7777200000000004</v>
      </c>
      <c r="J17" s="368">
        <f>'14-βιβλΕσ'!R17</f>
        <v>0.45</v>
      </c>
      <c r="K17" s="368">
        <f>('14-βιβλΕσ'!N17+'14-βιβλΕσ'!O17+'14-βιβλΕσ'!R17)*40%</f>
        <v>15.113312000000006</v>
      </c>
      <c r="L17" s="368">
        <f t="shared" si="3"/>
        <v>0</v>
      </c>
      <c r="M17" s="304" t="s">
        <v>544</v>
      </c>
      <c r="N17" s="368"/>
      <c r="O17" s="368">
        <v>897.31125882780316</v>
      </c>
      <c r="P17" s="368">
        <f t="shared" si="10"/>
        <v>44.061000000000014</v>
      </c>
      <c r="Q17" s="368">
        <f t="shared" si="11"/>
        <v>88.122000000000028</v>
      </c>
      <c r="R17" s="308">
        <v>2691.9337764834095</v>
      </c>
      <c r="S17" s="433"/>
      <c r="T17" s="433"/>
      <c r="U17" s="368">
        <f>'1-συμβολαια'!L17+'8-κ-15-17'!AE17+'14-βιβλΕσ'!L17+'14-βιβλΕσ'!Q17+'14-βιβλΕσ'!R17</f>
        <v>44.061000000000014</v>
      </c>
      <c r="V17" s="368">
        <f>'1-συμβολαια'!M17-'1-συμβολαια'!P17</f>
        <v>0</v>
      </c>
      <c r="W17" s="368">
        <f t="shared" si="1"/>
        <v>44.061000000000014</v>
      </c>
      <c r="X17" s="387"/>
      <c r="Y17" s="304">
        <f t="shared" si="2"/>
        <v>2691.9337764834095</v>
      </c>
      <c r="Z17" s="388"/>
      <c r="AA17" s="77"/>
      <c r="AB17" s="77"/>
      <c r="AC17" s="77"/>
      <c r="AD17" s="77"/>
      <c r="AE17" s="77"/>
    </row>
    <row r="18" spans="1:31">
      <c r="A18" s="40"/>
      <c r="B18" s="431"/>
      <c r="C18" s="103"/>
      <c r="D18" s="21"/>
      <c r="E18" s="21"/>
      <c r="F18" s="39"/>
      <c r="G18" s="29"/>
      <c r="H18" s="29"/>
      <c r="I18" s="29"/>
      <c r="J18" s="29"/>
      <c r="K18" s="29"/>
      <c r="L18" s="29"/>
      <c r="M18" s="242"/>
      <c r="N18" s="29"/>
      <c r="O18" s="29"/>
      <c r="P18" s="29"/>
      <c r="Q18" s="29"/>
      <c r="R18" s="13"/>
      <c r="S18" s="29"/>
      <c r="T18" s="13"/>
      <c r="U18" s="29"/>
      <c r="V18" s="29"/>
      <c r="W18" s="29"/>
      <c r="X18" s="31"/>
      <c r="Y18" s="242"/>
      <c r="Z18" s="81"/>
      <c r="AA18" s="26"/>
      <c r="AB18" s="26"/>
      <c r="AC18" s="26"/>
      <c r="AD18" s="26"/>
      <c r="AE18" s="26"/>
    </row>
    <row r="19" spans="1:31" s="5" customFormat="1">
      <c r="A19" s="389" t="str">
        <f>'1-συμβολαια'!A19</f>
        <v>7ο</v>
      </c>
      <c r="B19" s="432">
        <f>'1-συμβολαια'!B19</f>
        <v>38567</v>
      </c>
      <c r="C19" s="386" t="str">
        <f>'1-συμβολαια'!C19</f>
        <v>υποθήκης ???? 2.168.354δρχ …. ΕΞΑΛΕΙΨΗ</v>
      </c>
      <c r="D19" s="376" t="str">
        <f>'4-πολλυπρ'!D19</f>
        <v>…??? τραπεζα [= …????</v>
      </c>
      <c r="E19" s="376" t="str">
        <f>'4-πολλυπρ'!I19</f>
        <v>219-1 = …???</v>
      </c>
      <c r="F19" s="377">
        <f>'14-βιβλΕσ'!O19</f>
        <v>13.214245999999999</v>
      </c>
      <c r="G19" s="368">
        <f>'14-βιβλΕσ'!Q19</f>
        <v>4.46</v>
      </c>
      <c r="H19" s="368">
        <f t="shared" si="0"/>
        <v>17.674246</v>
      </c>
      <c r="I19" s="368">
        <f>'8-κ-15-17'!AG19</f>
        <v>82.725110000000015</v>
      </c>
      <c r="J19" s="368">
        <f>'14-βιβλΕσ'!R19</f>
        <v>32.79</v>
      </c>
      <c r="K19" s="368">
        <f>('14-βιβλΕσ'!N19+'14-βιβλΕσ'!O19+'14-βιβλΕσ'!R19)*40%</f>
        <v>58.060655999999994</v>
      </c>
      <c r="L19" s="368">
        <f t="shared" si="3"/>
        <v>24</v>
      </c>
      <c r="M19" s="304" t="s">
        <v>544</v>
      </c>
      <c r="N19" s="368">
        <v>244.38</v>
      </c>
      <c r="O19" s="368">
        <v>3280.22</v>
      </c>
      <c r="P19" s="368">
        <f t="shared" ref="P19:P21" si="12">W19</f>
        <v>232.33674999999999</v>
      </c>
      <c r="Q19" s="368">
        <f t="shared" ref="Q19:Q21" si="13">W19+N19+P19</f>
        <v>709.05349999999999</v>
      </c>
      <c r="R19" s="308">
        <v>87916.074464311634</v>
      </c>
      <c r="S19" s="433"/>
      <c r="T19" s="433"/>
      <c r="U19" s="368">
        <f>'1-συμβολαια'!L19+'8-κ-15-17'!AE19+'14-βιβλΕσ'!L19+'14-βιβλΕσ'!Q19+'14-βιβλΕσ'!R19</f>
        <v>256.33674999999999</v>
      </c>
      <c r="V19" s="368">
        <f>'1-συμβολαια'!M19-'1-συμβολαια'!P19</f>
        <v>24</v>
      </c>
      <c r="W19" s="368">
        <f t="shared" si="1"/>
        <v>232.33674999999999</v>
      </c>
      <c r="X19" s="387">
        <v>45968</v>
      </c>
      <c r="Y19" s="304">
        <f t="shared" si="2"/>
        <v>87916.074464311634</v>
      </c>
      <c r="Z19" s="388"/>
      <c r="AA19" s="77"/>
      <c r="AB19" s="77"/>
      <c r="AC19" s="77"/>
      <c r="AD19" s="77"/>
      <c r="AE19" s="77"/>
    </row>
    <row r="20" spans="1:31" s="5" customFormat="1">
      <c r="A20" s="389">
        <f>'1-συμβολαια'!A20</f>
        <v>0</v>
      </c>
      <c r="B20" s="432"/>
      <c r="C20" s="386" t="str">
        <f>'1-συμβολαια'!C20</f>
        <v>δανείου ??? 2.168.354δρχ ….. ΕΞΟΦΛΗΣΗ</v>
      </c>
      <c r="D20" s="376" t="str">
        <f>'4-πολλυπρ'!D20</f>
        <v>…??? τραπεζα [= …????</v>
      </c>
      <c r="E20" s="376" t="str">
        <f>'4-πολλυπρ'!I20</f>
        <v>219-1 = …???</v>
      </c>
      <c r="F20" s="377">
        <f>'14-βιβλΕσ'!O20</f>
        <v>12.774246</v>
      </c>
      <c r="G20" s="368">
        <f>'14-βιβλΕσ'!Q20</f>
        <v>0.5</v>
      </c>
      <c r="H20" s="368">
        <f t="shared" si="0"/>
        <v>13.274246</v>
      </c>
      <c r="I20" s="368">
        <f>'8-κ-15-17'!AG20</f>
        <v>82.725110000000015</v>
      </c>
      <c r="J20" s="368">
        <f>'14-βιβλΕσ'!R20</f>
        <v>0.75</v>
      </c>
      <c r="K20" s="368">
        <f>('14-βιβλΕσ'!N20+'14-βιβλΕσ'!O20+'14-βιβλΕσ'!R20)*40%</f>
        <v>43.644656000000005</v>
      </c>
      <c r="L20" s="368">
        <f t="shared" si="3"/>
        <v>0</v>
      </c>
      <c r="M20" s="304" t="s">
        <v>544</v>
      </c>
      <c r="N20" s="368"/>
      <c r="O20" s="368">
        <v>2966.6</v>
      </c>
      <c r="P20" s="368">
        <f t="shared" si="12"/>
        <v>192.33675000000002</v>
      </c>
      <c r="Q20" s="368">
        <f t="shared" si="13"/>
        <v>384.67350000000005</v>
      </c>
      <c r="R20" s="308">
        <v>87219.074464311634</v>
      </c>
      <c r="S20" s="433"/>
      <c r="T20" s="433"/>
      <c r="U20" s="368">
        <f>'1-συμβολαια'!L20+'8-κ-15-17'!AE20+'14-βιβλΕσ'!L20+'14-βιβλΕσ'!Q20+'14-βιβλΕσ'!R20</f>
        <v>192.33675000000002</v>
      </c>
      <c r="V20" s="368">
        <f>'1-συμβολαια'!M20-'1-συμβολαια'!P20</f>
        <v>0</v>
      </c>
      <c r="W20" s="368">
        <f t="shared" si="1"/>
        <v>192.33675000000002</v>
      </c>
      <c r="X20" s="387"/>
      <c r="Y20" s="304">
        <f t="shared" si="2"/>
        <v>87219.074464311634</v>
      </c>
      <c r="Z20" s="388"/>
      <c r="AA20" s="77"/>
      <c r="AB20" s="77"/>
      <c r="AC20" s="77"/>
      <c r="AD20" s="77"/>
      <c r="AE20" s="77"/>
    </row>
    <row r="21" spans="1:31" s="5" customFormat="1">
      <c r="A21" s="389">
        <f>'1-συμβολαια'!A21</f>
        <v>0</v>
      </c>
      <c r="B21" s="432"/>
      <c r="C21" s="386" t="str">
        <f>'1-συμβολαια'!C21</f>
        <v>δανείου ???? ΤΟΚΟΙ</v>
      </c>
      <c r="D21" s="376" t="str">
        <f>'4-πολλυπρ'!D21</f>
        <v>…??? τραπεζα [= …????</v>
      </c>
      <c r="E21" s="376" t="str">
        <f>'4-πολλυπρ'!I21</f>
        <v>219-1 = …???</v>
      </c>
      <c r="F21" s="377">
        <f>'14-βιβλΕσ'!O21</f>
        <v>27.319992000000003</v>
      </c>
      <c r="G21" s="368">
        <f>'14-βιβλΕσ'!Q21</f>
        <v>0.5</v>
      </c>
      <c r="H21" s="368">
        <f t="shared" si="0"/>
        <v>27.819992000000003</v>
      </c>
      <c r="I21" s="368">
        <f>'8-κ-15-17'!AG21</f>
        <v>187.77772000000002</v>
      </c>
      <c r="J21" s="368">
        <f>'14-βιβλΕσ'!R21</f>
        <v>0.45</v>
      </c>
      <c r="K21" s="368">
        <f>('14-βιβλΕσ'!N21+'14-βιβλΕσ'!O21+'14-βιβλΕσ'!R21)*40%</f>
        <v>82.313311999999996</v>
      </c>
      <c r="L21" s="368">
        <f t="shared" si="3"/>
        <v>0</v>
      </c>
      <c r="M21" s="304" t="s">
        <v>544</v>
      </c>
      <c r="N21" s="368"/>
      <c r="O21" s="368">
        <v>1947.73</v>
      </c>
      <c r="P21" s="368">
        <f t="shared" si="12"/>
        <v>394.06100000000004</v>
      </c>
      <c r="Q21" s="368">
        <f t="shared" si="13"/>
        <v>788.12200000000007</v>
      </c>
      <c r="R21" s="308">
        <v>193224.02242255886</v>
      </c>
      <c r="S21" s="433"/>
      <c r="T21" s="433"/>
      <c r="U21" s="368">
        <f>'1-συμβολαια'!L21+'8-κ-15-17'!AE21+'14-βιβλΕσ'!L21+'14-βιβλΕσ'!Q21+'14-βιβλΕσ'!R21</f>
        <v>394.06100000000004</v>
      </c>
      <c r="V21" s="368">
        <f>'1-συμβολαια'!M21-'1-συμβολαια'!P21</f>
        <v>0</v>
      </c>
      <c r="W21" s="368">
        <f t="shared" si="1"/>
        <v>394.06100000000004</v>
      </c>
      <c r="X21" s="387"/>
      <c r="Y21" s="304">
        <f t="shared" si="2"/>
        <v>193224.02242255886</v>
      </c>
      <c r="Z21" s="388"/>
      <c r="AA21" s="77"/>
      <c r="AB21" s="77"/>
      <c r="AC21" s="77"/>
      <c r="AD21" s="77"/>
      <c r="AE21" s="77"/>
    </row>
    <row r="22" spans="1:31">
      <c r="A22" s="40"/>
      <c r="B22" s="431"/>
      <c r="C22" s="103"/>
      <c r="D22" s="21"/>
      <c r="E22" s="21"/>
      <c r="F22" s="39"/>
      <c r="G22" s="29">
        <f>'14-βιβλΕσ'!Q22</f>
        <v>0</v>
      </c>
      <c r="H22" s="29"/>
      <c r="I22" s="29"/>
      <c r="J22" s="29"/>
      <c r="K22" s="29"/>
      <c r="L22" s="29"/>
      <c r="M22" s="242"/>
      <c r="N22" s="29"/>
      <c r="O22" s="29"/>
      <c r="P22" s="29"/>
      <c r="Q22" s="29"/>
      <c r="R22" s="13"/>
      <c r="S22" s="29"/>
      <c r="T22" s="13"/>
      <c r="U22" s="29"/>
      <c r="V22" s="29"/>
      <c r="W22" s="29"/>
      <c r="X22" s="31"/>
      <c r="Y22" s="242"/>
      <c r="Z22" s="81"/>
      <c r="AA22" s="26"/>
      <c r="AB22" s="26"/>
      <c r="AC22" s="26"/>
      <c r="AD22" s="26"/>
      <c r="AE22" s="26"/>
    </row>
    <row r="23" spans="1:31" s="5" customFormat="1">
      <c r="A23" s="465">
        <f>'1-συμβολαια'!A23</f>
        <v>0</v>
      </c>
      <c r="B23" s="432">
        <f>'1-συμβολαια'!B23</f>
        <v>0</v>
      </c>
      <c r="C23" s="386" t="str">
        <f>'1-συμβολαια'!C23</f>
        <v>'του πλήρωσα ΚΑΙ τους φόρους''</v>
      </c>
      <c r="D23" s="376"/>
      <c r="E23" s="376"/>
      <c r="F23" s="377"/>
      <c r="G23" s="368"/>
      <c r="H23" s="368"/>
      <c r="I23" s="368"/>
      <c r="J23" s="368"/>
      <c r="K23" s="368"/>
      <c r="L23" s="368">
        <v>111</v>
      </c>
      <c r="M23" s="304" t="s">
        <v>544</v>
      </c>
      <c r="N23" s="368"/>
      <c r="O23" s="368"/>
      <c r="P23" s="368"/>
      <c r="Q23" s="368"/>
      <c r="R23" s="308">
        <v>2260</v>
      </c>
      <c r="S23" s="433"/>
      <c r="T23" s="433"/>
      <c r="U23" s="368">
        <f>'1-συμβολαια'!L23+'8-κ-15-17'!AE23+'14-βιβλΕσ'!L23+'14-βιβλΕσ'!Q23+'14-βιβλΕσ'!R23</f>
        <v>0</v>
      </c>
      <c r="V23" s="368">
        <f>'1-συμβολαια'!M23-'1-συμβολαια'!P23</f>
        <v>0</v>
      </c>
      <c r="W23" s="368">
        <f t="shared" si="1"/>
        <v>0</v>
      </c>
      <c r="X23" s="387">
        <v>45949</v>
      </c>
      <c r="Y23" s="304">
        <f t="shared" si="2"/>
        <v>2260</v>
      </c>
      <c r="Z23" s="388"/>
      <c r="AA23" s="77"/>
      <c r="AB23" s="77"/>
      <c r="AC23" s="77"/>
      <c r="AD23" s="77"/>
      <c r="AE23" s="77"/>
    </row>
    <row r="24" spans="1:31">
      <c r="A24" s="750" t="s">
        <v>35</v>
      </c>
      <c r="B24" s="751"/>
      <c r="C24" s="751"/>
      <c r="D24" s="751"/>
      <c r="E24" s="752"/>
      <c r="F24" s="46">
        <f t="shared" ref="F24:M24" si="14">SUM(F3:F23)</f>
        <v>457.74932800000005</v>
      </c>
      <c r="G24" s="46">
        <f t="shared" si="14"/>
        <v>27.3</v>
      </c>
      <c r="H24" s="46">
        <f t="shared" si="14"/>
        <v>485.04932800000012</v>
      </c>
      <c r="I24" s="46">
        <f t="shared" si="14"/>
        <v>3147.0784800000001</v>
      </c>
      <c r="J24" s="46">
        <f t="shared" si="14"/>
        <v>267.55</v>
      </c>
      <c r="K24" s="46">
        <f t="shared" si="14"/>
        <v>1469.0182079999997</v>
      </c>
      <c r="L24" s="46">
        <f t="shared" si="14"/>
        <v>231</v>
      </c>
      <c r="M24" s="46">
        <f t="shared" si="14"/>
        <v>0</v>
      </c>
      <c r="N24" s="46"/>
      <c r="O24" s="46">
        <f t="shared" ref="O24:W24" si="15">SUM(O3:O23)</f>
        <v>63885.194800338766</v>
      </c>
      <c r="P24" s="46">
        <f t="shared" si="15"/>
        <v>6846.9240000000009</v>
      </c>
      <c r="Q24" s="46">
        <f t="shared" si="15"/>
        <v>14915.748</v>
      </c>
      <c r="R24" s="437">
        <f t="shared" si="15"/>
        <v>1359196.6444690609</v>
      </c>
      <c r="S24" s="46">
        <f t="shared" si="15"/>
        <v>0</v>
      </c>
      <c r="T24" s="437">
        <f t="shared" si="15"/>
        <v>0</v>
      </c>
      <c r="U24" s="46">
        <f t="shared" si="15"/>
        <v>6966.9240000000009</v>
      </c>
      <c r="V24" s="46">
        <f t="shared" si="15"/>
        <v>120</v>
      </c>
      <c r="W24" s="46">
        <f t="shared" si="15"/>
        <v>6846.9240000000009</v>
      </c>
      <c r="X24" s="46"/>
      <c r="Y24" s="437">
        <f>SUM(Y3:Y23)</f>
        <v>1359196.6444690609</v>
      </c>
    </row>
    <row r="25" spans="1:31">
      <c r="J25" s="79"/>
      <c r="K25" s="79"/>
    </row>
    <row r="26" spans="1:31">
      <c r="J26" s="157"/>
      <c r="K26" s="157"/>
      <c r="R26" s="2" t="s">
        <v>549</v>
      </c>
      <c r="U26" s="157"/>
    </row>
    <row r="27" spans="1:31">
      <c r="Q27" s="2" t="s">
        <v>548</v>
      </c>
      <c r="Z27" s="8"/>
      <c r="AA27" s="8"/>
    </row>
    <row r="28" spans="1:31">
      <c r="I28" s="497" t="s">
        <v>551</v>
      </c>
      <c r="P28" s="497" t="s">
        <v>551</v>
      </c>
      <c r="Z28" s="8"/>
      <c r="AA28" s="8"/>
    </row>
    <row r="29" spans="1:31">
      <c r="I29" s="475" t="s">
        <v>550</v>
      </c>
      <c r="P29" s="475" t="s">
        <v>550</v>
      </c>
      <c r="Z29" s="8"/>
      <c r="AA29" s="199"/>
    </row>
    <row r="30" spans="1:31">
      <c r="I30" s="2">
        <v>0</v>
      </c>
      <c r="Z30" s="8"/>
      <c r="AA30" s="199"/>
    </row>
    <row r="31" spans="1:31">
      <c r="Z31" s="8"/>
      <c r="AA31" s="199"/>
    </row>
    <row r="32" spans="1:31">
      <c r="Z32" s="470"/>
    </row>
    <row r="33" spans="8:21">
      <c r="H33" s="8" t="s">
        <v>552</v>
      </c>
      <c r="I33" s="8">
        <v>102135.66214186428</v>
      </c>
      <c r="M33" s="2"/>
      <c r="N33" s="2"/>
      <c r="O33" s="8"/>
      <c r="P33" s="8">
        <f>5406-2135+I33</f>
        <v>105406.66214186428</v>
      </c>
      <c r="Q33" s="8"/>
      <c r="R33" s="8">
        <f>16461-2135-5406+I33+P33</f>
        <v>216462.32428372855</v>
      </c>
      <c r="T33" s="8"/>
      <c r="U33" s="8"/>
    </row>
    <row r="34" spans="8:21">
      <c r="H34" s="8"/>
      <c r="I34" s="8">
        <v>102135.66214186428</v>
      </c>
      <c r="M34" s="2"/>
      <c r="N34" s="2"/>
      <c r="O34" s="8"/>
      <c r="P34" s="8">
        <f>5255-2135+I34</f>
        <v>105255.66214186428</v>
      </c>
      <c r="Q34" s="8"/>
      <c r="R34" s="8">
        <f>15765-5255-2135+I34+P34</f>
        <v>215766.32428372855</v>
      </c>
      <c r="T34" s="8"/>
      <c r="U34" s="8"/>
    </row>
    <row r="35" spans="8:21">
      <c r="H35" s="8"/>
      <c r="I35" s="8">
        <v>211090.45432943589</v>
      </c>
      <c r="M35" s="2"/>
      <c r="N35" s="2"/>
      <c r="O35" s="8"/>
      <c r="P35" s="8">
        <f>9509-4412+I35</f>
        <v>216187.45432943589</v>
      </c>
      <c r="Q35" s="8"/>
      <c r="R35" s="8">
        <f>28528-9509-4412+I35+P35</f>
        <v>441884.90865887178</v>
      </c>
      <c r="T35" s="8"/>
      <c r="U35" s="8"/>
    </row>
    <row r="36" spans="8:21">
      <c r="H36" s="8"/>
      <c r="I36" s="8"/>
      <c r="M36" s="2"/>
      <c r="N36" s="2"/>
      <c r="O36" s="8"/>
      <c r="P36" s="8"/>
      <c r="Q36" s="8"/>
      <c r="R36" s="8"/>
      <c r="T36" s="8"/>
      <c r="U36" s="8"/>
    </row>
    <row r="37" spans="8:21">
      <c r="H37" s="8" t="s">
        <v>553</v>
      </c>
      <c r="I37" s="8">
        <v>223015.58855838203</v>
      </c>
      <c r="M37" s="2"/>
      <c r="N37" s="2"/>
      <c r="O37" s="8"/>
      <c r="P37" s="8">
        <f>10265-4662+I37</f>
        <v>228618.58855838203</v>
      </c>
      <c r="Q37" s="8"/>
      <c r="R37" s="8">
        <f>31038-10265-4662+I37+P37</f>
        <v>467745.17711676407</v>
      </c>
      <c r="T37" s="8"/>
      <c r="U37" s="8"/>
    </row>
    <row r="38" spans="8:21">
      <c r="H38" s="8"/>
      <c r="I38" s="8">
        <v>223015.58855838203</v>
      </c>
      <c r="M38" s="2"/>
      <c r="N38" s="2"/>
      <c r="O38" s="8"/>
      <c r="P38" s="8">
        <f>10114-4662+I38</f>
        <v>228467.58855838203</v>
      </c>
      <c r="Q38" s="8"/>
      <c r="R38" s="8">
        <f>30342-10114-4662+I38+P38</f>
        <v>467049.17711676407</v>
      </c>
      <c r="T38" s="8"/>
      <c r="U38" s="8"/>
    </row>
    <row r="39" spans="8:21">
      <c r="H39" s="8"/>
      <c r="I39" s="8">
        <v>492544.39343535108</v>
      </c>
      <c r="M39" s="2"/>
      <c r="N39" s="2"/>
      <c r="O39" s="8"/>
      <c r="P39" s="8">
        <f>20823-2942+I39</f>
        <v>510425.39343535108</v>
      </c>
      <c r="Q39" s="8"/>
      <c r="R39" s="8">
        <f>62470-20823-2942+I39+P39</f>
        <v>1041674.7868707022</v>
      </c>
      <c r="T39" s="8"/>
      <c r="U39" s="8"/>
    </row>
    <row r="40" spans="8:21">
      <c r="H40" s="8"/>
      <c r="L40" s="79"/>
      <c r="N40" s="2"/>
      <c r="P40" s="8"/>
      <c r="R40" s="8"/>
    </row>
    <row r="41" spans="8:21">
      <c r="H41" s="8" t="s">
        <v>556</v>
      </c>
      <c r="I41" s="8">
        <v>40298.037232155817</v>
      </c>
      <c r="M41" s="2"/>
      <c r="N41" s="2"/>
      <c r="O41" s="8"/>
      <c r="P41" s="8">
        <f>2920-842+I41</f>
        <v>42376.037232155817</v>
      </c>
      <c r="Q41" s="8"/>
      <c r="R41" s="8">
        <f>9004-2920-842+I41+P41</f>
        <v>87916.074464311634</v>
      </c>
      <c r="T41" s="8"/>
      <c r="U41" s="8"/>
    </row>
    <row r="42" spans="8:21">
      <c r="I42" s="8">
        <v>40298.037232155817</v>
      </c>
      <c r="M42" s="2"/>
      <c r="N42" s="2"/>
      <c r="O42" s="8"/>
      <c r="P42" s="8">
        <f>2769-842+I42</f>
        <v>42225.037232155817</v>
      </c>
      <c r="Q42" s="8"/>
      <c r="R42" s="8">
        <f>8307-2769-842+I42+P42</f>
        <v>87219.074464311634</v>
      </c>
      <c r="T42" s="8"/>
      <c r="U42" s="8"/>
    </row>
    <row r="43" spans="8:21">
      <c r="I43" s="8">
        <v>91472.51121127943</v>
      </c>
      <c r="M43" s="2"/>
      <c r="N43" s="2"/>
      <c r="O43" s="8"/>
      <c r="P43" s="8">
        <f>4701-1912+I43</f>
        <v>94261.51121127943</v>
      </c>
      <c r="Q43" s="8"/>
      <c r="R43" s="8">
        <f>14103-4701-1912+I43+P43</f>
        <v>193224.02242255886</v>
      </c>
      <c r="T43" s="8"/>
      <c r="U43" s="8"/>
    </row>
    <row r="46" spans="8:21">
      <c r="I46" s="8"/>
    </row>
    <row r="47" spans="8:21">
      <c r="I47" s="8"/>
    </row>
    <row r="48" spans="8:21">
      <c r="I48" s="8"/>
    </row>
    <row r="49" spans="9:9">
      <c r="I49" s="8"/>
    </row>
    <row r="50" spans="9:9">
      <c r="I50" s="8"/>
    </row>
    <row r="51" spans="9:9">
      <c r="I51" s="8"/>
    </row>
    <row r="52" spans="9:9">
      <c r="I52" s="8"/>
    </row>
    <row r="53" spans="9:9">
      <c r="I53" s="8"/>
    </row>
    <row r="54" spans="9:9">
      <c r="I54" s="8"/>
    </row>
    <row r="55" spans="9:9">
      <c r="I55" s="8"/>
    </row>
    <row r="56" spans="9:9">
      <c r="I56" s="8"/>
    </row>
  </sheetData>
  <mergeCells count="18">
    <mergeCell ref="AA1:AE2"/>
    <mergeCell ref="F1:H1"/>
    <mergeCell ref="I1:I2"/>
    <mergeCell ref="K1:K2"/>
    <mergeCell ref="J1:J2"/>
    <mergeCell ref="Z1:Z2"/>
    <mergeCell ref="L1:O1"/>
    <mergeCell ref="U1:W1"/>
    <mergeCell ref="Q1:R1"/>
    <mergeCell ref="S1:T1"/>
    <mergeCell ref="X1:X2"/>
    <mergeCell ref="Y1:Y2"/>
    <mergeCell ref="A24:E24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43"/>
  <sheetViews>
    <sheetView workbookViewId="0">
      <pane ySplit="1" topLeftCell="A2" activePane="bottomLeft" state="frozen"/>
      <selection pane="bottomLeft" activeCell="D32" sqref="D32"/>
    </sheetView>
  </sheetViews>
  <sheetFormatPr defaultRowHeight="11.25"/>
  <cols>
    <col min="1" max="1" width="9.140625" style="3"/>
    <col min="2" max="2" width="36.140625" style="3" bestFit="1" customWidth="1"/>
    <col min="3" max="3" width="11" style="2" customWidth="1"/>
    <col min="4" max="7" width="9.140625" style="3"/>
    <col min="8" max="8" width="9.42578125" style="2" bestFit="1" customWidth="1"/>
    <col min="9" max="9" width="34.85546875" style="3" bestFit="1" customWidth="1"/>
    <col min="10" max="16384" width="9.140625" style="3"/>
  </cols>
  <sheetData>
    <row r="1" spans="1:13">
      <c r="A1" s="225"/>
      <c r="B1" s="225"/>
      <c r="C1" s="347"/>
      <c r="D1" s="225" t="s">
        <v>325</v>
      </c>
      <c r="E1" s="520" t="s">
        <v>328</v>
      </c>
      <c r="F1" s="521"/>
      <c r="G1" s="521"/>
      <c r="H1" s="521"/>
      <c r="I1" s="522" t="s">
        <v>329</v>
      </c>
      <c r="J1" s="522"/>
      <c r="K1" s="522"/>
      <c r="L1" s="522"/>
      <c r="M1" s="523"/>
    </row>
    <row r="2" spans="1:13">
      <c r="A2" s="476" t="str">
        <f>'1-συμβολαια'!A3</f>
        <v>3ο</v>
      </c>
      <c r="B2" s="80" t="str">
        <f>'1-συμβολαια'!C3</f>
        <v>υποθήκης ????  5.495.705δρχ ΕΞΑΛΕΙΨΗ</v>
      </c>
      <c r="C2" s="346">
        <f>'1-συμβολαια'!D3</f>
        <v>16128.26</v>
      </c>
      <c r="D2" s="434"/>
      <c r="E2" s="478" t="s">
        <v>510</v>
      </c>
      <c r="F2" s="80"/>
      <c r="G2" s="80"/>
      <c r="H2" s="346"/>
      <c r="I2" s="80"/>
      <c r="J2" s="80"/>
      <c r="K2" s="80"/>
      <c r="L2" s="80"/>
      <c r="M2" s="80"/>
    </row>
    <row r="3" spans="1:13">
      <c r="A3" s="476">
        <f>'1-συμβολαια'!A4</f>
        <v>0</v>
      </c>
      <c r="B3" s="80" t="str">
        <f>'1-συμβολαια'!C4</f>
        <v>δανείου ??? 5.495.700 δρχ …. ΕΞΟΦΛΗΣΗ</v>
      </c>
      <c r="C3" s="346">
        <f>'1-συμβολαια'!D4</f>
        <v>16128.26</v>
      </c>
      <c r="D3" s="434"/>
      <c r="E3" s="478" t="s">
        <v>510</v>
      </c>
      <c r="F3" s="80"/>
      <c r="G3" s="80"/>
      <c r="H3" s="346"/>
      <c r="I3" s="80"/>
      <c r="J3" s="80"/>
      <c r="K3" s="80"/>
      <c r="L3" s="80"/>
      <c r="M3" s="80"/>
    </row>
    <row r="4" spans="1:13">
      <c r="A4" s="476">
        <f>'1-συμβολαια'!A5</f>
        <v>0</v>
      </c>
      <c r="B4" s="80" t="str">
        <f>'1-συμβολαια'!C5</f>
        <v>δανείου ???? ΤΟΚΟΙ</v>
      </c>
      <c r="C4" s="346">
        <f>'1-συμβολαια'!D5</f>
        <v>33333.33</v>
      </c>
      <c r="D4" s="434"/>
      <c r="E4" s="80"/>
      <c r="F4" s="80"/>
      <c r="G4" s="80"/>
      <c r="H4" s="346"/>
      <c r="I4" s="80"/>
      <c r="J4" s="80"/>
      <c r="K4" s="80"/>
      <c r="L4" s="80"/>
      <c r="M4" s="80"/>
    </row>
    <row r="5" spans="1:13" s="19" customFormat="1">
      <c r="A5" s="13"/>
      <c r="B5" s="26"/>
      <c r="C5" s="35"/>
      <c r="D5" s="35"/>
      <c r="E5" s="26"/>
      <c r="F5" s="26"/>
      <c r="G5" s="26"/>
      <c r="H5" s="35"/>
      <c r="I5" s="26"/>
      <c r="J5" s="26"/>
      <c r="K5" s="26"/>
      <c r="L5" s="26"/>
      <c r="M5" s="26"/>
    </row>
    <row r="6" spans="1:13">
      <c r="A6" s="476" t="str">
        <f>'1-συμβολαια'!A7</f>
        <v>4ο</v>
      </c>
      <c r="B6" s="80" t="str">
        <f>'1-συμβολαια'!C7</f>
        <v>υποθήκης ???? 12.000.000δρχ ΕΞΑΛΕΙΨΗ</v>
      </c>
      <c r="C6" s="346">
        <f>'1-συμβολαια'!D7</f>
        <v>35216.43</v>
      </c>
      <c r="D6" s="434"/>
      <c r="E6" s="478" t="s">
        <v>510</v>
      </c>
      <c r="F6" s="80"/>
      <c r="G6" s="80"/>
      <c r="H6" s="346"/>
      <c r="I6" s="80"/>
      <c r="J6" s="80"/>
      <c r="K6" s="80"/>
      <c r="L6" s="80"/>
      <c r="M6" s="80"/>
    </row>
    <row r="7" spans="1:13">
      <c r="A7" s="476">
        <f>'1-συμβολαια'!A8</f>
        <v>0</v>
      </c>
      <c r="B7" s="80" t="str">
        <f>'1-συμβολαια'!C8</f>
        <v>δανείου ??? 12.000.000δρχ …. ΕΞΟΦΛΗΣΗ</v>
      </c>
      <c r="C7" s="346">
        <f>'1-συμβολαια'!D8</f>
        <v>35216.43</v>
      </c>
      <c r="D7" s="434"/>
      <c r="E7" s="478" t="s">
        <v>510</v>
      </c>
      <c r="F7" s="80"/>
      <c r="G7" s="80"/>
      <c r="H7" s="346"/>
      <c r="I7" s="80"/>
      <c r="J7" s="80"/>
      <c r="K7" s="80"/>
      <c r="L7" s="80"/>
      <c r="M7" s="80"/>
    </row>
    <row r="8" spans="1:13">
      <c r="A8" s="476">
        <f>'1-συμβολαια'!A9</f>
        <v>0</v>
      </c>
      <c r="B8" s="80" t="str">
        <f>'1-συμβολαια'!C9</f>
        <v>δανείου ???? ΤΟΚΟΙ</v>
      </c>
      <c r="C8" s="346">
        <f>'1-συμβολαια'!D9</f>
        <v>77777.77</v>
      </c>
      <c r="D8" s="434"/>
      <c r="E8" s="80"/>
      <c r="F8" s="80"/>
      <c r="G8" s="80"/>
      <c r="H8" s="346"/>
      <c r="I8" s="80"/>
      <c r="J8" s="80"/>
      <c r="K8" s="80"/>
      <c r="L8" s="80"/>
      <c r="M8" s="80"/>
    </row>
    <row r="9" spans="1:13" s="19" customFormat="1">
      <c r="A9" s="13"/>
      <c r="B9" s="26"/>
      <c r="C9" s="35"/>
      <c r="D9" s="35"/>
      <c r="E9" s="26"/>
      <c r="F9" s="26"/>
      <c r="G9" s="26"/>
      <c r="H9" s="35"/>
      <c r="I9" s="26"/>
      <c r="J9" s="26"/>
      <c r="K9" s="26"/>
      <c r="L9" s="26"/>
      <c r="M9" s="26"/>
    </row>
    <row r="10" spans="1:13">
      <c r="A10" s="476" t="str">
        <f>'1-συμβολαια'!A11</f>
        <v>5ο</v>
      </c>
      <c r="B10" s="80" t="str">
        <f>'1-συμβολαια'!C11</f>
        <v>υποθήκης 1ου   κύρου ;;;???;;;δρχ ΕΞΑΛΕΙΨΗ</v>
      </c>
      <c r="C10" s="346">
        <f>'1-συμβολαια'!D11</f>
        <v>0</v>
      </c>
      <c r="D10" s="434"/>
      <c r="E10" s="478" t="s">
        <v>510</v>
      </c>
      <c r="F10" s="80"/>
      <c r="G10" s="80"/>
      <c r="H10" s="346"/>
      <c r="I10" s="80"/>
      <c r="J10" s="80"/>
      <c r="K10" s="80"/>
      <c r="L10" s="80"/>
      <c r="M10" s="80"/>
    </row>
    <row r="11" spans="1:13">
      <c r="A11" s="476">
        <f>'1-συμβολαια'!A12</f>
        <v>0</v>
      </c>
      <c r="B11" s="80" t="str">
        <f>'1-συμβολαια'!C12</f>
        <v>δανείου 1ου   κύρου 1.050.000δρχ ...ΕΞΟΦΛΗΣΗ</v>
      </c>
      <c r="C11" s="346">
        <f>'1-συμβολαια'!D12</f>
        <v>0</v>
      </c>
      <c r="D11" s="434"/>
      <c r="E11" s="478" t="s">
        <v>510</v>
      </c>
      <c r="F11" s="80"/>
      <c r="G11" s="80"/>
      <c r="H11" s="346"/>
      <c r="I11" s="80"/>
      <c r="J11" s="80"/>
      <c r="K11" s="80"/>
      <c r="L11" s="80"/>
      <c r="M11" s="80"/>
    </row>
    <row r="12" spans="1:13">
      <c r="A12" s="476">
        <f>'1-συμβολαια'!A13</f>
        <v>0</v>
      </c>
      <c r="B12" s="80" t="str">
        <f>'1-συμβολαια'!C13</f>
        <v>δανείου 1ου   κύρου ΤΟΚΟΙ {προπληρωθέντες VS υπερβάλλοντες}</v>
      </c>
      <c r="C12" s="346">
        <f>'1-συμβολαια'!D13</f>
        <v>666.66</v>
      </c>
      <c r="D12" s="434"/>
      <c r="E12" s="80"/>
      <c r="F12" s="80"/>
      <c r="G12" s="80"/>
      <c r="H12" s="346"/>
      <c r="I12" s="80"/>
      <c r="J12" s="80"/>
      <c r="K12" s="80"/>
      <c r="L12" s="80"/>
      <c r="M12" s="80"/>
    </row>
    <row r="13" spans="1:13" s="19" customFormat="1">
      <c r="A13" s="13"/>
      <c r="B13" s="26"/>
      <c r="C13" s="35"/>
      <c r="D13" s="35"/>
      <c r="E13" s="26"/>
      <c r="F13" s="26"/>
      <c r="G13" s="26"/>
      <c r="H13" s="35"/>
      <c r="I13" s="26"/>
      <c r="J13" s="26"/>
      <c r="K13" s="26"/>
      <c r="L13" s="26"/>
      <c r="M13" s="26"/>
    </row>
    <row r="14" spans="1:13">
      <c r="A14" s="476" t="str">
        <f>'1-συμβολαια'!A15</f>
        <v>6ο</v>
      </c>
      <c r="B14" s="80" t="str">
        <f>'1-συμβολαια'!C15</f>
        <v>υποθήκης 2ου   κύρου ;;;???;;;δρχ …..ΕΞΑΛΕΙΨΗ</v>
      </c>
      <c r="C14" s="346">
        <f>'1-συμβολαια'!D15</f>
        <v>0</v>
      </c>
      <c r="D14" s="434"/>
      <c r="E14" s="478" t="s">
        <v>510</v>
      </c>
      <c r="F14" s="80"/>
      <c r="G14" s="80"/>
      <c r="H14" s="346"/>
      <c r="I14" s="80"/>
      <c r="J14" s="80"/>
      <c r="K14" s="80"/>
      <c r="L14" s="80"/>
      <c r="M14" s="80"/>
    </row>
    <row r="15" spans="1:13">
      <c r="A15" s="476">
        <f>'1-συμβολαια'!A16</f>
        <v>0</v>
      </c>
      <c r="B15" s="80" t="str">
        <f>'1-συμβολαια'!C16</f>
        <v>δανείου 2ου   κύρου 7000.000δρχ …..ΕΞΟΦΛΗΣΗ</v>
      </c>
      <c r="C15" s="346">
        <f>'1-συμβολαια'!D16</f>
        <v>0</v>
      </c>
      <c r="D15" s="434"/>
      <c r="E15" s="478" t="s">
        <v>510</v>
      </c>
      <c r="F15" s="80"/>
      <c r="G15" s="80"/>
      <c r="H15" s="346"/>
      <c r="I15" s="80"/>
      <c r="J15" s="80"/>
      <c r="K15" s="80"/>
      <c r="L15" s="80"/>
      <c r="M15" s="80"/>
    </row>
    <row r="16" spans="1:13">
      <c r="A16" s="476">
        <f>'1-συμβολαια'!A17</f>
        <v>0</v>
      </c>
      <c r="B16" s="80" t="str">
        <f>'1-συμβολαια'!C17</f>
        <v>δανείου 2ου    κύρου …. ΤΟΚΟΙ {προπληρωθέντες VS υπερβάλλοντες}</v>
      </c>
      <c r="C16" s="346">
        <f>'1-συμβολαια'!D17</f>
        <v>444.44</v>
      </c>
      <c r="D16" s="434"/>
      <c r="E16" s="80"/>
      <c r="F16" s="80"/>
      <c r="G16" s="80"/>
      <c r="H16" s="346"/>
      <c r="I16" s="80"/>
      <c r="J16" s="80"/>
      <c r="K16" s="80"/>
      <c r="L16" s="80"/>
      <c r="M16" s="80"/>
    </row>
    <row r="17" spans="1:13" s="19" customFormat="1">
      <c r="A17" s="13"/>
      <c r="B17" s="26"/>
      <c r="C17" s="35"/>
      <c r="D17" s="35"/>
      <c r="E17" s="26"/>
      <c r="F17" s="26"/>
      <c r="G17" s="26"/>
      <c r="H17" s="35"/>
      <c r="I17" s="26"/>
      <c r="J17" s="26"/>
      <c r="K17" s="26"/>
      <c r="L17" s="26"/>
      <c r="M17" s="26"/>
    </row>
    <row r="18" spans="1:13">
      <c r="A18" s="476" t="str">
        <f>'1-συμβολαια'!A19</f>
        <v>7ο</v>
      </c>
      <c r="B18" s="80" t="str">
        <f>'1-συμβολαια'!C19</f>
        <v>υποθήκης ???? 2.168.354δρχ …. ΕΞΑΛΕΙΨΗ</v>
      </c>
      <c r="C18" s="346">
        <f>'1-συμβολαια'!D19</f>
        <v>6363.47</v>
      </c>
      <c r="D18" s="434"/>
      <c r="E18" s="478" t="s">
        <v>510</v>
      </c>
      <c r="F18" s="80"/>
      <c r="G18" s="80"/>
      <c r="H18" s="346"/>
      <c r="I18" s="80"/>
      <c r="J18" s="80"/>
      <c r="K18" s="80"/>
      <c r="L18" s="80"/>
      <c r="M18" s="80"/>
    </row>
    <row r="19" spans="1:13">
      <c r="A19" s="476">
        <f>'1-συμβολαια'!A20</f>
        <v>0</v>
      </c>
      <c r="B19" s="80" t="str">
        <f>'1-συμβολαια'!C20</f>
        <v>δανείου ??? 2.168.354δρχ ….. ΕΞΟΦΛΗΣΗ</v>
      </c>
      <c r="C19" s="346">
        <f>'1-συμβολαια'!D20</f>
        <v>6363.47</v>
      </c>
      <c r="D19" s="434"/>
      <c r="E19" s="478" t="s">
        <v>510</v>
      </c>
      <c r="F19" s="80"/>
      <c r="G19" s="80"/>
      <c r="H19" s="346"/>
      <c r="I19" s="80"/>
      <c r="J19" s="80"/>
      <c r="K19" s="80"/>
      <c r="L19" s="80"/>
      <c r="M19" s="80"/>
    </row>
    <row r="20" spans="1:13">
      <c r="A20" s="476">
        <f>'1-συμβολαια'!A21</f>
        <v>0</v>
      </c>
      <c r="B20" s="80" t="str">
        <f>'1-συμβολαια'!C21</f>
        <v>δανείου ???? ΤΟΚΟΙ</v>
      </c>
      <c r="C20" s="346">
        <f>'1-συμβολαια'!D21</f>
        <v>14444.44</v>
      </c>
      <c r="D20" s="434"/>
      <c r="E20" s="80"/>
      <c r="F20" s="80"/>
      <c r="G20" s="80"/>
      <c r="H20" s="346"/>
      <c r="I20" s="80"/>
      <c r="J20" s="80"/>
      <c r="K20" s="80"/>
      <c r="L20" s="80"/>
      <c r="M20" s="80"/>
    </row>
    <row r="21" spans="1:13" s="19" customFormat="1">
      <c r="A21" s="13"/>
      <c r="B21" s="26"/>
      <c r="C21" s="35"/>
      <c r="D21" s="35"/>
      <c r="E21" s="26"/>
      <c r="F21" s="26"/>
      <c r="G21" s="26"/>
      <c r="H21" s="35"/>
      <c r="I21" s="26"/>
      <c r="J21" s="26"/>
      <c r="K21" s="26"/>
      <c r="L21" s="26"/>
      <c r="M21" s="26"/>
    </row>
    <row r="22" spans="1:13">
      <c r="A22" s="226">
        <f>'1-συμβολαια'!A23</f>
        <v>0</v>
      </c>
      <c r="B22" s="80" t="str">
        <f>'1-συμβολαια'!C23</f>
        <v>'του πλήρωσα ΚΑΙ τους φόρους''</v>
      </c>
      <c r="C22" s="346">
        <f>'1-συμβολαια'!D23</f>
        <v>111</v>
      </c>
      <c r="D22" s="346"/>
      <c r="E22" s="80"/>
      <c r="F22" s="80"/>
      <c r="G22" s="80"/>
      <c r="H22" s="346"/>
      <c r="I22" s="80"/>
      <c r="J22" s="80"/>
      <c r="K22" s="80"/>
      <c r="L22" s="80"/>
      <c r="M22" s="80"/>
    </row>
    <row r="23" spans="1:13">
      <c r="A23" s="517" t="str">
        <f>'1-συμβολαια'!A24</f>
        <v>σύνολο</v>
      </c>
      <c r="B23" s="518"/>
      <c r="C23" s="519"/>
      <c r="D23" s="346">
        <f>SUM(D2:D22)</f>
        <v>0</v>
      </c>
    </row>
    <row r="25" spans="1:13">
      <c r="C25" s="2" t="s">
        <v>397</v>
      </c>
    </row>
    <row r="33" spans="3:4">
      <c r="C33" s="4"/>
      <c r="D33" s="5"/>
    </row>
    <row r="34" spans="3:4">
      <c r="C34" s="4"/>
      <c r="D34" s="5"/>
    </row>
    <row r="35" spans="3:4">
      <c r="C35" s="4"/>
      <c r="D35" s="5"/>
    </row>
    <row r="36" spans="3:4">
      <c r="D36" s="5"/>
    </row>
    <row r="37" spans="3:4">
      <c r="D37" s="5"/>
    </row>
    <row r="38" spans="3:4">
      <c r="D38" s="5"/>
    </row>
    <row r="39" spans="3:4">
      <c r="D39" s="5"/>
    </row>
    <row r="40" spans="3:4">
      <c r="D40" s="5"/>
    </row>
    <row r="41" spans="3:4">
      <c r="D41" s="5"/>
    </row>
    <row r="42" spans="3:4">
      <c r="D42" s="5"/>
    </row>
    <row r="43" spans="3:4">
      <c r="D43" s="5"/>
    </row>
  </sheetData>
  <mergeCells count="3">
    <mergeCell ref="A23:C23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51"/>
  <sheetViews>
    <sheetView workbookViewId="0">
      <pane ySplit="2" topLeftCell="A3" activePane="bottomLeft" state="frozen"/>
      <selection pane="bottomLeft" activeCell="E15" sqref="E15"/>
    </sheetView>
  </sheetViews>
  <sheetFormatPr defaultRowHeight="11.25"/>
  <cols>
    <col min="1" max="1" width="7" style="8" customWidth="1"/>
    <col min="2" max="2" width="38.42578125" style="98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18" width="8" style="86" customWidth="1"/>
    <col min="19" max="19" width="23.85546875" style="86" customWidth="1"/>
    <col min="20" max="21" width="8" style="86" customWidth="1"/>
    <col min="22" max="22" width="18.7109375" style="86" customWidth="1"/>
    <col min="23" max="23" width="8" style="86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30" t="s">
        <v>1</v>
      </c>
      <c r="B1" s="532" t="s">
        <v>0</v>
      </c>
      <c r="C1" s="534" t="s">
        <v>7</v>
      </c>
      <c r="D1" s="528" t="s">
        <v>466</v>
      </c>
      <c r="E1" s="529"/>
      <c r="F1" s="529"/>
      <c r="G1" s="529"/>
      <c r="H1" s="529"/>
      <c r="I1" s="529"/>
      <c r="J1" s="529"/>
      <c r="K1" s="529"/>
      <c r="L1" s="536" t="s">
        <v>92</v>
      </c>
      <c r="M1" s="537"/>
      <c r="N1" s="538" t="s">
        <v>259</v>
      </c>
      <c r="O1" s="524"/>
      <c r="P1" s="524"/>
      <c r="Q1" s="524"/>
      <c r="R1" s="524"/>
      <c r="S1" s="524"/>
      <c r="T1" s="524"/>
      <c r="U1" s="524"/>
      <c r="V1" s="524"/>
      <c r="W1" s="525"/>
    </row>
    <row r="2" spans="1:23" s="12" customFormat="1" ht="24" customHeight="1" thickBot="1">
      <c r="A2" s="531"/>
      <c r="B2" s="533"/>
      <c r="C2" s="535"/>
      <c r="D2" s="63" t="s">
        <v>78</v>
      </c>
      <c r="E2" s="63" t="s">
        <v>79</v>
      </c>
      <c r="F2" s="63" t="s">
        <v>370</v>
      </c>
      <c r="G2" s="63" t="s">
        <v>23</v>
      </c>
      <c r="H2" s="245" t="s">
        <v>360</v>
      </c>
      <c r="I2" s="245" t="s">
        <v>361</v>
      </c>
      <c r="J2" s="245" t="s">
        <v>378</v>
      </c>
      <c r="K2" s="246" t="s">
        <v>363</v>
      </c>
      <c r="L2" s="248" t="s">
        <v>379</v>
      </c>
      <c r="M2" s="247" t="s">
        <v>380</v>
      </c>
      <c r="N2" s="539"/>
      <c r="O2" s="526"/>
      <c r="P2" s="526"/>
      <c r="Q2" s="526"/>
      <c r="R2" s="526"/>
      <c r="S2" s="526"/>
      <c r="T2" s="526"/>
      <c r="U2" s="526"/>
      <c r="V2" s="526"/>
      <c r="W2" s="527"/>
    </row>
    <row r="3" spans="1:23" s="5" customFormat="1">
      <c r="A3" s="370" t="str">
        <f>'1-συμβολαια'!A3</f>
        <v>3ο</v>
      </c>
      <c r="B3" s="375" t="str">
        <f>'1-συμβολαια'!C3</f>
        <v>υποθήκης ????  5.495.705δρχ ΕΞΑΛΕΙΨΗ</v>
      </c>
      <c r="C3" s="376">
        <f>'1-συμβολαια'!D3</f>
        <v>16128.26</v>
      </c>
      <c r="D3" s="366"/>
      <c r="E3" s="366">
        <v>12</v>
      </c>
      <c r="F3" s="366">
        <f t="shared" ref="F3:F21" si="0">C3*1.2%</f>
        <v>193.53912</v>
      </c>
      <c r="G3" s="366">
        <f t="shared" ref="G3:G21" si="1">D3+E3+F3</f>
        <v>205.53912</v>
      </c>
      <c r="H3" s="367">
        <f t="shared" ref="H3:H21" si="2">F3*9%</f>
        <v>17.4185208</v>
      </c>
      <c r="I3" s="367">
        <f t="shared" ref="I3:I21" si="3">(D3+E3)*5%</f>
        <v>0.60000000000000009</v>
      </c>
      <c r="J3" s="367">
        <f t="shared" ref="J3:J21" si="4">G3*5%</f>
        <v>10.276956</v>
      </c>
      <c r="K3" s="377">
        <f t="shared" ref="K3:K21" si="5">G3*1%</f>
        <v>2.0553911999999999</v>
      </c>
      <c r="L3" s="377">
        <f t="shared" ref="L3:L21" si="6">G3-N3</f>
        <v>175.18825200000001</v>
      </c>
      <c r="M3" s="377">
        <f t="shared" ref="M3:M21" si="7">D3+E3</f>
        <v>12</v>
      </c>
      <c r="N3" s="377">
        <f t="shared" ref="N3:N21" si="8">H3+I3+J3+K3</f>
        <v>30.350868000000002</v>
      </c>
      <c r="O3" s="378" t="s">
        <v>395</v>
      </c>
      <c r="P3" s="378" t="s">
        <v>396</v>
      </c>
      <c r="Q3" s="378"/>
      <c r="R3" s="378"/>
      <c r="S3" s="378"/>
      <c r="T3" s="306"/>
      <c r="U3" s="306"/>
      <c r="V3" s="306"/>
      <c r="W3" s="306"/>
    </row>
    <row r="4" spans="1:23" s="5" customFormat="1">
      <c r="A4" s="370">
        <f>'1-συμβολαια'!A4</f>
        <v>0</v>
      </c>
      <c r="B4" s="375" t="str">
        <f>'1-συμβολαια'!C4</f>
        <v>δανείου ??? 5.495.700 δρχ …. ΕΞΟΦΛΗΣΗ</v>
      </c>
      <c r="C4" s="376">
        <f>'1-συμβολαια'!D4</f>
        <v>16128.26</v>
      </c>
      <c r="D4" s="366"/>
      <c r="E4" s="366">
        <v>12</v>
      </c>
      <c r="F4" s="366">
        <f t="shared" si="0"/>
        <v>193.53912</v>
      </c>
      <c r="G4" s="366">
        <f t="shared" si="1"/>
        <v>205.53912</v>
      </c>
      <c r="H4" s="367">
        <f t="shared" si="2"/>
        <v>17.4185208</v>
      </c>
      <c r="I4" s="367">
        <f t="shared" si="3"/>
        <v>0.60000000000000009</v>
      </c>
      <c r="J4" s="367">
        <f t="shared" si="4"/>
        <v>10.276956</v>
      </c>
      <c r="K4" s="377">
        <f t="shared" si="5"/>
        <v>2.0553911999999999</v>
      </c>
      <c r="L4" s="377">
        <f t="shared" si="6"/>
        <v>175.18825200000001</v>
      </c>
      <c r="M4" s="377">
        <f t="shared" si="7"/>
        <v>12</v>
      </c>
      <c r="N4" s="377">
        <f t="shared" si="8"/>
        <v>30.350868000000002</v>
      </c>
      <c r="O4" s="378" t="s">
        <v>395</v>
      </c>
      <c r="P4" s="378" t="s">
        <v>396</v>
      </c>
      <c r="Q4" s="378"/>
      <c r="R4" s="378"/>
      <c r="S4" s="378"/>
      <c r="T4" s="306"/>
      <c r="U4" s="306"/>
      <c r="V4" s="306"/>
      <c r="W4" s="306"/>
    </row>
    <row r="5" spans="1:23" s="5" customFormat="1">
      <c r="A5" s="370">
        <f>'1-συμβολαια'!A5</f>
        <v>0</v>
      </c>
      <c r="B5" s="375" t="str">
        <f>'1-συμβολαια'!C5</f>
        <v>δανείου ???? ΤΟΚΟΙ</v>
      </c>
      <c r="C5" s="376">
        <f>'1-συμβολαια'!D5</f>
        <v>33333.33</v>
      </c>
      <c r="D5" s="366"/>
      <c r="E5" s="366">
        <v>12</v>
      </c>
      <c r="F5" s="366">
        <f t="shared" si="0"/>
        <v>399.99996000000004</v>
      </c>
      <c r="G5" s="366">
        <f t="shared" si="1"/>
        <v>411.99996000000004</v>
      </c>
      <c r="H5" s="367">
        <f t="shared" si="2"/>
        <v>35.999996400000001</v>
      </c>
      <c r="I5" s="367">
        <f t="shared" si="3"/>
        <v>0.60000000000000009</v>
      </c>
      <c r="J5" s="367">
        <f t="shared" si="4"/>
        <v>20.599998000000003</v>
      </c>
      <c r="K5" s="377">
        <f t="shared" si="5"/>
        <v>4.1199996000000008</v>
      </c>
      <c r="L5" s="377">
        <f t="shared" si="6"/>
        <v>350.67996600000004</v>
      </c>
      <c r="M5" s="377">
        <f t="shared" si="7"/>
        <v>12</v>
      </c>
      <c r="N5" s="377">
        <f t="shared" si="8"/>
        <v>61.319994000000008</v>
      </c>
      <c r="O5" s="378" t="s">
        <v>395</v>
      </c>
      <c r="P5" s="378" t="s">
        <v>396</v>
      </c>
      <c r="Q5" s="378"/>
      <c r="R5" s="378"/>
      <c r="S5" s="378"/>
      <c r="T5" s="306"/>
      <c r="U5" s="306"/>
      <c r="V5" s="306"/>
      <c r="W5" s="306"/>
    </row>
    <row r="6" spans="1:23" s="19" customFormat="1">
      <c r="A6" s="14"/>
      <c r="B6" s="97"/>
      <c r="C6" s="21"/>
      <c r="D6" s="18"/>
      <c r="E6" s="18"/>
      <c r="F6" s="18"/>
      <c r="G6" s="18"/>
      <c r="H6" s="17"/>
      <c r="I6" s="17"/>
      <c r="J6" s="17"/>
      <c r="K6" s="39"/>
      <c r="L6" s="39"/>
      <c r="M6" s="39"/>
      <c r="N6" s="39"/>
      <c r="O6" s="152"/>
      <c r="P6" s="152"/>
      <c r="Q6" s="152"/>
      <c r="R6" s="152"/>
      <c r="S6" s="152"/>
      <c r="T6" s="85"/>
      <c r="U6" s="85"/>
      <c r="V6" s="85"/>
      <c r="W6" s="85"/>
    </row>
    <row r="7" spans="1:23" s="5" customFormat="1">
      <c r="A7" s="370" t="str">
        <f>'1-συμβολαια'!A7</f>
        <v>4ο</v>
      </c>
      <c r="B7" s="375" t="str">
        <f>'1-συμβολαια'!C7</f>
        <v>υποθήκης ???? 12.000.000δρχ ΕΞΑΛΕΙΨΗ</v>
      </c>
      <c r="C7" s="376">
        <f>'1-συμβολαια'!D7</f>
        <v>35216.43</v>
      </c>
      <c r="D7" s="366"/>
      <c r="E7" s="366">
        <v>12</v>
      </c>
      <c r="F7" s="366">
        <f t="shared" si="0"/>
        <v>422.59716000000003</v>
      </c>
      <c r="G7" s="366">
        <f t="shared" si="1"/>
        <v>434.59716000000003</v>
      </c>
      <c r="H7" s="367">
        <f t="shared" si="2"/>
        <v>38.033744400000003</v>
      </c>
      <c r="I7" s="367">
        <f t="shared" si="3"/>
        <v>0.60000000000000009</v>
      </c>
      <c r="J7" s="367">
        <f t="shared" si="4"/>
        <v>21.729858000000004</v>
      </c>
      <c r="K7" s="377">
        <f t="shared" si="5"/>
        <v>4.3459716000000004</v>
      </c>
      <c r="L7" s="377">
        <f t="shared" si="6"/>
        <v>369.88758600000006</v>
      </c>
      <c r="M7" s="377">
        <f t="shared" si="7"/>
        <v>12</v>
      </c>
      <c r="N7" s="377">
        <f t="shared" si="8"/>
        <v>64.709574000000003</v>
      </c>
      <c r="O7" s="378" t="s">
        <v>395</v>
      </c>
      <c r="P7" s="378" t="s">
        <v>396</v>
      </c>
      <c r="Q7" s="378"/>
      <c r="R7" s="378"/>
      <c r="S7" s="378"/>
      <c r="T7" s="306"/>
      <c r="U7" s="306"/>
      <c r="V7" s="306"/>
      <c r="W7" s="306"/>
    </row>
    <row r="8" spans="1:23" s="5" customFormat="1">
      <c r="A8" s="370">
        <f>'1-συμβολαια'!A8</f>
        <v>0</v>
      </c>
      <c r="B8" s="375" t="str">
        <f>'1-συμβολαια'!C8</f>
        <v>δανείου ??? 12.000.000δρχ …. ΕΞΟΦΛΗΣΗ</v>
      </c>
      <c r="C8" s="376">
        <f>'1-συμβολαια'!D8</f>
        <v>35216.43</v>
      </c>
      <c r="D8" s="366"/>
      <c r="E8" s="366">
        <v>12</v>
      </c>
      <c r="F8" s="366">
        <f t="shared" si="0"/>
        <v>422.59716000000003</v>
      </c>
      <c r="G8" s="366">
        <f t="shared" si="1"/>
        <v>434.59716000000003</v>
      </c>
      <c r="H8" s="367">
        <f t="shared" si="2"/>
        <v>38.033744400000003</v>
      </c>
      <c r="I8" s="367">
        <f t="shared" si="3"/>
        <v>0.60000000000000009</v>
      </c>
      <c r="J8" s="367">
        <f t="shared" si="4"/>
        <v>21.729858000000004</v>
      </c>
      <c r="K8" s="377">
        <f t="shared" si="5"/>
        <v>4.3459716000000004</v>
      </c>
      <c r="L8" s="377">
        <f t="shared" si="6"/>
        <v>369.88758600000006</v>
      </c>
      <c r="M8" s="377">
        <f t="shared" si="7"/>
        <v>12</v>
      </c>
      <c r="N8" s="377">
        <f t="shared" si="8"/>
        <v>64.709574000000003</v>
      </c>
      <c r="O8" s="378" t="s">
        <v>395</v>
      </c>
      <c r="P8" s="378" t="s">
        <v>396</v>
      </c>
      <c r="Q8" s="378"/>
      <c r="R8" s="378"/>
      <c r="S8" s="378"/>
      <c r="T8" s="306"/>
      <c r="U8" s="306"/>
      <c r="V8" s="306"/>
      <c r="W8" s="306"/>
    </row>
    <row r="9" spans="1:23" s="5" customFormat="1">
      <c r="A9" s="370">
        <f>'1-συμβολαια'!A9</f>
        <v>0</v>
      </c>
      <c r="B9" s="375" t="str">
        <f>'1-συμβολαια'!C9</f>
        <v>δανείου ???? ΤΟΚΟΙ</v>
      </c>
      <c r="C9" s="376">
        <f>'1-συμβολαια'!D9</f>
        <v>77777.77</v>
      </c>
      <c r="D9" s="366"/>
      <c r="E9" s="366">
        <v>12</v>
      </c>
      <c r="F9" s="366">
        <f t="shared" si="0"/>
        <v>933.33324000000005</v>
      </c>
      <c r="G9" s="366">
        <f t="shared" si="1"/>
        <v>945.33324000000005</v>
      </c>
      <c r="H9" s="367">
        <f t="shared" si="2"/>
        <v>83.999991600000001</v>
      </c>
      <c r="I9" s="367">
        <f t="shared" si="3"/>
        <v>0.60000000000000009</v>
      </c>
      <c r="J9" s="367">
        <f t="shared" si="4"/>
        <v>47.266662000000004</v>
      </c>
      <c r="K9" s="377">
        <f t="shared" si="5"/>
        <v>9.4533324000000007</v>
      </c>
      <c r="L9" s="377">
        <f t="shared" si="6"/>
        <v>804.01325400000007</v>
      </c>
      <c r="M9" s="377">
        <f t="shared" si="7"/>
        <v>12</v>
      </c>
      <c r="N9" s="377">
        <f t="shared" si="8"/>
        <v>141.319986</v>
      </c>
      <c r="O9" s="378" t="s">
        <v>395</v>
      </c>
      <c r="P9" s="378" t="s">
        <v>396</v>
      </c>
      <c r="Q9" s="378"/>
      <c r="R9" s="378"/>
      <c r="S9" s="378"/>
      <c r="T9" s="306"/>
      <c r="U9" s="306"/>
      <c r="V9" s="306"/>
      <c r="W9" s="306"/>
    </row>
    <row r="10" spans="1:23" s="19" customFormat="1">
      <c r="A10" s="14"/>
      <c r="B10" s="97"/>
      <c r="C10" s="21"/>
      <c r="D10" s="18"/>
      <c r="E10" s="18"/>
      <c r="F10" s="18"/>
      <c r="G10" s="18"/>
      <c r="H10" s="17"/>
      <c r="I10" s="17"/>
      <c r="J10" s="17"/>
      <c r="K10" s="39"/>
      <c r="L10" s="39"/>
      <c r="M10" s="39"/>
      <c r="N10" s="39"/>
      <c r="O10" s="152"/>
      <c r="P10" s="152"/>
      <c r="Q10" s="152"/>
      <c r="R10" s="152"/>
      <c r="S10" s="152"/>
      <c r="T10" s="85"/>
      <c r="U10" s="85"/>
      <c r="V10" s="85"/>
      <c r="W10" s="85"/>
    </row>
    <row r="11" spans="1:23" s="5" customFormat="1">
      <c r="A11" s="370" t="str">
        <f>'1-συμβολαια'!A11</f>
        <v>5ο</v>
      </c>
      <c r="B11" s="375" t="str">
        <f>'1-συμβολαια'!C11</f>
        <v>υποθήκης 1ου   κύρου ;;;???;;;δρχ ΕΞΑΛΕΙΨΗ</v>
      </c>
      <c r="C11" s="376">
        <f>'1-συμβολαια'!D11</f>
        <v>0</v>
      </c>
      <c r="D11" s="366">
        <v>12</v>
      </c>
      <c r="E11" s="366"/>
      <c r="F11" s="366"/>
      <c r="G11" s="366">
        <f t="shared" si="1"/>
        <v>12</v>
      </c>
      <c r="H11" s="367">
        <f t="shared" si="2"/>
        <v>0</v>
      </c>
      <c r="I11" s="367">
        <f t="shared" si="3"/>
        <v>0.60000000000000009</v>
      </c>
      <c r="J11" s="367">
        <f t="shared" si="4"/>
        <v>0.60000000000000009</v>
      </c>
      <c r="K11" s="377">
        <f t="shared" si="5"/>
        <v>0.12</v>
      </c>
      <c r="L11" s="377">
        <f t="shared" si="6"/>
        <v>10.68</v>
      </c>
      <c r="M11" s="377">
        <f t="shared" si="7"/>
        <v>12</v>
      </c>
      <c r="N11" s="377">
        <f t="shared" si="8"/>
        <v>1.3200000000000003</v>
      </c>
      <c r="O11" s="378" t="s">
        <v>395</v>
      </c>
      <c r="P11" s="378" t="s">
        <v>396</v>
      </c>
      <c r="Q11" s="378"/>
      <c r="R11" s="378"/>
      <c r="S11" s="378"/>
      <c r="T11" s="306"/>
      <c r="U11" s="306"/>
      <c r="V11" s="306"/>
      <c r="W11" s="306"/>
    </row>
    <row r="12" spans="1:23" s="5" customFormat="1">
      <c r="A12" s="370">
        <f>'1-συμβολαια'!A12</f>
        <v>0</v>
      </c>
      <c r="B12" s="375" t="str">
        <f>'1-συμβολαια'!C12</f>
        <v>δανείου 1ου   κύρου 1.050.000δρχ ...ΕΞΟΦΛΗΣΗ</v>
      </c>
      <c r="C12" s="376">
        <f>'1-συμβολαια'!D12</f>
        <v>0</v>
      </c>
      <c r="D12" s="366">
        <v>12</v>
      </c>
      <c r="E12" s="366"/>
      <c r="F12" s="366"/>
      <c r="G12" s="366">
        <f t="shared" si="1"/>
        <v>12</v>
      </c>
      <c r="H12" s="367">
        <f t="shared" si="2"/>
        <v>0</v>
      </c>
      <c r="I12" s="367">
        <f t="shared" si="3"/>
        <v>0.60000000000000009</v>
      </c>
      <c r="J12" s="367">
        <f t="shared" si="4"/>
        <v>0.60000000000000009</v>
      </c>
      <c r="K12" s="377">
        <f t="shared" si="5"/>
        <v>0.12</v>
      </c>
      <c r="L12" s="377">
        <f t="shared" si="6"/>
        <v>10.68</v>
      </c>
      <c r="M12" s="377">
        <f t="shared" si="7"/>
        <v>12</v>
      </c>
      <c r="N12" s="377">
        <f t="shared" si="8"/>
        <v>1.3200000000000003</v>
      </c>
      <c r="O12" s="378"/>
      <c r="P12" s="378"/>
      <c r="Q12" s="378"/>
      <c r="R12" s="378"/>
      <c r="S12" s="378"/>
      <c r="T12" s="306"/>
      <c r="U12" s="306"/>
      <c r="V12" s="306"/>
      <c r="W12" s="306"/>
    </row>
    <row r="13" spans="1:23" s="5" customFormat="1">
      <c r="A13" s="370">
        <f>'1-συμβολαια'!A13</f>
        <v>0</v>
      </c>
      <c r="B13" s="375" t="str">
        <f>'1-συμβολαια'!C13</f>
        <v>δανείου 1ου   κύρου ΤΟΚΟΙ {προπληρωθέντες VS υπερβάλλοντες}</v>
      </c>
      <c r="C13" s="376">
        <f>'1-συμβολαια'!D13</f>
        <v>666.66</v>
      </c>
      <c r="D13" s="366"/>
      <c r="E13" s="366">
        <v>12</v>
      </c>
      <c r="F13" s="366">
        <f t="shared" si="0"/>
        <v>7.9999199999999995</v>
      </c>
      <c r="G13" s="366">
        <f t="shared" si="1"/>
        <v>19.999919999999999</v>
      </c>
      <c r="H13" s="367">
        <f t="shared" si="2"/>
        <v>0.71999279999999988</v>
      </c>
      <c r="I13" s="367">
        <f t="shared" si="3"/>
        <v>0.60000000000000009</v>
      </c>
      <c r="J13" s="367">
        <f t="shared" si="4"/>
        <v>0.999996</v>
      </c>
      <c r="K13" s="377">
        <f t="shared" si="5"/>
        <v>0.19999919999999999</v>
      </c>
      <c r="L13" s="377">
        <f t="shared" si="6"/>
        <v>17.479931999999998</v>
      </c>
      <c r="M13" s="377">
        <f t="shared" si="7"/>
        <v>12</v>
      </c>
      <c r="N13" s="377">
        <f t="shared" si="8"/>
        <v>2.5199880000000001</v>
      </c>
      <c r="O13" s="378" t="s">
        <v>395</v>
      </c>
      <c r="P13" s="378" t="s">
        <v>396</v>
      </c>
      <c r="Q13" s="378"/>
      <c r="R13" s="378"/>
      <c r="S13" s="378"/>
      <c r="T13" s="306"/>
      <c r="U13" s="306"/>
      <c r="V13" s="306"/>
      <c r="W13" s="306"/>
    </row>
    <row r="14" spans="1:23" s="19" customFormat="1">
      <c r="A14" s="14"/>
      <c r="B14" s="97"/>
      <c r="C14" s="21"/>
      <c r="D14" s="18"/>
      <c r="E14" s="18"/>
      <c r="F14" s="18"/>
      <c r="G14" s="18"/>
      <c r="H14" s="17"/>
      <c r="I14" s="17"/>
      <c r="J14" s="17"/>
      <c r="K14" s="39"/>
      <c r="L14" s="39"/>
      <c r="M14" s="39"/>
      <c r="N14" s="39"/>
      <c r="O14" s="152"/>
      <c r="P14" s="152"/>
      <c r="Q14" s="152"/>
      <c r="R14" s="152"/>
      <c r="S14" s="152"/>
      <c r="T14" s="85"/>
      <c r="U14" s="85"/>
      <c r="V14" s="85"/>
      <c r="W14" s="85"/>
    </row>
    <row r="15" spans="1:23" s="5" customFormat="1">
      <c r="A15" s="370" t="str">
        <f>'1-συμβολαια'!A15</f>
        <v>6ο</v>
      </c>
      <c r="B15" s="375" t="str">
        <f>'1-συμβολαια'!C15</f>
        <v>υποθήκης 2ου   κύρου ;;;???;;;δρχ …..ΕΞΑΛΕΙΨΗ</v>
      </c>
      <c r="C15" s="376">
        <f>'1-συμβολαια'!D15</f>
        <v>0</v>
      </c>
      <c r="D15" s="366">
        <v>12</v>
      </c>
      <c r="E15" s="366"/>
      <c r="F15" s="366">
        <f t="shared" si="0"/>
        <v>0</v>
      </c>
      <c r="G15" s="366">
        <f t="shared" si="1"/>
        <v>12</v>
      </c>
      <c r="H15" s="367">
        <f t="shared" si="2"/>
        <v>0</v>
      </c>
      <c r="I15" s="367">
        <f t="shared" si="3"/>
        <v>0.60000000000000009</v>
      </c>
      <c r="J15" s="367">
        <f t="shared" si="4"/>
        <v>0.60000000000000009</v>
      </c>
      <c r="K15" s="377">
        <f t="shared" si="5"/>
        <v>0.12</v>
      </c>
      <c r="L15" s="377">
        <f t="shared" si="6"/>
        <v>10.68</v>
      </c>
      <c r="M15" s="377">
        <f t="shared" si="7"/>
        <v>12</v>
      </c>
      <c r="N15" s="377">
        <f t="shared" si="8"/>
        <v>1.3200000000000003</v>
      </c>
      <c r="O15" s="378" t="s">
        <v>395</v>
      </c>
      <c r="P15" s="378" t="s">
        <v>396</v>
      </c>
      <c r="Q15" s="378"/>
      <c r="R15" s="378"/>
      <c r="S15" s="378"/>
      <c r="T15" s="306"/>
      <c r="U15" s="306"/>
      <c r="V15" s="306"/>
      <c r="W15" s="306"/>
    </row>
    <row r="16" spans="1:23" s="5" customFormat="1">
      <c r="A16" s="370">
        <f>'1-συμβολαια'!A16</f>
        <v>0</v>
      </c>
      <c r="B16" s="375" t="str">
        <f>'1-συμβολαια'!C16</f>
        <v>δανείου 2ου   κύρου 7000.000δρχ …..ΕΞΟΦΛΗΣΗ</v>
      </c>
      <c r="C16" s="376">
        <f>'1-συμβολαια'!D16</f>
        <v>0</v>
      </c>
      <c r="D16" s="366">
        <v>12</v>
      </c>
      <c r="E16" s="366"/>
      <c r="F16" s="366"/>
      <c r="G16" s="366">
        <f t="shared" si="1"/>
        <v>12</v>
      </c>
      <c r="H16" s="367">
        <f t="shared" si="2"/>
        <v>0</v>
      </c>
      <c r="I16" s="367">
        <f t="shared" si="3"/>
        <v>0.60000000000000009</v>
      </c>
      <c r="J16" s="367">
        <f t="shared" si="4"/>
        <v>0.60000000000000009</v>
      </c>
      <c r="K16" s="377">
        <f t="shared" si="5"/>
        <v>0.12</v>
      </c>
      <c r="L16" s="377">
        <f t="shared" si="6"/>
        <v>10.68</v>
      </c>
      <c r="M16" s="377">
        <f t="shared" si="7"/>
        <v>12</v>
      </c>
      <c r="N16" s="377">
        <f t="shared" si="8"/>
        <v>1.3200000000000003</v>
      </c>
      <c r="O16" s="378"/>
      <c r="P16" s="378"/>
      <c r="Q16" s="378"/>
      <c r="R16" s="378"/>
      <c r="S16" s="378"/>
      <c r="T16" s="306"/>
      <c r="U16" s="306"/>
      <c r="V16" s="306"/>
      <c r="W16" s="306"/>
    </row>
    <row r="17" spans="1:23" s="5" customFormat="1">
      <c r="A17" s="370">
        <f>'1-συμβολαια'!A17</f>
        <v>0</v>
      </c>
      <c r="B17" s="375" t="str">
        <f>'1-συμβολαια'!C17</f>
        <v>δανείου 2ου    κύρου …. ΤΟΚΟΙ {προπληρωθέντες VS υπερβάλλοντες}</v>
      </c>
      <c r="C17" s="376">
        <f>'1-συμβολαια'!D17</f>
        <v>444.44</v>
      </c>
      <c r="D17" s="366"/>
      <c r="E17" s="366">
        <v>12</v>
      </c>
      <c r="F17" s="366">
        <f t="shared" si="0"/>
        <v>5.3332800000000002</v>
      </c>
      <c r="G17" s="366">
        <f t="shared" si="1"/>
        <v>17.333280000000002</v>
      </c>
      <c r="H17" s="367">
        <f t="shared" si="2"/>
        <v>0.47999520000000001</v>
      </c>
      <c r="I17" s="367">
        <f t="shared" si="3"/>
        <v>0.60000000000000009</v>
      </c>
      <c r="J17" s="367">
        <f t="shared" si="4"/>
        <v>0.8666640000000001</v>
      </c>
      <c r="K17" s="377">
        <f t="shared" si="5"/>
        <v>0.17333280000000004</v>
      </c>
      <c r="L17" s="377">
        <f t="shared" si="6"/>
        <v>15.213288000000002</v>
      </c>
      <c r="M17" s="377">
        <f t="shared" si="7"/>
        <v>12</v>
      </c>
      <c r="N17" s="377">
        <f t="shared" si="8"/>
        <v>2.1199920000000003</v>
      </c>
      <c r="O17" s="378" t="s">
        <v>395</v>
      </c>
      <c r="P17" s="378" t="s">
        <v>396</v>
      </c>
      <c r="Q17" s="378"/>
      <c r="R17" s="378"/>
      <c r="S17" s="378"/>
      <c r="T17" s="306"/>
      <c r="U17" s="306"/>
      <c r="V17" s="306"/>
      <c r="W17" s="306"/>
    </row>
    <row r="18" spans="1:23" s="19" customFormat="1">
      <c r="A18" s="14"/>
      <c r="B18" s="97"/>
      <c r="C18" s="21"/>
      <c r="D18" s="18"/>
      <c r="E18" s="18"/>
      <c r="F18" s="18"/>
      <c r="G18" s="18"/>
      <c r="H18" s="17"/>
      <c r="I18" s="17"/>
      <c r="J18" s="17"/>
      <c r="K18" s="39"/>
      <c r="L18" s="39"/>
      <c r="M18" s="39"/>
      <c r="N18" s="39"/>
      <c r="O18" s="152"/>
      <c r="P18" s="152"/>
      <c r="Q18" s="152"/>
      <c r="R18" s="152"/>
      <c r="S18" s="152"/>
      <c r="T18" s="85"/>
      <c r="U18" s="85"/>
      <c r="V18" s="85"/>
      <c r="W18" s="85"/>
    </row>
    <row r="19" spans="1:23" s="5" customFormat="1">
      <c r="A19" s="370" t="str">
        <f>'1-συμβολαια'!A19</f>
        <v>7ο</v>
      </c>
      <c r="B19" s="375" t="str">
        <f>'1-συμβολαια'!C19</f>
        <v>υποθήκης ???? 2.168.354δρχ …. ΕΞΑΛΕΙΨΗ</v>
      </c>
      <c r="C19" s="376">
        <f>'1-συμβολαια'!D19</f>
        <v>6363.47</v>
      </c>
      <c r="D19" s="366"/>
      <c r="E19" s="366">
        <v>12</v>
      </c>
      <c r="F19" s="366">
        <f t="shared" si="0"/>
        <v>76.361640000000008</v>
      </c>
      <c r="G19" s="366">
        <f t="shared" si="1"/>
        <v>88.361640000000008</v>
      </c>
      <c r="H19" s="367">
        <f t="shared" si="2"/>
        <v>6.8725476000000008</v>
      </c>
      <c r="I19" s="367">
        <f t="shared" si="3"/>
        <v>0.60000000000000009</v>
      </c>
      <c r="J19" s="367">
        <f t="shared" si="4"/>
        <v>4.418082000000001</v>
      </c>
      <c r="K19" s="377">
        <f t="shared" si="5"/>
        <v>0.88361640000000008</v>
      </c>
      <c r="L19" s="377">
        <f t="shared" si="6"/>
        <v>75.587394000000003</v>
      </c>
      <c r="M19" s="377">
        <f t="shared" si="7"/>
        <v>12</v>
      </c>
      <c r="N19" s="377">
        <f t="shared" si="8"/>
        <v>12.774246</v>
      </c>
      <c r="O19" s="378" t="s">
        <v>395</v>
      </c>
      <c r="P19" s="378" t="s">
        <v>396</v>
      </c>
      <c r="Q19" s="378"/>
      <c r="R19" s="378"/>
      <c r="S19" s="378"/>
      <c r="T19" s="306"/>
      <c r="U19" s="306"/>
      <c r="V19" s="306"/>
      <c r="W19" s="306"/>
    </row>
    <row r="20" spans="1:23" s="5" customFormat="1">
      <c r="A20" s="370">
        <f>'1-συμβολαια'!A20</f>
        <v>0</v>
      </c>
      <c r="B20" s="375" t="str">
        <f>'1-συμβολαια'!C20</f>
        <v>δανείου ??? 2.168.354δρχ ….. ΕΞΟΦΛΗΣΗ</v>
      </c>
      <c r="C20" s="376">
        <f>'1-συμβολαια'!D20</f>
        <v>6363.47</v>
      </c>
      <c r="D20" s="366"/>
      <c r="E20" s="366">
        <v>12</v>
      </c>
      <c r="F20" s="366">
        <f t="shared" si="0"/>
        <v>76.361640000000008</v>
      </c>
      <c r="G20" s="366">
        <f t="shared" si="1"/>
        <v>88.361640000000008</v>
      </c>
      <c r="H20" s="367">
        <f t="shared" si="2"/>
        <v>6.8725476000000008</v>
      </c>
      <c r="I20" s="367">
        <f t="shared" si="3"/>
        <v>0.60000000000000009</v>
      </c>
      <c r="J20" s="367">
        <f t="shared" si="4"/>
        <v>4.418082000000001</v>
      </c>
      <c r="K20" s="377">
        <f t="shared" si="5"/>
        <v>0.88361640000000008</v>
      </c>
      <c r="L20" s="377">
        <f t="shared" si="6"/>
        <v>75.587394000000003</v>
      </c>
      <c r="M20" s="377">
        <f t="shared" si="7"/>
        <v>12</v>
      </c>
      <c r="N20" s="377">
        <f t="shared" si="8"/>
        <v>12.774246</v>
      </c>
      <c r="O20" s="378" t="s">
        <v>395</v>
      </c>
      <c r="P20" s="378" t="s">
        <v>396</v>
      </c>
      <c r="Q20" s="378"/>
      <c r="R20" s="378"/>
      <c r="S20" s="378"/>
      <c r="T20" s="306"/>
      <c r="U20" s="306"/>
      <c r="V20" s="306"/>
      <c r="W20" s="306"/>
    </row>
    <row r="21" spans="1:23" s="5" customFormat="1">
      <c r="A21" s="370">
        <f>'1-συμβολαια'!A21</f>
        <v>0</v>
      </c>
      <c r="B21" s="375" t="str">
        <f>'1-συμβολαια'!C21</f>
        <v>δανείου ???? ΤΟΚΟΙ</v>
      </c>
      <c r="C21" s="376">
        <f>'1-συμβολαια'!D21</f>
        <v>14444.44</v>
      </c>
      <c r="D21" s="366"/>
      <c r="E21" s="366">
        <v>12</v>
      </c>
      <c r="F21" s="366">
        <f t="shared" si="0"/>
        <v>173.33328</v>
      </c>
      <c r="G21" s="366">
        <f t="shared" si="1"/>
        <v>185.33328</v>
      </c>
      <c r="H21" s="367">
        <f t="shared" si="2"/>
        <v>15.5999952</v>
      </c>
      <c r="I21" s="367">
        <f t="shared" si="3"/>
        <v>0.60000000000000009</v>
      </c>
      <c r="J21" s="367">
        <f t="shared" si="4"/>
        <v>9.2666640000000005</v>
      </c>
      <c r="K21" s="377">
        <f t="shared" si="5"/>
        <v>1.8533328</v>
      </c>
      <c r="L21" s="377">
        <f t="shared" si="6"/>
        <v>158.01328799999999</v>
      </c>
      <c r="M21" s="377">
        <f t="shared" si="7"/>
        <v>12</v>
      </c>
      <c r="N21" s="377">
        <f t="shared" si="8"/>
        <v>27.319992000000003</v>
      </c>
      <c r="O21" s="378" t="s">
        <v>395</v>
      </c>
      <c r="P21" s="378" t="s">
        <v>396</v>
      </c>
      <c r="Q21" s="378"/>
      <c r="R21" s="378"/>
      <c r="S21" s="378"/>
      <c r="T21" s="306"/>
      <c r="U21" s="306"/>
      <c r="V21" s="306"/>
      <c r="W21" s="306"/>
    </row>
    <row r="22" spans="1:23" s="19" customFormat="1">
      <c r="A22" s="14"/>
      <c r="B22" s="97"/>
      <c r="C22" s="21"/>
      <c r="D22" s="18"/>
      <c r="E22" s="18"/>
      <c r="F22" s="18"/>
      <c r="G22" s="18"/>
      <c r="H22" s="17"/>
      <c r="I22" s="17"/>
      <c r="J22" s="17"/>
      <c r="K22" s="39"/>
      <c r="L22" s="39"/>
      <c r="M22" s="39"/>
      <c r="N22" s="39"/>
      <c r="O22" s="152"/>
      <c r="P22" s="152"/>
      <c r="Q22" s="152"/>
      <c r="R22" s="152"/>
      <c r="S22" s="152"/>
      <c r="T22" s="85"/>
      <c r="U22" s="85"/>
      <c r="V22" s="85"/>
      <c r="W22" s="85"/>
    </row>
    <row r="23" spans="1:23" s="5" customFormat="1">
      <c r="A23" s="442">
        <f>'1-συμβολαια'!A23</f>
        <v>0</v>
      </c>
      <c r="B23" s="375" t="str">
        <f>'1-συμβολαια'!C23</f>
        <v>'του πλήρωσα ΚΑΙ τους φόρους''</v>
      </c>
      <c r="C23" s="376">
        <f>'1-συμβολαια'!D23</f>
        <v>111</v>
      </c>
      <c r="D23" s="366"/>
      <c r="E23" s="366"/>
      <c r="F23" s="366"/>
      <c r="G23" s="366"/>
      <c r="H23" s="367"/>
      <c r="I23" s="367"/>
      <c r="J23" s="367"/>
      <c r="K23" s="377"/>
      <c r="L23" s="377"/>
      <c r="M23" s="377"/>
      <c r="N23" s="377"/>
      <c r="O23" s="378"/>
      <c r="P23" s="378"/>
      <c r="Q23" s="378"/>
      <c r="R23" s="378"/>
      <c r="S23" s="378"/>
      <c r="T23" s="306"/>
      <c r="U23" s="306"/>
      <c r="V23" s="306"/>
      <c r="W23" s="306"/>
    </row>
    <row r="24" spans="1:23">
      <c r="A24" s="504" t="s">
        <v>56</v>
      </c>
      <c r="B24" s="505"/>
      <c r="C24" s="505"/>
      <c r="D24" s="41">
        <f t="shared" ref="D24:N24" si="9">SUM(D3:D23)</f>
        <v>48</v>
      </c>
      <c r="E24" s="41">
        <f t="shared" si="9"/>
        <v>132</v>
      </c>
      <c r="F24" s="41">
        <f t="shared" si="9"/>
        <v>2904.9955200000004</v>
      </c>
      <c r="G24" s="41">
        <f t="shared" si="9"/>
        <v>3084.9955200000004</v>
      </c>
      <c r="H24" s="41">
        <f t="shared" si="9"/>
        <v>261.44959679999999</v>
      </c>
      <c r="I24" s="41">
        <f t="shared" si="9"/>
        <v>8.9999999999999982</v>
      </c>
      <c r="J24" s="41">
        <f t="shared" si="9"/>
        <v>154.249776</v>
      </c>
      <c r="K24" s="41">
        <f t="shared" si="9"/>
        <v>30.849955200000011</v>
      </c>
      <c r="L24" s="41">
        <f t="shared" si="9"/>
        <v>2629.4461919999999</v>
      </c>
      <c r="M24" s="41">
        <f t="shared" si="9"/>
        <v>180</v>
      </c>
      <c r="N24" s="41">
        <f t="shared" si="9"/>
        <v>455.54932800000006</v>
      </c>
    </row>
    <row r="25" spans="1:23">
      <c r="K25" s="8"/>
      <c r="O25" s="153"/>
      <c r="P25" s="153"/>
      <c r="Q25" s="153"/>
      <c r="R25" s="153"/>
      <c r="S25" s="153"/>
      <c r="T25" s="153"/>
      <c r="U25" s="153"/>
      <c r="V25" s="153"/>
    </row>
    <row r="26" spans="1:23">
      <c r="K26" s="8"/>
      <c r="O26" s="187" t="s">
        <v>381</v>
      </c>
      <c r="P26" s="153"/>
      <c r="Q26" s="153"/>
      <c r="R26" s="153"/>
      <c r="S26" s="153"/>
      <c r="T26" s="153"/>
      <c r="U26" s="153"/>
      <c r="V26" s="161"/>
    </row>
    <row r="27" spans="1:23">
      <c r="O27" s="161"/>
      <c r="P27" s="153" t="s">
        <v>382</v>
      </c>
      <c r="Q27" s="161"/>
      <c r="R27" s="161"/>
      <c r="S27" s="161"/>
      <c r="T27" s="161"/>
      <c r="U27" s="161"/>
      <c r="V27" s="161"/>
    </row>
    <row r="28" spans="1:23">
      <c r="O28" s="161"/>
      <c r="P28" s="161"/>
      <c r="Q28" s="153" t="s">
        <v>383</v>
      </c>
      <c r="R28" s="161"/>
      <c r="S28" s="161"/>
      <c r="T28" s="161"/>
      <c r="U28" s="161"/>
      <c r="V28" s="161"/>
    </row>
    <row r="29" spans="1:23">
      <c r="O29" s="161"/>
      <c r="P29" s="153"/>
      <c r="Q29" s="161"/>
      <c r="R29" s="187" t="s">
        <v>384</v>
      </c>
      <c r="S29" s="161"/>
      <c r="T29" s="153"/>
      <c r="U29" s="153"/>
      <c r="V29" s="153"/>
      <c r="W29" s="153"/>
    </row>
    <row r="30" spans="1:23">
      <c r="O30" s="161"/>
      <c r="P30" s="153"/>
      <c r="Q30" s="161"/>
      <c r="R30" s="161"/>
      <c r="S30" s="153" t="s">
        <v>385</v>
      </c>
      <c r="T30" s="153"/>
      <c r="U30" s="153"/>
      <c r="V30" s="153"/>
      <c r="W30" s="161"/>
    </row>
    <row r="31" spans="1:23" ht="15.75">
      <c r="B31" s="327" t="s">
        <v>460</v>
      </c>
      <c r="C31" s="327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4"/>
      <c r="O31" s="164"/>
      <c r="P31" s="164"/>
      <c r="Q31" s="164"/>
      <c r="R31" s="161"/>
      <c r="S31" s="161"/>
      <c r="T31" s="161"/>
      <c r="U31" s="161"/>
      <c r="V31" s="161"/>
      <c r="W31" s="161"/>
    </row>
    <row r="32" spans="1:23" ht="15.75">
      <c r="B32" s="164"/>
      <c r="C32" s="331" t="s">
        <v>461</v>
      </c>
      <c r="D32" s="331"/>
      <c r="E32" s="331"/>
      <c r="F32" s="332"/>
      <c r="G32" s="332"/>
      <c r="H32" s="332"/>
      <c r="I32" s="332"/>
      <c r="J32" s="332"/>
      <c r="K32" s="332"/>
      <c r="L32" s="332"/>
      <c r="M32" s="332"/>
      <c r="N32" s="332"/>
      <c r="O32" s="332"/>
      <c r="P32" s="332"/>
      <c r="Q32" s="332"/>
    </row>
    <row r="33" spans="2:21" ht="15.75">
      <c r="B33" s="333"/>
      <c r="C33" s="334"/>
      <c r="D33" s="335" t="s">
        <v>462</v>
      </c>
      <c r="E33" s="335"/>
      <c r="F33" s="335"/>
      <c r="G33" s="336"/>
      <c r="H33" s="336"/>
      <c r="I33" s="336"/>
      <c r="J33" s="336"/>
      <c r="K33" s="336"/>
      <c r="L33" s="336"/>
      <c r="M33" s="373">
        <v>0.05</v>
      </c>
      <c r="N33" s="371"/>
      <c r="O33" s="464">
        <v>0.73</v>
      </c>
      <c r="P33" s="372" t="s">
        <v>134</v>
      </c>
      <c r="Q33" s="372"/>
    </row>
    <row r="34" spans="2:21" ht="15.75">
      <c r="B34" s="333"/>
      <c r="C34" s="334"/>
      <c r="D34" s="334"/>
      <c r="E34" s="334"/>
      <c r="F34" s="334"/>
      <c r="G34" s="334"/>
      <c r="H34" s="338"/>
      <c r="I34" s="338"/>
      <c r="J34" s="338"/>
      <c r="K34" s="338"/>
      <c r="L34" s="64"/>
      <c r="M34" s="373">
        <v>0.05</v>
      </c>
      <c r="N34" s="371"/>
      <c r="O34" s="464">
        <v>1.83</v>
      </c>
      <c r="P34" s="372" t="s">
        <v>391</v>
      </c>
      <c r="Q34" s="372"/>
    </row>
    <row r="35" spans="2:21" ht="15.75">
      <c r="B35" s="333"/>
      <c r="C35" s="257" t="s">
        <v>61</v>
      </c>
      <c r="D35" s="257"/>
      <c r="E35" s="332"/>
      <c r="F35" s="338"/>
      <c r="G35" s="338"/>
      <c r="H35" s="338"/>
      <c r="I35" s="339"/>
      <c r="J35" s="334"/>
      <c r="K35" s="334"/>
      <c r="L35" s="338"/>
      <c r="M35" s="373">
        <v>0.05</v>
      </c>
      <c r="N35" s="371"/>
      <c r="O35" s="464">
        <v>3.7</v>
      </c>
      <c r="P35" s="372" t="s">
        <v>392</v>
      </c>
      <c r="Q35" s="372"/>
    </row>
    <row r="36" spans="2:21" ht="15.75">
      <c r="B36" s="333"/>
      <c r="C36" s="334"/>
      <c r="D36" s="249" t="s">
        <v>463</v>
      </c>
      <c r="E36" s="249"/>
      <c r="F36" s="340"/>
      <c r="G36" s="340"/>
      <c r="H36" s="340"/>
      <c r="I36" s="340"/>
      <c r="J36" s="340"/>
      <c r="K36" s="340"/>
      <c r="L36" s="332"/>
      <c r="M36" s="373">
        <v>0.05</v>
      </c>
      <c r="N36" s="371"/>
      <c r="O36" s="233"/>
      <c r="P36" s="372" t="s">
        <v>442</v>
      </c>
      <c r="Q36" s="372"/>
    </row>
    <row r="37" spans="2:21" ht="15.75">
      <c r="B37" s="333"/>
      <c r="C37" s="334"/>
      <c r="D37" s="250" t="s">
        <v>464</v>
      </c>
      <c r="E37" s="250"/>
      <c r="F37" s="338"/>
      <c r="G37" s="340"/>
      <c r="H37" s="340"/>
      <c r="I37" s="340"/>
      <c r="J37" s="340"/>
      <c r="K37" s="340"/>
      <c r="L37" s="340"/>
      <c r="M37" s="373">
        <v>0.05</v>
      </c>
      <c r="N37" s="371"/>
      <c r="O37" s="233"/>
      <c r="P37" s="372" t="s">
        <v>443</v>
      </c>
      <c r="Q37" s="372"/>
      <c r="R37" s="3"/>
      <c r="S37" s="3"/>
      <c r="T37" s="3"/>
      <c r="U37" s="3"/>
    </row>
    <row r="38" spans="2:21" ht="15.75">
      <c r="B38" s="333"/>
      <c r="C38" s="334"/>
      <c r="D38" s="250" t="s">
        <v>465</v>
      </c>
      <c r="E38" s="250"/>
      <c r="F38" s="338"/>
      <c r="G38" s="338"/>
      <c r="H38" s="334"/>
      <c r="I38" s="338"/>
      <c r="J38" s="338"/>
      <c r="K38" s="338"/>
      <c r="L38" s="341"/>
      <c r="M38" s="373"/>
      <c r="N38" s="371"/>
      <c r="O38" s="233"/>
      <c r="P38" s="372"/>
      <c r="Q38" s="372"/>
      <c r="R38" s="3"/>
      <c r="S38" s="3"/>
      <c r="T38" s="3"/>
      <c r="U38" s="3"/>
    </row>
    <row r="39" spans="2:21" ht="15.75">
      <c r="B39" s="333"/>
      <c r="C39" s="334"/>
      <c r="D39" s="251" t="s">
        <v>388</v>
      </c>
      <c r="E39" s="334"/>
      <c r="F39" s="334"/>
      <c r="G39" s="334"/>
      <c r="H39" s="334"/>
      <c r="I39" s="334"/>
      <c r="J39" s="334"/>
      <c r="K39" s="334"/>
      <c r="L39" s="334"/>
      <c r="M39" s="233"/>
      <c r="N39" s="463" t="s">
        <v>502</v>
      </c>
      <c r="O39" s="372"/>
      <c r="P39" s="372" t="s">
        <v>134</v>
      </c>
      <c r="Q39" s="372"/>
      <c r="R39" s="3"/>
      <c r="S39" s="3"/>
      <c r="T39" s="3"/>
      <c r="U39" s="3"/>
    </row>
    <row r="40" spans="2:21">
      <c r="M40" s="233"/>
      <c r="N40" s="463" t="s">
        <v>504</v>
      </c>
      <c r="O40" s="372"/>
      <c r="P40" s="372" t="s">
        <v>135</v>
      </c>
      <c r="Q40" s="372"/>
    </row>
    <row r="41" spans="2:21">
      <c r="M41" s="233"/>
      <c r="N41" s="463" t="s">
        <v>503</v>
      </c>
      <c r="O41" s="372"/>
      <c r="P41" s="372" t="s">
        <v>136</v>
      </c>
      <c r="Q41" s="372"/>
    </row>
    <row r="42" spans="2:21" ht="15">
      <c r="M42" s="233"/>
      <c r="N42" s="464">
        <v>2.5</v>
      </c>
      <c r="O42" s="374"/>
      <c r="P42" s="372" t="s">
        <v>393</v>
      </c>
      <c r="Q42" s="372"/>
    </row>
    <row r="43" spans="2:21" ht="15">
      <c r="D43" s="2"/>
      <c r="M43" s="233"/>
      <c r="N43" s="464">
        <v>3.7</v>
      </c>
      <c r="O43" s="374"/>
      <c r="P43" s="372" t="s">
        <v>394</v>
      </c>
      <c r="Q43" s="372"/>
    </row>
    <row r="44" spans="2:21" ht="15">
      <c r="O44" s="253"/>
      <c r="P44" s="343"/>
      <c r="Q44" s="3"/>
    </row>
    <row r="45" spans="2:21">
      <c r="B45" s="256"/>
    </row>
    <row r="46" spans="2:21">
      <c r="B46" s="255"/>
    </row>
    <row r="47" spans="2:21" ht="15">
      <c r="B47" s="155"/>
      <c r="C47" s="4"/>
      <c r="D47" s="61"/>
      <c r="E47" s="4"/>
      <c r="F47" s="4"/>
      <c r="G47" s="61"/>
      <c r="H47" s="61"/>
      <c r="I47" s="61"/>
      <c r="J47" s="61"/>
      <c r="N47" s="8"/>
      <c r="O47" s="342"/>
      <c r="P47" s="5"/>
    </row>
    <row r="48" spans="2:21">
      <c r="B48" s="156"/>
      <c r="C48" s="4"/>
      <c r="D48" s="61"/>
      <c r="E48" s="4"/>
      <c r="F48" s="4"/>
      <c r="G48" s="61"/>
      <c r="H48" s="61"/>
      <c r="I48" s="61"/>
      <c r="J48" s="61"/>
      <c r="N48" s="8"/>
      <c r="O48" s="5"/>
      <c r="P48" s="5"/>
    </row>
    <row r="49" spans="2:16">
      <c r="B49" s="99"/>
      <c r="C49" s="4"/>
      <c r="D49" s="61"/>
      <c r="E49" s="4"/>
      <c r="F49" s="4"/>
      <c r="G49" s="61"/>
      <c r="H49" s="61"/>
      <c r="I49" s="61"/>
      <c r="J49" s="61"/>
      <c r="N49" s="8"/>
      <c r="O49" s="5"/>
      <c r="P49" s="5"/>
    </row>
    <row r="50" spans="2:16">
      <c r="N50" s="8"/>
      <c r="O50" s="5"/>
      <c r="P50" s="5"/>
    </row>
    <row r="51" spans="2:16">
      <c r="N51" s="8"/>
      <c r="O51" s="5"/>
      <c r="P51" s="5"/>
    </row>
  </sheetData>
  <mergeCells count="8">
    <mergeCell ref="O1:W2"/>
    <mergeCell ref="D1:K1"/>
    <mergeCell ref="A24:C24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7"/>
  <sheetViews>
    <sheetView workbookViewId="0">
      <pane ySplit="2" topLeftCell="A3" activePane="bottomLeft" state="frozen"/>
      <selection pane="bottomLeft" activeCell="B37" sqref="B37"/>
    </sheetView>
  </sheetViews>
  <sheetFormatPr defaultRowHeight="11.25"/>
  <cols>
    <col min="1" max="1" width="11.5703125" style="3" bestFit="1" customWidth="1"/>
    <col min="2" max="2" width="87.7109375" style="96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0.42578125" style="2" bestFit="1" customWidth="1"/>
    <col min="7" max="7" width="10.28515625" style="2" bestFit="1" customWidth="1"/>
    <col min="8" max="8" width="6.28515625" style="86" customWidth="1"/>
    <col min="9" max="12" width="5.5703125" style="86" customWidth="1"/>
    <col min="13" max="13" width="19.7109375" style="86" customWidth="1"/>
    <col min="14" max="14" width="19.7109375" style="86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2" customFormat="1" ht="15.75">
      <c r="A1" s="549" t="s">
        <v>1</v>
      </c>
      <c r="B1" s="555" t="s">
        <v>0</v>
      </c>
      <c r="C1" s="557" t="s">
        <v>85</v>
      </c>
      <c r="D1" s="551" t="s">
        <v>3</v>
      </c>
      <c r="E1" s="552"/>
      <c r="F1" s="553" t="s">
        <v>509</v>
      </c>
      <c r="G1" s="554"/>
      <c r="H1" s="540" t="s">
        <v>29</v>
      </c>
      <c r="I1" s="541"/>
      <c r="J1" s="541"/>
      <c r="K1" s="541"/>
      <c r="L1" s="541"/>
      <c r="M1" s="541"/>
      <c r="N1" s="542"/>
    </row>
    <row r="2" spans="1:14" s="9" customFormat="1" ht="16.5" thickBot="1">
      <c r="A2" s="550"/>
      <c r="B2" s="556"/>
      <c r="C2" s="558"/>
      <c r="D2" s="51"/>
      <c r="E2" s="62" t="s">
        <v>9</v>
      </c>
      <c r="F2" s="344"/>
      <c r="G2" s="117" t="s">
        <v>9</v>
      </c>
      <c r="H2" s="543"/>
      <c r="I2" s="544"/>
      <c r="J2" s="544"/>
      <c r="K2" s="544"/>
      <c r="L2" s="544"/>
      <c r="M2" s="544"/>
      <c r="N2" s="545"/>
    </row>
    <row r="3" spans="1:14" s="160" customFormat="1" ht="15">
      <c r="A3" s="390" t="str">
        <f>'1-συμβολαια'!A3</f>
        <v>3ο</v>
      </c>
      <c r="B3" s="379" t="str">
        <f>'1-συμβολαια'!C3</f>
        <v>υποθήκης ????  5.495.705δρχ ΕΞΑΛΕΙΨΗ</v>
      </c>
      <c r="C3" s="380">
        <f>'1-συμβολαια'!D3</f>
        <v>16128.26</v>
      </c>
      <c r="D3" s="381">
        <v>2</v>
      </c>
      <c r="E3" s="381">
        <v>2</v>
      </c>
      <c r="F3" s="382">
        <f t="shared" ref="F3:G21" si="0">(D3-1)*4</f>
        <v>4</v>
      </c>
      <c r="G3" s="382">
        <f t="shared" si="0"/>
        <v>4</v>
      </c>
      <c r="H3" s="378"/>
      <c r="I3" s="378"/>
      <c r="J3" s="378"/>
      <c r="K3" s="383"/>
      <c r="L3" s="383"/>
      <c r="M3" s="383"/>
      <c r="N3" s="383"/>
    </row>
    <row r="4" spans="1:14" s="160" customFormat="1" ht="15">
      <c r="A4" s="390">
        <f>'1-συμβολαια'!A4</f>
        <v>0</v>
      </c>
      <c r="B4" s="379" t="str">
        <f>'1-συμβολαια'!C4</f>
        <v>δανείου ??? 5.495.700 δρχ …. ΕΞΟΦΛΗΣΗ</v>
      </c>
      <c r="C4" s="380">
        <f>'1-συμβολαια'!D4</f>
        <v>16128.26</v>
      </c>
      <c r="D4" s="381">
        <v>2</v>
      </c>
      <c r="E4" s="381"/>
      <c r="F4" s="382">
        <f t="shared" si="0"/>
        <v>4</v>
      </c>
      <c r="G4" s="382"/>
      <c r="H4" s="378" t="s">
        <v>232</v>
      </c>
      <c r="I4" s="378" t="s">
        <v>137</v>
      </c>
      <c r="J4" s="378"/>
      <c r="K4" s="383"/>
      <c r="L4" s="383"/>
      <c r="M4" s="383"/>
      <c r="N4" s="383"/>
    </row>
    <row r="5" spans="1:14" s="160" customFormat="1" ht="15">
      <c r="A5" s="390">
        <f>'1-συμβολαια'!A5</f>
        <v>0</v>
      </c>
      <c r="B5" s="379" t="str">
        <f>'1-συμβολαια'!C5</f>
        <v>δανείου ???? ΤΟΚΟΙ</v>
      </c>
      <c r="C5" s="380">
        <f>'1-συμβολαια'!D5</f>
        <v>33333.33</v>
      </c>
      <c r="D5" s="381">
        <v>2</v>
      </c>
      <c r="E5" s="381"/>
      <c r="F5" s="382">
        <f t="shared" si="0"/>
        <v>4</v>
      </c>
      <c r="G5" s="382"/>
      <c r="H5" s="378" t="s">
        <v>232</v>
      </c>
      <c r="I5" s="378" t="s">
        <v>137</v>
      </c>
      <c r="J5" s="378"/>
      <c r="K5" s="383"/>
      <c r="L5" s="383"/>
      <c r="M5" s="383"/>
      <c r="N5" s="383"/>
    </row>
    <row r="6" spans="1:14" s="160" customFormat="1" ht="15">
      <c r="A6" s="106"/>
      <c r="B6" s="111"/>
      <c r="C6" s="115"/>
      <c r="D6" s="114"/>
      <c r="E6" s="114"/>
      <c r="F6" s="107"/>
      <c r="G6" s="107"/>
      <c r="H6" s="152"/>
      <c r="I6" s="152"/>
      <c r="J6" s="152"/>
      <c r="K6" s="113"/>
      <c r="L6" s="113"/>
      <c r="M6" s="113"/>
      <c r="N6" s="113"/>
    </row>
    <row r="7" spans="1:14" s="160" customFormat="1" ht="15">
      <c r="A7" s="390" t="str">
        <f>'1-συμβολαια'!A7</f>
        <v>4ο</v>
      </c>
      <c r="B7" s="379" t="str">
        <f>'1-συμβολαια'!C7</f>
        <v>υποθήκης ???? 12.000.000δρχ ΕΞΑΛΕΙΨΗ</v>
      </c>
      <c r="C7" s="380">
        <f>'1-συμβολαια'!D7</f>
        <v>35216.43</v>
      </c>
      <c r="D7" s="381">
        <v>2</v>
      </c>
      <c r="E7" s="381">
        <v>2</v>
      </c>
      <c r="F7" s="382">
        <f t="shared" si="0"/>
        <v>4</v>
      </c>
      <c r="G7" s="382">
        <f t="shared" si="0"/>
        <v>4</v>
      </c>
      <c r="H7" s="378"/>
      <c r="I7" s="378"/>
      <c r="J7" s="378"/>
      <c r="K7" s="383"/>
      <c r="L7" s="383"/>
      <c r="M7" s="383"/>
      <c r="N7" s="383"/>
    </row>
    <row r="8" spans="1:14" s="160" customFormat="1" ht="15">
      <c r="A8" s="390">
        <f>'1-συμβολαια'!A8</f>
        <v>0</v>
      </c>
      <c r="B8" s="379" t="str">
        <f>'1-συμβολαια'!C8</f>
        <v>δανείου ??? 12.000.000δρχ …. ΕΞΟΦΛΗΣΗ</v>
      </c>
      <c r="C8" s="380">
        <f>'1-συμβολαια'!D8</f>
        <v>35216.43</v>
      </c>
      <c r="D8" s="381">
        <v>2</v>
      </c>
      <c r="E8" s="381"/>
      <c r="F8" s="382">
        <f t="shared" si="0"/>
        <v>4</v>
      </c>
      <c r="G8" s="382"/>
      <c r="H8" s="378" t="s">
        <v>232</v>
      </c>
      <c r="I8" s="378" t="s">
        <v>137</v>
      </c>
      <c r="J8" s="378"/>
      <c r="K8" s="383"/>
      <c r="L8" s="383"/>
      <c r="M8" s="383"/>
      <c r="N8" s="383"/>
    </row>
    <row r="9" spans="1:14" s="160" customFormat="1" ht="15">
      <c r="A9" s="390">
        <f>'1-συμβολαια'!A9</f>
        <v>0</v>
      </c>
      <c r="B9" s="379" t="str">
        <f>'1-συμβολαια'!C9</f>
        <v>δανείου ???? ΤΟΚΟΙ</v>
      </c>
      <c r="C9" s="380">
        <f>'1-συμβολαια'!D9</f>
        <v>77777.77</v>
      </c>
      <c r="D9" s="381">
        <v>2</v>
      </c>
      <c r="E9" s="381"/>
      <c r="F9" s="382">
        <f t="shared" si="0"/>
        <v>4</v>
      </c>
      <c r="G9" s="382"/>
      <c r="H9" s="378" t="s">
        <v>232</v>
      </c>
      <c r="I9" s="378" t="s">
        <v>137</v>
      </c>
      <c r="J9" s="378"/>
      <c r="K9" s="383"/>
      <c r="L9" s="383"/>
      <c r="M9" s="383"/>
      <c r="N9" s="383"/>
    </row>
    <row r="10" spans="1:14" s="160" customFormat="1" ht="15">
      <c r="A10" s="106"/>
      <c r="B10" s="111"/>
      <c r="C10" s="115"/>
      <c r="D10" s="114"/>
      <c r="E10" s="114"/>
      <c r="F10" s="107"/>
      <c r="G10" s="107"/>
      <c r="H10" s="152"/>
      <c r="I10" s="152"/>
      <c r="J10" s="152"/>
      <c r="K10" s="113"/>
      <c r="L10" s="113"/>
      <c r="M10" s="113"/>
      <c r="N10" s="113"/>
    </row>
    <row r="11" spans="1:14" s="160" customFormat="1" ht="15">
      <c r="A11" s="390" t="str">
        <f>'1-συμβολαια'!A11</f>
        <v>5ο</v>
      </c>
      <c r="B11" s="379" t="str">
        <f>'1-συμβολαια'!C11</f>
        <v>υποθήκης 1ου   κύρου ;;;???;;;δρχ ΕΞΑΛΕΙΨΗ</v>
      </c>
      <c r="C11" s="380">
        <f>'1-συμβολαια'!D11</f>
        <v>0</v>
      </c>
      <c r="D11" s="381">
        <v>2</v>
      </c>
      <c r="E11" s="381">
        <v>2</v>
      </c>
      <c r="F11" s="382">
        <f t="shared" si="0"/>
        <v>4</v>
      </c>
      <c r="G11" s="382">
        <f t="shared" si="0"/>
        <v>4</v>
      </c>
      <c r="H11" s="378"/>
      <c r="I11" s="378"/>
      <c r="J11" s="378"/>
      <c r="K11" s="383"/>
      <c r="L11" s="383"/>
      <c r="M11" s="383"/>
      <c r="N11" s="383"/>
    </row>
    <row r="12" spans="1:14" s="160" customFormat="1" ht="15">
      <c r="A12" s="390">
        <f>'1-συμβολαια'!A12</f>
        <v>0</v>
      </c>
      <c r="B12" s="379" t="str">
        <f>'1-συμβολαια'!C12</f>
        <v>δανείου 1ου   κύρου 1.050.000δρχ ...ΕΞΟΦΛΗΣΗ</v>
      </c>
      <c r="C12" s="380">
        <f>'1-συμβολαια'!D12</f>
        <v>0</v>
      </c>
      <c r="D12" s="381">
        <v>2</v>
      </c>
      <c r="E12" s="381"/>
      <c r="F12" s="382">
        <f t="shared" si="0"/>
        <v>4</v>
      </c>
      <c r="G12" s="382"/>
      <c r="H12" s="378" t="s">
        <v>232</v>
      </c>
      <c r="I12" s="378" t="s">
        <v>137</v>
      </c>
      <c r="J12" s="378"/>
      <c r="K12" s="383"/>
      <c r="L12" s="383"/>
      <c r="M12" s="383"/>
      <c r="N12" s="383"/>
    </row>
    <row r="13" spans="1:14" s="160" customFormat="1" ht="15">
      <c r="A13" s="390">
        <f>'1-συμβολαια'!A13</f>
        <v>0</v>
      </c>
      <c r="B13" s="379" t="str">
        <f>'1-συμβολαια'!C13</f>
        <v>δανείου 1ου   κύρου ΤΟΚΟΙ {προπληρωθέντες VS υπερβάλλοντες}</v>
      </c>
      <c r="C13" s="380">
        <f>'1-συμβολαια'!D13</f>
        <v>666.66</v>
      </c>
      <c r="D13" s="381">
        <v>2</v>
      </c>
      <c r="E13" s="381"/>
      <c r="F13" s="382">
        <f t="shared" si="0"/>
        <v>4</v>
      </c>
      <c r="G13" s="382"/>
      <c r="H13" s="378" t="s">
        <v>232</v>
      </c>
      <c r="I13" s="378" t="s">
        <v>137</v>
      </c>
      <c r="J13" s="378"/>
      <c r="K13" s="383"/>
      <c r="L13" s="383"/>
      <c r="M13" s="383"/>
      <c r="N13" s="383"/>
    </row>
    <row r="14" spans="1:14" s="160" customFormat="1" ht="15">
      <c r="A14" s="106"/>
      <c r="B14" s="111"/>
      <c r="C14" s="115"/>
      <c r="D14" s="114"/>
      <c r="E14" s="114"/>
      <c r="F14" s="107"/>
      <c r="G14" s="107"/>
      <c r="H14" s="152"/>
      <c r="I14" s="152"/>
      <c r="J14" s="152"/>
      <c r="K14" s="113"/>
      <c r="L14" s="113"/>
      <c r="M14" s="113"/>
      <c r="N14" s="113"/>
    </row>
    <row r="15" spans="1:14" s="160" customFormat="1" ht="15">
      <c r="A15" s="390" t="str">
        <f>'1-συμβολαια'!A15</f>
        <v>6ο</v>
      </c>
      <c r="B15" s="379" t="str">
        <f>'1-συμβολαια'!C15</f>
        <v>υποθήκης 2ου   κύρου ;;;???;;;δρχ …..ΕΞΑΛΕΙΨΗ</v>
      </c>
      <c r="C15" s="380">
        <f>'1-συμβολαια'!D15</f>
        <v>0</v>
      </c>
      <c r="D15" s="381">
        <v>2</v>
      </c>
      <c r="E15" s="381">
        <v>2</v>
      </c>
      <c r="F15" s="382">
        <f t="shared" si="0"/>
        <v>4</v>
      </c>
      <c r="G15" s="382">
        <f t="shared" si="0"/>
        <v>4</v>
      </c>
      <c r="H15" s="378"/>
      <c r="I15" s="378"/>
      <c r="J15" s="378"/>
      <c r="K15" s="383"/>
      <c r="L15" s="383"/>
      <c r="M15" s="383"/>
      <c r="N15" s="383"/>
    </row>
    <row r="16" spans="1:14" s="160" customFormat="1" ht="15">
      <c r="A16" s="390">
        <f>'1-συμβολαια'!A16</f>
        <v>0</v>
      </c>
      <c r="B16" s="379" t="str">
        <f>'1-συμβολαια'!C16</f>
        <v>δανείου 2ου   κύρου 7000.000δρχ …..ΕΞΟΦΛΗΣΗ</v>
      </c>
      <c r="C16" s="380">
        <f>'1-συμβολαια'!D16</f>
        <v>0</v>
      </c>
      <c r="D16" s="381">
        <v>2</v>
      </c>
      <c r="E16" s="381"/>
      <c r="F16" s="382">
        <f t="shared" si="0"/>
        <v>4</v>
      </c>
      <c r="G16" s="382"/>
      <c r="H16" s="378" t="s">
        <v>232</v>
      </c>
      <c r="I16" s="378" t="s">
        <v>137</v>
      </c>
      <c r="J16" s="378"/>
      <c r="K16" s="383"/>
      <c r="L16" s="383"/>
      <c r="M16" s="383"/>
      <c r="N16" s="383"/>
    </row>
    <row r="17" spans="1:14" s="160" customFormat="1" ht="15">
      <c r="A17" s="390">
        <f>'1-συμβολαια'!A17</f>
        <v>0</v>
      </c>
      <c r="B17" s="379" t="str">
        <f>'1-συμβολαια'!C17</f>
        <v>δανείου 2ου    κύρου …. ΤΟΚΟΙ {προπληρωθέντες VS υπερβάλλοντες}</v>
      </c>
      <c r="C17" s="380">
        <f>'1-συμβολαια'!D17</f>
        <v>444.44</v>
      </c>
      <c r="D17" s="381">
        <v>2</v>
      </c>
      <c r="E17" s="381"/>
      <c r="F17" s="382">
        <f t="shared" si="0"/>
        <v>4</v>
      </c>
      <c r="G17" s="382"/>
      <c r="H17" s="378" t="s">
        <v>232</v>
      </c>
      <c r="I17" s="378" t="s">
        <v>137</v>
      </c>
      <c r="J17" s="378"/>
      <c r="K17" s="383"/>
      <c r="L17" s="383"/>
      <c r="M17" s="383"/>
      <c r="N17" s="383"/>
    </row>
    <row r="18" spans="1:14" s="160" customFormat="1" ht="15">
      <c r="A18" s="106"/>
      <c r="B18" s="111"/>
      <c r="C18" s="115"/>
      <c r="D18" s="114"/>
      <c r="E18" s="114"/>
      <c r="F18" s="107"/>
      <c r="G18" s="107"/>
      <c r="H18" s="152"/>
      <c r="I18" s="152"/>
      <c r="J18" s="152"/>
      <c r="K18" s="113"/>
      <c r="L18" s="113"/>
      <c r="M18" s="113"/>
      <c r="N18" s="113"/>
    </row>
    <row r="19" spans="1:14" s="160" customFormat="1" ht="15">
      <c r="A19" s="390" t="str">
        <f>'1-συμβολαια'!A19</f>
        <v>7ο</v>
      </c>
      <c r="B19" s="379" t="str">
        <f>'1-συμβολαια'!C19</f>
        <v>υποθήκης ???? 2.168.354δρχ …. ΕΞΑΛΕΙΨΗ</v>
      </c>
      <c r="C19" s="380">
        <f>'1-συμβολαια'!D19</f>
        <v>6363.47</v>
      </c>
      <c r="D19" s="381">
        <v>2</v>
      </c>
      <c r="E19" s="381">
        <v>2</v>
      </c>
      <c r="F19" s="382">
        <f t="shared" si="0"/>
        <v>4</v>
      </c>
      <c r="G19" s="382">
        <f t="shared" si="0"/>
        <v>4</v>
      </c>
      <c r="H19" s="378"/>
      <c r="I19" s="378"/>
      <c r="J19" s="378"/>
      <c r="K19" s="383"/>
      <c r="L19" s="383"/>
      <c r="M19" s="383"/>
      <c r="N19" s="383"/>
    </row>
    <row r="20" spans="1:14" s="160" customFormat="1" ht="15">
      <c r="A20" s="390">
        <f>'1-συμβολαια'!A20</f>
        <v>0</v>
      </c>
      <c r="B20" s="379" t="str">
        <f>'1-συμβολαια'!C20</f>
        <v>δανείου ??? 2.168.354δρχ ….. ΕΞΟΦΛΗΣΗ</v>
      </c>
      <c r="C20" s="380">
        <f>'1-συμβολαια'!D20</f>
        <v>6363.47</v>
      </c>
      <c r="D20" s="381">
        <v>2</v>
      </c>
      <c r="E20" s="381"/>
      <c r="F20" s="382">
        <f t="shared" si="0"/>
        <v>4</v>
      </c>
      <c r="G20" s="382"/>
      <c r="H20" s="378" t="s">
        <v>232</v>
      </c>
      <c r="I20" s="378" t="s">
        <v>137</v>
      </c>
      <c r="J20" s="378"/>
      <c r="K20" s="383"/>
      <c r="L20" s="383"/>
      <c r="M20" s="383"/>
      <c r="N20" s="383"/>
    </row>
    <row r="21" spans="1:14" s="160" customFormat="1" ht="15">
      <c r="A21" s="390">
        <f>'1-συμβολαια'!A21</f>
        <v>0</v>
      </c>
      <c r="B21" s="379" t="str">
        <f>'1-συμβολαια'!C21</f>
        <v>δανείου ???? ΤΟΚΟΙ</v>
      </c>
      <c r="C21" s="380">
        <f>'1-συμβολαια'!D21</f>
        <v>14444.44</v>
      </c>
      <c r="D21" s="381">
        <v>2</v>
      </c>
      <c r="E21" s="381"/>
      <c r="F21" s="382">
        <f t="shared" si="0"/>
        <v>4</v>
      </c>
      <c r="G21" s="382"/>
      <c r="H21" s="378" t="s">
        <v>232</v>
      </c>
      <c r="I21" s="378" t="s">
        <v>137</v>
      </c>
      <c r="J21" s="378"/>
      <c r="K21" s="383"/>
      <c r="L21" s="383"/>
      <c r="M21" s="383"/>
      <c r="N21" s="383"/>
    </row>
    <row r="22" spans="1:14" s="160" customFormat="1" ht="15">
      <c r="A22" s="106"/>
      <c r="B22" s="111"/>
      <c r="C22" s="115"/>
      <c r="D22" s="114"/>
      <c r="E22" s="114"/>
      <c r="F22" s="107"/>
      <c r="G22" s="107"/>
      <c r="H22" s="152"/>
      <c r="I22" s="152"/>
      <c r="J22" s="152"/>
      <c r="K22" s="113"/>
      <c r="L22" s="113"/>
      <c r="M22" s="113"/>
      <c r="N22" s="113"/>
    </row>
    <row r="23" spans="1:14" s="160" customFormat="1" ht="15">
      <c r="A23" s="447">
        <f>'1-συμβολαια'!A23</f>
        <v>0</v>
      </c>
      <c r="B23" s="379" t="str">
        <f>'1-συμβολαια'!C23</f>
        <v>'του πλήρωσα ΚΑΙ τους φόρους''</v>
      </c>
      <c r="C23" s="380">
        <f>'1-συμβολαια'!D23</f>
        <v>111</v>
      </c>
      <c r="D23" s="381"/>
      <c r="E23" s="381"/>
      <c r="F23" s="382"/>
      <c r="G23" s="382"/>
      <c r="H23" s="378"/>
      <c r="I23" s="378"/>
      <c r="J23" s="378"/>
      <c r="K23" s="383"/>
      <c r="L23" s="383"/>
      <c r="M23" s="383"/>
      <c r="N23" s="383"/>
    </row>
    <row r="24" spans="1:14" ht="15.75">
      <c r="A24" s="546" t="s">
        <v>60</v>
      </c>
      <c r="B24" s="547"/>
      <c r="C24" s="547"/>
      <c r="D24" s="547"/>
      <c r="E24" s="548"/>
      <c r="F24" s="126">
        <f>SUM(F3:F23)</f>
        <v>60</v>
      </c>
      <c r="G24" s="126">
        <f>SUM(G3:G23)</f>
        <v>20</v>
      </c>
    </row>
    <row r="25" spans="1:14" ht="15.75">
      <c r="H25" s="163" t="s">
        <v>146</v>
      </c>
      <c r="I25" s="164"/>
      <c r="J25" s="164"/>
      <c r="K25" s="164"/>
      <c r="L25" s="164"/>
      <c r="M25" s="164"/>
    </row>
    <row r="26" spans="1:14" ht="15.75">
      <c r="B26" s="348" t="s">
        <v>467</v>
      </c>
      <c r="C26" s="349"/>
      <c r="D26" s="349"/>
      <c r="E26" s="349"/>
      <c r="F26" s="349"/>
      <c r="I26" s="164" t="s">
        <v>147</v>
      </c>
      <c r="J26" s="164"/>
      <c r="K26" s="164"/>
      <c r="L26" s="164"/>
      <c r="M26" s="91"/>
    </row>
    <row r="27" spans="1:14" ht="15.75">
      <c r="B27" s="3"/>
      <c r="C27" s="257" t="s">
        <v>61</v>
      </c>
      <c r="D27" s="3"/>
      <c r="J27" s="163" t="s">
        <v>148</v>
      </c>
    </row>
  </sheetData>
  <mergeCells count="7">
    <mergeCell ref="H1:N2"/>
    <mergeCell ref="A24:E2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32"/>
  <sheetViews>
    <sheetView workbookViewId="0">
      <pane ySplit="2" topLeftCell="A3" activePane="bottomLeft" state="frozen"/>
      <selection pane="bottomLeft" activeCell="H34" sqref="H34"/>
    </sheetView>
  </sheetViews>
  <sheetFormatPr defaultRowHeight="11.25"/>
  <cols>
    <col min="1" max="1" width="10.28515625" style="8" bestFit="1" customWidth="1"/>
    <col min="2" max="2" width="52.7109375" style="98" bestFit="1" customWidth="1"/>
    <col min="3" max="3" width="7.28515625" style="8" bestFit="1" customWidth="1"/>
    <col min="4" max="4" width="20" style="8" bestFit="1" customWidth="1"/>
    <col min="5" max="5" width="10" style="8" customWidth="1"/>
    <col min="6" max="6" width="10.42578125" style="8" customWidth="1"/>
    <col min="7" max="7" width="5.85546875" style="8" bestFit="1" customWidth="1"/>
    <col min="8" max="8" width="10" style="8" bestFit="1" customWidth="1"/>
    <col min="9" max="9" width="20.42578125" style="8" customWidth="1"/>
    <col min="10" max="10" width="8.7109375" style="8" bestFit="1" customWidth="1"/>
    <col min="11" max="11" width="7.140625" style="8" customWidth="1"/>
    <col min="12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6" customWidth="1"/>
    <col min="18" max="20" width="6.7109375" style="86" customWidth="1"/>
    <col min="21" max="21" width="30.5703125" style="86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530" t="s">
        <v>1</v>
      </c>
      <c r="B1" s="532" t="s">
        <v>0</v>
      </c>
      <c r="C1" s="561" t="s">
        <v>11</v>
      </c>
      <c r="D1" s="561"/>
      <c r="E1" s="561"/>
      <c r="F1" s="561"/>
      <c r="G1" s="561"/>
      <c r="H1" s="562" t="s">
        <v>12</v>
      </c>
      <c r="I1" s="562"/>
      <c r="J1" s="562"/>
      <c r="K1" s="562"/>
      <c r="L1" s="562"/>
      <c r="M1" s="562"/>
      <c r="N1" s="562"/>
      <c r="O1" s="565" t="s">
        <v>86</v>
      </c>
      <c r="P1" s="563" t="s">
        <v>233</v>
      </c>
      <c r="Q1" s="559" t="s">
        <v>29</v>
      </c>
      <c r="R1" s="524"/>
      <c r="S1" s="524"/>
      <c r="T1" s="524"/>
      <c r="U1" s="525"/>
    </row>
    <row r="2" spans="1:21" ht="24" customHeight="1" thickBot="1">
      <c r="A2" s="531"/>
      <c r="B2" s="533"/>
      <c r="C2" s="7" t="s">
        <v>47</v>
      </c>
      <c r="D2" s="92" t="s">
        <v>48</v>
      </c>
      <c r="E2" s="92" t="s">
        <v>49</v>
      </c>
      <c r="F2" s="92" t="s">
        <v>50</v>
      </c>
      <c r="G2" s="42" t="s">
        <v>51</v>
      </c>
      <c r="H2" s="92" t="s">
        <v>47</v>
      </c>
      <c r="I2" s="92" t="s">
        <v>48</v>
      </c>
      <c r="J2" s="92" t="s">
        <v>49</v>
      </c>
      <c r="K2" s="92" t="s">
        <v>50</v>
      </c>
      <c r="L2" s="92" t="s">
        <v>51</v>
      </c>
      <c r="M2" s="92" t="s">
        <v>52</v>
      </c>
      <c r="N2" s="43" t="s">
        <v>53</v>
      </c>
      <c r="O2" s="566"/>
      <c r="P2" s="564"/>
      <c r="Q2" s="560"/>
      <c r="R2" s="526"/>
      <c r="S2" s="526"/>
      <c r="T2" s="526"/>
      <c r="U2" s="527"/>
    </row>
    <row r="3" spans="1:21" s="307" customFormat="1" ht="15">
      <c r="A3" s="390" t="str">
        <f>'1-συμβολαια'!A3</f>
        <v>3ο</v>
      </c>
      <c r="B3" s="391" t="str">
        <f>'1-συμβολαια'!C3</f>
        <v>υποθήκης ????  5.495.705δρχ ΕΞΑΛΕΙΨΗ</v>
      </c>
      <c r="C3" s="392">
        <v>1</v>
      </c>
      <c r="D3" s="308" t="s">
        <v>565</v>
      </c>
      <c r="E3" s="308"/>
      <c r="F3" s="308"/>
      <c r="G3" s="786"/>
      <c r="H3" s="308">
        <v>2</v>
      </c>
      <c r="I3" s="308" t="s">
        <v>566</v>
      </c>
      <c r="J3" s="308" t="s">
        <v>529</v>
      </c>
      <c r="K3" s="308"/>
      <c r="L3" s="308"/>
      <c r="M3" s="308"/>
      <c r="N3" s="308"/>
      <c r="O3" s="393">
        <v>1</v>
      </c>
      <c r="P3" s="382">
        <f>O3*('2-δικαιώμ'!M3+'3-φύλλα2α'!F3)</f>
        <v>16</v>
      </c>
      <c r="Q3" s="394" t="s">
        <v>153</v>
      </c>
      <c r="R3" s="394" t="s">
        <v>152</v>
      </c>
      <c r="S3" s="394"/>
      <c r="T3" s="394"/>
      <c r="U3" s="395"/>
    </row>
    <row r="4" spans="1:21" s="307" customFormat="1" ht="15">
      <c r="A4" s="390">
        <f>'1-συμβολαια'!A4</f>
        <v>0</v>
      </c>
      <c r="B4" s="391" t="str">
        <f>'1-συμβολαια'!C4</f>
        <v>δανείου ??? 5.495.700 δρχ …. ΕΞΟΦΛΗΣΗ</v>
      </c>
      <c r="C4" s="392">
        <v>1</v>
      </c>
      <c r="D4" s="308" t="s">
        <v>565</v>
      </c>
      <c r="E4" s="308"/>
      <c r="F4" s="308"/>
      <c r="G4" s="786"/>
      <c r="H4" s="308">
        <v>2</v>
      </c>
      <c r="I4" s="308" t="s">
        <v>566</v>
      </c>
      <c r="J4" s="308" t="s">
        <v>529</v>
      </c>
      <c r="K4" s="308"/>
      <c r="L4" s="308"/>
      <c r="M4" s="308"/>
      <c r="N4" s="308"/>
      <c r="O4" s="393">
        <v>1</v>
      </c>
      <c r="P4" s="382">
        <f>O4*('2-δικαιώμ'!M4+'3-φύλλα2α'!F4)</f>
        <v>16</v>
      </c>
      <c r="Q4" s="394" t="s">
        <v>153</v>
      </c>
      <c r="R4" s="394" t="s">
        <v>152</v>
      </c>
      <c r="S4" s="394"/>
      <c r="T4" s="394"/>
      <c r="U4" s="395"/>
    </row>
    <row r="5" spans="1:21" s="307" customFormat="1" ht="15">
      <c r="A5" s="390">
        <f>'1-συμβολαια'!A5</f>
        <v>0</v>
      </c>
      <c r="B5" s="391" t="str">
        <f>'1-συμβολαια'!C5</f>
        <v>δανείου ???? ΤΟΚΟΙ</v>
      </c>
      <c r="C5" s="392">
        <v>1</v>
      </c>
      <c r="D5" s="308" t="s">
        <v>565</v>
      </c>
      <c r="E5" s="308"/>
      <c r="F5" s="308"/>
      <c r="G5" s="786"/>
      <c r="H5" s="308">
        <v>2</v>
      </c>
      <c r="I5" s="308" t="s">
        <v>566</v>
      </c>
      <c r="J5" s="308" t="s">
        <v>529</v>
      </c>
      <c r="K5" s="308"/>
      <c r="L5" s="308"/>
      <c r="M5" s="308"/>
      <c r="N5" s="308"/>
      <c r="O5" s="393">
        <v>1</v>
      </c>
      <c r="P5" s="382">
        <f>O5*('2-δικαιώμ'!M5+'3-φύλλα2α'!F5)</f>
        <v>16</v>
      </c>
      <c r="Q5" s="394" t="s">
        <v>153</v>
      </c>
      <c r="R5" s="394" t="s">
        <v>152</v>
      </c>
      <c r="S5" s="394"/>
      <c r="T5" s="394"/>
      <c r="U5" s="395"/>
    </row>
    <row r="6" spans="1:21" s="307" customFormat="1" ht="15">
      <c r="A6" s="106"/>
      <c r="B6" s="116"/>
      <c r="C6" s="129"/>
      <c r="D6" s="13"/>
      <c r="E6" s="13"/>
      <c r="F6" s="13"/>
      <c r="G6" s="787"/>
      <c r="H6" s="13"/>
      <c r="I6" s="13"/>
      <c r="J6" s="13"/>
      <c r="K6" s="13"/>
      <c r="L6" s="13"/>
      <c r="M6" s="13"/>
      <c r="N6" s="13"/>
      <c r="O6" s="127"/>
      <c r="P6" s="107"/>
      <c r="Q6" s="150"/>
      <c r="R6" s="150"/>
      <c r="S6" s="150"/>
      <c r="T6" s="150"/>
      <c r="U6" s="128"/>
    </row>
    <row r="7" spans="1:21" s="307" customFormat="1" ht="15">
      <c r="A7" s="390" t="str">
        <f>'1-συμβολαια'!A7</f>
        <v>4ο</v>
      </c>
      <c r="B7" s="391" t="str">
        <f>'1-συμβολαια'!C7</f>
        <v>υποθήκης ???? 12.000.000δρχ ΕΞΑΛΕΙΨΗ</v>
      </c>
      <c r="C7" s="392">
        <v>1</v>
      </c>
      <c r="D7" s="308" t="s">
        <v>565</v>
      </c>
      <c r="E7" s="308"/>
      <c r="F7" s="308"/>
      <c r="G7" s="786"/>
      <c r="H7" s="308">
        <v>2</v>
      </c>
      <c r="I7" s="308" t="s">
        <v>566</v>
      </c>
      <c r="J7" s="308" t="s">
        <v>529</v>
      </c>
      <c r="K7" s="308"/>
      <c r="L7" s="308"/>
      <c r="M7" s="308"/>
      <c r="N7" s="308"/>
      <c r="O7" s="393">
        <v>1</v>
      </c>
      <c r="P7" s="382">
        <f>O7*('2-δικαιώμ'!M7+'3-φύλλα2α'!F7)</f>
        <v>16</v>
      </c>
      <c r="Q7" s="394" t="s">
        <v>153</v>
      </c>
      <c r="R7" s="394" t="s">
        <v>152</v>
      </c>
      <c r="S7" s="394"/>
      <c r="T7" s="394"/>
      <c r="U7" s="395"/>
    </row>
    <row r="8" spans="1:21" s="307" customFormat="1" ht="15">
      <c r="A8" s="390">
        <f>'1-συμβολαια'!A8</f>
        <v>0</v>
      </c>
      <c r="B8" s="391" t="str">
        <f>'1-συμβολαια'!C8</f>
        <v>δανείου ??? 12.000.000δρχ …. ΕΞΟΦΛΗΣΗ</v>
      </c>
      <c r="C8" s="392">
        <v>1</v>
      </c>
      <c r="D8" s="308" t="s">
        <v>565</v>
      </c>
      <c r="E8" s="308"/>
      <c r="F8" s="308"/>
      <c r="G8" s="786"/>
      <c r="H8" s="308">
        <v>2</v>
      </c>
      <c r="I8" s="308" t="s">
        <v>566</v>
      </c>
      <c r="J8" s="308" t="s">
        <v>529</v>
      </c>
      <c r="K8" s="308"/>
      <c r="L8" s="308"/>
      <c r="M8" s="308"/>
      <c r="N8" s="308"/>
      <c r="O8" s="393">
        <v>1</v>
      </c>
      <c r="P8" s="382">
        <f>O8*('2-δικαιώμ'!M8+'3-φύλλα2α'!F8)</f>
        <v>16</v>
      </c>
      <c r="Q8" s="394" t="s">
        <v>153</v>
      </c>
      <c r="R8" s="394" t="s">
        <v>152</v>
      </c>
      <c r="S8" s="394"/>
      <c r="T8" s="394"/>
      <c r="U8" s="395"/>
    </row>
    <row r="9" spans="1:21" s="307" customFormat="1" ht="15">
      <c r="A9" s="390">
        <f>'1-συμβολαια'!A9</f>
        <v>0</v>
      </c>
      <c r="B9" s="391" t="str">
        <f>'1-συμβολαια'!C9</f>
        <v>δανείου ???? ΤΟΚΟΙ</v>
      </c>
      <c r="C9" s="392">
        <v>1</v>
      </c>
      <c r="D9" s="308" t="s">
        <v>565</v>
      </c>
      <c r="E9" s="308"/>
      <c r="F9" s="308"/>
      <c r="G9" s="786"/>
      <c r="H9" s="308">
        <v>2</v>
      </c>
      <c r="I9" s="308" t="s">
        <v>566</v>
      </c>
      <c r="J9" s="308" t="s">
        <v>529</v>
      </c>
      <c r="K9" s="308"/>
      <c r="L9" s="308"/>
      <c r="M9" s="308"/>
      <c r="N9" s="308"/>
      <c r="O9" s="393">
        <v>1</v>
      </c>
      <c r="P9" s="382">
        <f>O9*('2-δικαιώμ'!M9+'3-φύλλα2α'!F9)</f>
        <v>16</v>
      </c>
      <c r="Q9" s="394" t="s">
        <v>153</v>
      </c>
      <c r="R9" s="394" t="s">
        <v>152</v>
      </c>
      <c r="S9" s="394"/>
      <c r="T9" s="394"/>
      <c r="U9" s="395"/>
    </row>
    <row r="10" spans="1:21" s="307" customFormat="1" ht="15">
      <c r="A10" s="106"/>
      <c r="B10" s="116"/>
      <c r="C10" s="129"/>
      <c r="D10" s="13"/>
      <c r="E10" s="13"/>
      <c r="F10" s="13"/>
      <c r="G10" s="787"/>
      <c r="H10" s="13"/>
      <c r="I10" s="13"/>
      <c r="J10" s="13"/>
      <c r="K10" s="13"/>
      <c r="L10" s="13"/>
      <c r="M10" s="13"/>
      <c r="N10" s="13"/>
      <c r="O10" s="127"/>
      <c r="P10" s="107"/>
      <c r="Q10" s="150"/>
      <c r="R10" s="150"/>
      <c r="S10" s="150"/>
      <c r="T10" s="150"/>
      <c r="U10" s="128"/>
    </row>
    <row r="11" spans="1:21" s="307" customFormat="1" ht="15">
      <c r="A11" s="390" t="str">
        <f>'1-συμβολαια'!A11</f>
        <v>5ο</v>
      </c>
      <c r="B11" s="391" t="str">
        <f>'1-συμβολαια'!C11</f>
        <v>υποθήκης 1ου   κύρου ;;;???;;;δρχ ΕΞΑΛΕΙΨΗ</v>
      </c>
      <c r="C11" s="392">
        <v>1</v>
      </c>
      <c r="D11" s="308" t="s">
        <v>565</v>
      </c>
      <c r="E11" s="308"/>
      <c r="F11" s="308"/>
      <c r="G11" s="786"/>
      <c r="H11" s="308">
        <v>2</v>
      </c>
      <c r="I11" s="308" t="s">
        <v>566</v>
      </c>
      <c r="J11" s="308" t="s">
        <v>529</v>
      </c>
      <c r="K11" s="308"/>
      <c r="L11" s="308"/>
      <c r="M11" s="308"/>
      <c r="N11" s="308"/>
      <c r="O11" s="393">
        <v>1</v>
      </c>
      <c r="P11" s="382">
        <f>O11*('2-δικαιώμ'!M11+'3-φύλλα2α'!F11)</f>
        <v>16</v>
      </c>
      <c r="Q11" s="394" t="s">
        <v>153</v>
      </c>
      <c r="R11" s="394" t="s">
        <v>152</v>
      </c>
      <c r="S11" s="394"/>
      <c r="T11" s="394"/>
      <c r="U11" s="395"/>
    </row>
    <row r="12" spans="1:21" s="307" customFormat="1" ht="15">
      <c r="A12" s="390">
        <f>'1-συμβολαια'!A12</f>
        <v>0</v>
      </c>
      <c r="B12" s="391" t="str">
        <f>'1-συμβολαια'!C12</f>
        <v>δανείου 1ου   κύρου 1.050.000δρχ ...ΕΞΟΦΛΗΣΗ</v>
      </c>
      <c r="C12" s="392">
        <v>1</v>
      </c>
      <c r="D12" s="308" t="s">
        <v>565</v>
      </c>
      <c r="E12" s="308"/>
      <c r="F12" s="308"/>
      <c r="G12" s="786"/>
      <c r="H12" s="308">
        <v>2</v>
      </c>
      <c r="I12" s="308" t="s">
        <v>566</v>
      </c>
      <c r="J12" s="308" t="s">
        <v>529</v>
      </c>
      <c r="K12" s="308"/>
      <c r="L12" s="308"/>
      <c r="M12" s="308"/>
      <c r="N12" s="308"/>
      <c r="O12" s="393">
        <v>1</v>
      </c>
      <c r="P12" s="382">
        <f>O12*('2-δικαιώμ'!M12+'3-φύλλα2α'!F12)</f>
        <v>16</v>
      </c>
      <c r="Q12" s="394" t="s">
        <v>153</v>
      </c>
      <c r="R12" s="394" t="s">
        <v>152</v>
      </c>
      <c r="S12" s="394"/>
      <c r="T12" s="394"/>
      <c r="U12" s="395"/>
    </row>
    <row r="13" spans="1:21" s="307" customFormat="1" ht="15">
      <c r="A13" s="390">
        <f>'1-συμβολαια'!A13</f>
        <v>0</v>
      </c>
      <c r="B13" s="391" t="str">
        <f>'1-συμβολαια'!C13</f>
        <v>δανείου 1ου   κύρου ΤΟΚΟΙ {προπληρωθέντες VS υπερβάλλοντες}</v>
      </c>
      <c r="C13" s="392">
        <v>1</v>
      </c>
      <c r="D13" s="308" t="s">
        <v>565</v>
      </c>
      <c r="E13" s="308"/>
      <c r="F13" s="308"/>
      <c r="G13" s="786"/>
      <c r="H13" s="308">
        <v>2</v>
      </c>
      <c r="I13" s="308" t="s">
        <v>566</v>
      </c>
      <c r="J13" s="308" t="s">
        <v>529</v>
      </c>
      <c r="K13" s="308"/>
      <c r="L13" s="308"/>
      <c r="M13" s="308"/>
      <c r="N13" s="308"/>
      <c r="O13" s="393">
        <v>1</v>
      </c>
      <c r="P13" s="382">
        <f>O13*('2-δικαιώμ'!M13+'3-φύλλα2α'!F13)</f>
        <v>16</v>
      </c>
      <c r="Q13" s="394" t="s">
        <v>153</v>
      </c>
      <c r="R13" s="394" t="s">
        <v>152</v>
      </c>
      <c r="S13" s="394"/>
      <c r="T13" s="394"/>
      <c r="U13" s="395"/>
    </row>
    <row r="14" spans="1:21" s="307" customFormat="1" ht="15">
      <c r="A14" s="106"/>
      <c r="B14" s="116"/>
      <c r="C14" s="129"/>
      <c r="D14" s="13"/>
      <c r="E14" s="13"/>
      <c r="F14" s="13"/>
      <c r="G14" s="787"/>
      <c r="H14" s="13"/>
      <c r="I14" s="13"/>
      <c r="J14" s="13"/>
      <c r="K14" s="13"/>
      <c r="L14" s="13"/>
      <c r="M14" s="13"/>
      <c r="N14" s="13"/>
      <c r="O14" s="127"/>
      <c r="P14" s="107"/>
      <c r="Q14" s="150"/>
      <c r="R14" s="150"/>
      <c r="S14" s="150"/>
      <c r="T14" s="150"/>
      <c r="U14" s="128"/>
    </row>
    <row r="15" spans="1:21" s="307" customFormat="1" ht="15">
      <c r="A15" s="390" t="str">
        <f>'1-συμβολαια'!A15</f>
        <v>6ο</v>
      </c>
      <c r="B15" s="391" t="str">
        <f>'1-συμβολαια'!C15</f>
        <v>υποθήκης 2ου   κύρου ;;;???;;;δρχ …..ΕΞΑΛΕΙΨΗ</v>
      </c>
      <c r="C15" s="392">
        <v>1</v>
      </c>
      <c r="D15" s="308" t="s">
        <v>565</v>
      </c>
      <c r="E15" s="308"/>
      <c r="F15" s="308"/>
      <c r="G15" s="786"/>
      <c r="H15" s="308">
        <v>2</v>
      </c>
      <c r="I15" s="308" t="s">
        <v>566</v>
      </c>
      <c r="J15" s="308" t="s">
        <v>529</v>
      </c>
      <c r="K15" s="308"/>
      <c r="L15" s="308"/>
      <c r="M15" s="308"/>
      <c r="N15" s="308"/>
      <c r="O15" s="393">
        <v>1</v>
      </c>
      <c r="P15" s="382">
        <f>O15*('2-δικαιώμ'!M15+'3-φύλλα2α'!F15)</f>
        <v>16</v>
      </c>
      <c r="Q15" s="394" t="s">
        <v>153</v>
      </c>
      <c r="R15" s="394" t="s">
        <v>152</v>
      </c>
      <c r="S15" s="394"/>
      <c r="T15" s="394"/>
      <c r="U15" s="395"/>
    </row>
    <row r="16" spans="1:21" s="307" customFormat="1" ht="15">
      <c r="A16" s="390">
        <f>'1-συμβολαια'!A16</f>
        <v>0</v>
      </c>
      <c r="B16" s="391" t="str">
        <f>'1-συμβολαια'!C16</f>
        <v>δανείου 2ου   κύρου 7000.000δρχ …..ΕΞΟΦΛΗΣΗ</v>
      </c>
      <c r="C16" s="392">
        <v>1</v>
      </c>
      <c r="D16" s="308" t="s">
        <v>565</v>
      </c>
      <c r="E16" s="308"/>
      <c r="F16" s="308"/>
      <c r="G16" s="786"/>
      <c r="H16" s="308">
        <v>2</v>
      </c>
      <c r="I16" s="308" t="s">
        <v>566</v>
      </c>
      <c r="J16" s="308" t="s">
        <v>529</v>
      </c>
      <c r="K16" s="308"/>
      <c r="L16" s="308"/>
      <c r="M16" s="308"/>
      <c r="N16" s="308"/>
      <c r="O16" s="393">
        <v>1</v>
      </c>
      <c r="P16" s="382">
        <f>O16*('2-δικαιώμ'!M16+'3-φύλλα2α'!F16)</f>
        <v>16</v>
      </c>
      <c r="Q16" s="394" t="s">
        <v>153</v>
      </c>
      <c r="R16" s="394" t="s">
        <v>152</v>
      </c>
      <c r="S16" s="394"/>
      <c r="T16" s="394"/>
      <c r="U16" s="395"/>
    </row>
    <row r="17" spans="1:25" s="307" customFormat="1" ht="15">
      <c r="A17" s="390">
        <f>'1-συμβολαια'!A17</f>
        <v>0</v>
      </c>
      <c r="B17" s="391" t="str">
        <f>'1-συμβολαια'!C17</f>
        <v>δανείου 2ου    κύρου …. ΤΟΚΟΙ {προπληρωθέντες VS υπερβάλλοντες}</v>
      </c>
      <c r="C17" s="392">
        <v>1</v>
      </c>
      <c r="D17" s="308" t="s">
        <v>565</v>
      </c>
      <c r="E17" s="308"/>
      <c r="F17" s="308"/>
      <c r="G17" s="786"/>
      <c r="H17" s="308">
        <v>2</v>
      </c>
      <c r="I17" s="308" t="s">
        <v>566</v>
      </c>
      <c r="J17" s="308" t="s">
        <v>529</v>
      </c>
      <c r="K17" s="308"/>
      <c r="L17" s="308"/>
      <c r="M17" s="308"/>
      <c r="N17" s="308"/>
      <c r="O17" s="393">
        <v>1</v>
      </c>
      <c r="P17" s="382">
        <f>O17*('2-δικαιώμ'!M17+'3-φύλλα2α'!F17)</f>
        <v>16</v>
      </c>
      <c r="Q17" s="394" t="s">
        <v>153</v>
      </c>
      <c r="R17" s="394" t="s">
        <v>152</v>
      </c>
      <c r="S17" s="394"/>
      <c r="T17" s="394"/>
      <c r="U17" s="395"/>
    </row>
    <row r="18" spans="1:25" s="307" customFormat="1" ht="15">
      <c r="A18" s="106"/>
      <c r="B18" s="116"/>
      <c r="C18" s="129"/>
      <c r="D18" s="13"/>
      <c r="E18" s="13"/>
      <c r="F18" s="13"/>
      <c r="G18" s="787"/>
      <c r="H18" s="13"/>
      <c r="I18" s="13"/>
      <c r="J18" s="13"/>
      <c r="K18" s="13"/>
      <c r="L18" s="13"/>
      <c r="M18" s="13"/>
      <c r="N18" s="13"/>
      <c r="O18" s="127"/>
      <c r="P18" s="107"/>
      <c r="Q18" s="150"/>
      <c r="R18" s="150"/>
      <c r="S18" s="150"/>
      <c r="T18" s="150"/>
      <c r="U18" s="128"/>
    </row>
    <row r="19" spans="1:25" s="307" customFormat="1" ht="15">
      <c r="A19" s="390" t="str">
        <f>'1-συμβολαια'!A19</f>
        <v>7ο</v>
      </c>
      <c r="B19" s="391" t="str">
        <f>'1-συμβολαια'!C19</f>
        <v>υποθήκης ???? 2.168.354δρχ …. ΕΞΑΛΕΙΨΗ</v>
      </c>
      <c r="C19" s="392">
        <v>1</v>
      </c>
      <c r="D19" s="308" t="s">
        <v>565</v>
      </c>
      <c r="E19" s="308"/>
      <c r="F19" s="308"/>
      <c r="G19" s="786"/>
      <c r="H19" s="308">
        <v>2</v>
      </c>
      <c r="I19" s="308" t="s">
        <v>566</v>
      </c>
      <c r="J19" s="308" t="s">
        <v>529</v>
      </c>
      <c r="K19" s="308"/>
      <c r="L19" s="308"/>
      <c r="M19" s="308"/>
      <c r="N19" s="308"/>
      <c r="O19" s="393">
        <v>1</v>
      </c>
      <c r="P19" s="382">
        <f>O19*('2-δικαιώμ'!M19+'3-φύλλα2α'!F19)</f>
        <v>16</v>
      </c>
      <c r="Q19" s="394" t="s">
        <v>153</v>
      </c>
      <c r="R19" s="394" t="s">
        <v>152</v>
      </c>
      <c r="S19" s="394"/>
      <c r="T19" s="394"/>
      <c r="U19" s="395"/>
    </row>
    <row r="20" spans="1:25" s="307" customFormat="1" ht="15">
      <c r="A20" s="390">
        <f>'1-συμβολαια'!A20</f>
        <v>0</v>
      </c>
      <c r="B20" s="391" t="str">
        <f>'1-συμβολαια'!C20</f>
        <v>δανείου ??? 2.168.354δρχ ….. ΕΞΟΦΛΗΣΗ</v>
      </c>
      <c r="C20" s="392">
        <v>1</v>
      </c>
      <c r="D20" s="308" t="s">
        <v>565</v>
      </c>
      <c r="E20" s="308"/>
      <c r="F20" s="308"/>
      <c r="G20" s="786"/>
      <c r="H20" s="308">
        <v>2</v>
      </c>
      <c r="I20" s="308" t="s">
        <v>566</v>
      </c>
      <c r="J20" s="308" t="s">
        <v>529</v>
      </c>
      <c r="K20" s="308"/>
      <c r="L20" s="308"/>
      <c r="M20" s="308"/>
      <c r="N20" s="308"/>
      <c r="O20" s="393">
        <v>1</v>
      </c>
      <c r="P20" s="382">
        <f>O20*('2-δικαιώμ'!M20+'3-φύλλα2α'!F20)</f>
        <v>16</v>
      </c>
      <c r="Q20" s="394" t="s">
        <v>153</v>
      </c>
      <c r="R20" s="394" t="s">
        <v>152</v>
      </c>
      <c r="S20" s="394"/>
      <c r="T20" s="394"/>
      <c r="U20" s="395"/>
    </row>
    <row r="21" spans="1:25" s="307" customFormat="1" ht="15">
      <c r="A21" s="390">
        <f>'1-συμβολαια'!A21</f>
        <v>0</v>
      </c>
      <c r="B21" s="391" t="str">
        <f>'1-συμβολαια'!C21</f>
        <v>δανείου ???? ΤΟΚΟΙ</v>
      </c>
      <c r="C21" s="392">
        <v>1</v>
      </c>
      <c r="D21" s="308" t="s">
        <v>565</v>
      </c>
      <c r="E21" s="308"/>
      <c r="F21" s="308"/>
      <c r="G21" s="786"/>
      <c r="H21" s="308">
        <v>2</v>
      </c>
      <c r="I21" s="308" t="s">
        <v>566</v>
      </c>
      <c r="J21" s="308" t="s">
        <v>529</v>
      </c>
      <c r="K21" s="308"/>
      <c r="L21" s="308"/>
      <c r="M21" s="308"/>
      <c r="N21" s="308"/>
      <c r="O21" s="393">
        <v>1</v>
      </c>
      <c r="P21" s="382">
        <f>O21*('2-δικαιώμ'!M21+'3-φύλλα2α'!F21)</f>
        <v>16</v>
      </c>
      <c r="Q21" s="394" t="s">
        <v>153</v>
      </c>
      <c r="R21" s="394" t="s">
        <v>152</v>
      </c>
      <c r="S21" s="394"/>
      <c r="T21" s="394"/>
      <c r="U21" s="395"/>
    </row>
    <row r="22" spans="1:25" s="307" customFormat="1" ht="15">
      <c r="A22" s="106"/>
      <c r="B22" s="116"/>
      <c r="C22" s="129"/>
      <c r="D22" s="13"/>
      <c r="E22" s="13"/>
      <c r="F22" s="13"/>
      <c r="G22" s="129"/>
      <c r="H22" s="13"/>
      <c r="I22" s="13"/>
      <c r="J22" s="13"/>
      <c r="K22" s="13"/>
      <c r="L22" s="13"/>
      <c r="M22" s="13"/>
      <c r="N22" s="13"/>
      <c r="O22" s="127"/>
      <c r="P22" s="107"/>
      <c r="Q22" s="150"/>
      <c r="R22" s="150"/>
      <c r="S22" s="150"/>
      <c r="T22" s="150"/>
      <c r="U22" s="128"/>
    </row>
    <row r="23" spans="1:25" s="307" customFormat="1" ht="15">
      <c r="A23" s="447">
        <f>'1-συμβολαια'!A23</f>
        <v>0</v>
      </c>
      <c r="B23" s="391" t="str">
        <f>'1-συμβολαια'!C23</f>
        <v>'του πλήρωσα ΚΑΙ τους φόρους''</v>
      </c>
      <c r="C23" s="392"/>
      <c r="D23" s="308"/>
      <c r="E23" s="308"/>
      <c r="F23" s="308"/>
      <c r="G23" s="392"/>
      <c r="H23" s="308"/>
      <c r="I23" s="308"/>
      <c r="J23" s="308"/>
      <c r="K23" s="308"/>
      <c r="L23" s="308"/>
      <c r="M23" s="308"/>
      <c r="N23" s="308"/>
      <c r="O23" s="393"/>
      <c r="P23" s="382"/>
      <c r="Q23" s="394"/>
      <c r="R23" s="394"/>
      <c r="S23" s="394"/>
      <c r="T23" s="394"/>
      <c r="U23" s="395"/>
    </row>
    <row r="24" spans="1:25" ht="15.75">
      <c r="A24" s="546" t="s">
        <v>47</v>
      </c>
      <c r="B24" s="547"/>
      <c r="C24" s="547"/>
      <c r="D24" s="547"/>
      <c r="E24" s="547"/>
      <c r="F24" s="547"/>
      <c r="G24" s="547"/>
      <c r="H24" s="547"/>
      <c r="I24" s="547"/>
      <c r="J24" s="547"/>
      <c r="K24" s="547"/>
      <c r="L24" s="547"/>
      <c r="M24" s="547"/>
      <c r="N24" s="547"/>
      <c r="O24" s="547"/>
      <c r="P24" s="109">
        <f>SUM(P3:P23)</f>
        <v>240</v>
      </c>
    </row>
    <row r="26" spans="1:25" ht="15.75">
      <c r="Q26" s="185" t="s">
        <v>149</v>
      </c>
      <c r="R26" s="148"/>
      <c r="S26" s="148"/>
      <c r="T26" s="148"/>
      <c r="U26" s="148"/>
      <c r="V26" s="148"/>
      <c r="W26" s="148"/>
      <c r="X26" s="148"/>
      <c r="Y26" s="139"/>
    </row>
    <row r="27" spans="1:25" ht="15.75">
      <c r="R27" s="164" t="s">
        <v>150</v>
      </c>
      <c r="S27" s="164"/>
      <c r="T27" s="164"/>
      <c r="U27" s="164"/>
      <c r="V27" s="164"/>
      <c r="W27" s="164"/>
      <c r="X27" s="164"/>
    </row>
    <row r="28" spans="1:25" ht="15.75">
      <c r="S28" s="185" t="s">
        <v>151</v>
      </c>
    </row>
    <row r="31" spans="1:25">
      <c r="B31" s="256"/>
    </row>
    <row r="32" spans="1:25">
      <c r="B32" s="255"/>
    </row>
  </sheetData>
  <mergeCells count="8">
    <mergeCell ref="Q1:U2"/>
    <mergeCell ref="A24:O2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5"/>
  <sheetViews>
    <sheetView workbookViewId="0">
      <pane ySplit="2" topLeftCell="A3" activePane="bottomLeft" state="frozen"/>
      <selection pane="bottomLeft" activeCell="N45" sqref="N45"/>
    </sheetView>
  </sheetViews>
  <sheetFormatPr defaultRowHeight="11.25"/>
  <cols>
    <col min="1" max="1" width="10.28515625" style="8" customWidth="1"/>
    <col min="2" max="2" width="36.5703125" style="98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9" width="7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7.28515625" style="2" customWidth="1"/>
    <col min="17" max="17" width="13.28515625" style="2" customWidth="1"/>
    <col min="18" max="18" width="7.5703125" style="86" customWidth="1"/>
    <col min="19" max="20" width="7.28515625" style="421" customWidth="1"/>
    <col min="21" max="21" width="7.28515625" style="86" customWidth="1"/>
    <col min="22" max="22" width="7.28515625" style="421" customWidth="1"/>
    <col min="23" max="23" width="7.140625" style="86" customWidth="1"/>
    <col min="24" max="24" width="4.85546875" style="86" customWidth="1"/>
    <col min="25" max="25" width="5.85546875" style="86" customWidth="1"/>
    <col min="26" max="26" width="5" style="86" customWidth="1"/>
    <col min="27" max="27" width="6.7109375" style="86" customWidth="1"/>
    <col min="28" max="28" width="7.28515625" style="86" customWidth="1"/>
    <col min="29" max="29" width="6.28515625" style="86" customWidth="1"/>
    <col min="30" max="30" width="6.28515625" style="421" customWidth="1"/>
    <col min="31" max="39" width="6.28515625" style="86" customWidth="1"/>
    <col min="40" max="40" width="8.85546875" style="86" customWidth="1"/>
    <col min="41" max="41" width="22.7109375" style="86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06" t="s">
        <v>1</v>
      </c>
      <c r="B1" s="569" t="s">
        <v>0</v>
      </c>
      <c r="C1" s="512" t="s">
        <v>7</v>
      </c>
      <c r="D1" s="571" t="s">
        <v>3</v>
      </c>
      <c r="E1" s="572"/>
      <c r="F1" s="573" t="s">
        <v>469</v>
      </c>
      <c r="G1" s="574"/>
      <c r="H1" s="574"/>
      <c r="I1" s="574"/>
      <c r="J1" s="574"/>
      <c r="K1" s="574"/>
      <c r="L1" s="575"/>
      <c r="M1" s="576" t="s">
        <v>399</v>
      </c>
      <c r="N1" s="577"/>
      <c r="O1" s="578" t="s">
        <v>259</v>
      </c>
      <c r="P1" s="579"/>
      <c r="Q1" s="580" t="s">
        <v>398</v>
      </c>
      <c r="R1" s="568" t="s">
        <v>179</v>
      </c>
      <c r="S1" s="568"/>
      <c r="T1" s="568"/>
      <c r="U1" s="568"/>
      <c r="V1" s="568"/>
      <c r="W1" s="568"/>
      <c r="X1" s="568"/>
      <c r="Y1" s="568"/>
      <c r="Z1" s="568"/>
      <c r="AA1" s="568"/>
      <c r="AB1" s="568"/>
      <c r="AC1" s="568"/>
      <c r="AD1" s="568"/>
      <c r="AE1" s="568"/>
      <c r="AF1" s="568"/>
      <c r="AG1" s="568"/>
      <c r="AH1" s="568"/>
      <c r="AI1" s="568"/>
      <c r="AJ1" s="568"/>
      <c r="AK1" s="568"/>
      <c r="AL1" s="568"/>
      <c r="AM1" s="568"/>
      <c r="AN1" s="568"/>
      <c r="AO1" s="568"/>
    </row>
    <row r="2" spans="1:41" ht="23.25" thickBot="1">
      <c r="A2" s="507"/>
      <c r="B2" s="570"/>
      <c r="C2" s="513"/>
      <c r="D2" s="190" t="s">
        <v>4</v>
      </c>
      <c r="E2" s="175" t="s">
        <v>9</v>
      </c>
      <c r="F2" s="259" t="s">
        <v>4</v>
      </c>
      <c r="G2" s="191" t="s">
        <v>9</v>
      </c>
      <c r="H2" s="173" t="s">
        <v>47</v>
      </c>
      <c r="I2" s="258" t="s">
        <v>9</v>
      </c>
      <c r="J2" s="239" t="s">
        <v>361</v>
      </c>
      <c r="K2" s="239" t="s">
        <v>378</v>
      </c>
      <c r="L2" s="241" t="s">
        <v>363</v>
      </c>
      <c r="M2" s="258" t="s">
        <v>23</v>
      </c>
      <c r="N2" s="260" t="s">
        <v>87</v>
      </c>
      <c r="O2" s="258" t="s">
        <v>23</v>
      </c>
      <c r="P2" s="254" t="s">
        <v>9</v>
      </c>
      <c r="Q2" s="581"/>
      <c r="R2" s="193" t="s">
        <v>130</v>
      </c>
      <c r="S2" s="448" t="s">
        <v>177</v>
      </c>
      <c r="T2" s="448" t="s">
        <v>131</v>
      </c>
      <c r="U2" s="193" t="s">
        <v>262</v>
      </c>
      <c r="V2" s="448" t="s">
        <v>132</v>
      </c>
      <c r="W2" s="193" t="s">
        <v>263</v>
      </c>
      <c r="X2" s="193" t="s">
        <v>154</v>
      </c>
      <c r="Y2" s="193" t="s">
        <v>178</v>
      </c>
      <c r="Z2" s="193" t="s">
        <v>155</v>
      </c>
      <c r="AA2" s="193" t="s">
        <v>264</v>
      </c>
      <c r="AB2" s="193" t="s">
        <v>156</v>
      </c>
      <c r="AC2" s="193" t="s">
        <v>265</v>
      </c>
      <c r="AD2" s="448" t="s">
        <v>157</v>
      </c>
      <c r="AE2" s="193" t="s">
        <v>280</v>
      </c>
      <c r="AF2" s="193" t="s">
        <v>281</v>
      </c>
      <c r="AG2" s="300" t="s">
        <v>282</v>
      </c>
      <c r="AH2" s="193" t="s">
        <v>283</v>
      </c>
      <c r="AI2" s="193" t="s">
        <v>284</v>
      </c>
      <c r="AJ2" s="193" t="s">
        <v>429</v>
      </c>
      <c r="AK2" s="193" t="s">
        <v>430</v>
      </c>
      <c r="AL2" s="193"/>
      <c r="AM2" s="285" t="s">
        <v>91</v>
      </c>
      <c r="AN2" s="283" t="s">
        <v>47</v>
      </c>
      <c r="AO2" s="284" t="s">
        <v>29</v>
      </c>
    </row>
    <row r="3" spans="1:41" s="5" customFormat="1">
      <c r="A3" s="370" t="str">
        <f>'1-συμβολαια'!A3</f>
        <v>3ο</v>
      </c>
      <c r="B3" s="375" t="str">
        <f>'1-συμβολαια'!C3</f>
        <v>υποθήκης ????  5.495.705δρχ ΕΞΑΛΕΙΨΗ</v>
      </c>
      <c r="C3" s="377">
        <f>'1-συμβολαια'!D3</f>
        <v>16128.26</v>
      </c>
      <c r="D3" s="397">
        <f>'3-φύλλα2α'!D3</f>
        <v>2</v>
      </c>
      <c r="E3" s="397">
        <f>'3-φύλλα2α'!E3</f>
        <v>2</v>
      </c>
      <c r="F3" s="308">
        <v>2</v>
      </c>
      <c r="G3" s="308"/>
      <c r="H3" s="366">
        <f t="shared" ref="H3:H21" si="0">F3*D3*4</f>
        <v>16</v>
      </c>
      <c r="I3" s="398">
        <f t="shared" ref="I3:I21" si="1">E3*G3*4</f>
        <v>0</v>
      </c>
      <c r="J3" s="398">
        <f t="shared" ref="J3:J21" si="2">H3*5%</f>
        <v>0.8</v>
      </c>
      <c r="K3" s="398">
        <f t="shared" ref="K3:K21" si="3">H3*5%</f>
        <v>0.8</v>
      </c>
      <c r="L3" s="398">
        <f t="shared" ref="L3:L21" si="4">H3*1%</f>
        <v>0.16</v>
      </c>
      <c r="M3" s="398">
        <f t="shared" ref="M3:M21" si="5">H3-O3</f>
        <v>14.24</v>
      </c>
      <c r="N3" s="398">
        <f t="shared" ref="N3:N21" si="6">I3-P3</f>
        <v>0</v>
      </c>
      <c r="O3" s="398">
        <f t="shared" ref="O3:O21" si="7">J3+K3+L3</f>
        <v>1.76</v>
      </c>
      <c r="P3" s="398">
        <f t="shared" ref="P3:P21" si="8">I3*11%</f>
        <v>0</v>
      </c>
      <c r="Q3" s="398">
        <f t="shared" ref="Q3:Q21" si="9">O3-P3</f>
        <v>1.76</v>
      </c>
      <c r="R3" s="399"/>
      <c r="S3" s="399"/>
      <c r="T3" s="399">
        <v>8</v>
      </c>
      <c r="U3" s="399">
        <v>1.98</v>
      </c>
      <c r="V3" s="399"/>
      <c r="W3" s="378"/>
      <c r="X3" s="378"/>
      <c r="Y3" s="378"/>
      <c r="Z3" s="378"/>
      <c r="AA3" s="378"/>
      <c r="AB3" s="399"/>
      <c r="AC3" s="378"/>
      <c r="AD3" s="399"/>
      <c r="AE3" s="399"/>
      <c r="AF3" s="399"/>
      <c r="AG3" s="400"/>
      <c r="AH3" s="402"/>
      <c r="AI3" s="400"/>
      <c r="AJ3" s="400"/>
      <c r="AK3" s="400"/>
      <c r="AL3" s="400"/>
      <c r="AM3" s="401">
        <f t="shared" ref="AM3:AM21" si="10">U3+Y3+AA3+AI3+AK3</f>
        <v>1.98</v>
      </c>
      <c r="AN3" s="402">
        <f t="shared" ref="AN3:AN22" si="11">SUM(R3:AL3)-AM3</f>
        <v>8</v>
      </c>
      <c r="AO3" s="306"/>
    </row>
    <row r="4" spans="1:41" s="5" customFormat="1">
      <c r="A4" s="370">
        <f>'1-συμβολαια'!A4</f>
        <v>0</v>
      </c>
      <c r="B4" s="375" t="str">
        <f>'1-συμβολαια'!C4</f>
        <v>δανείου ??? 5.495.700 δρχ …. ΕΞΟΦΛΗΣΗ</v>
      </c>
      <c r="C4" s="377">
        <f>'1-συμβολαια'!D4</f>
        <v>16128.26</v>
      </c>
      <c r="D4" s="397">
        <f>'3-φύλλα2α'!D4</f>
        <v>2</v>
      </c>
      <c r="E4" s="397">
        <f>'3-φύλλα2α'!E4</f>
        <v>0</v>
      </c>
      <c r="F4" s="308"/>
      <c r="G4" s="308"/>
      <c r="H4" s="366">
        <f t="shared" si="0"/>
        <v>0</v>
      </c>
      <c r="I4" s="398">
        <f t="shared" si="1"/>
        <v>0</v>
      </c>
      <c r="J4" s="398">
        <f t="shared" si="2"/>
        <v>0</v>
      </c>
      <c r="K4" s="398">
        <f t="shared" si="3"/>
        <v>0</v>
      </c>
      <c r="L4" s="398">
        <f t="shared" si="4"/>
        <v>0</v>
      </c>
      <c r="M4" s="398">
        <f t="shared" si="5"/>
        <v>0</v>
      </c>
      <c r="N4" s="398">
        <f t="shared" si="6"/>
        <v>0</v>
      </c>
      <c r="O4" s="398">
        <f t="shared" si="7"/>
        <v>0</v>
      </c>
      <c r="P4" s="398">
        <f t="shared" si="8"/>
        <v>0</v>
      </c>
      <c r="Q4" s="398">
        <f t="shared" si="9"/>
        <v>0</v>
      </c>
      <c r="R4" s="399"/>
      <c r="S4" s="399"/>
      <c r="T4" s="399"/>
      <c r="U4" s="399"/>
      <c r="V4" s="399"/>
      <c r="W4" s="378"/>
      <c r="X4" s="378"/>
      <c r="Y4" s="378"/>
      <c r="Z4" s="378"/>
      <c r="AA4" s="378"/>
      <c r="AB4" s="399"/>
      <c r="AC4" s="378"/>
      <c r="AD4" s="399"/>
      <c r="AE4" s="399"/>
      <c r="AF4" s="399"/>
      <c r="AG4" s="400"/>
      <c r="AH4" s="402"/>
      <c r="AI4" s="400"/>
      <c r="AJ4" s="400"/>
      <c r="AK4" s="400"/>
      <c r="AL4" s="400"/>
      <c r="AM4" s="401">
        <f t="shared" si="10"/>
        <v>0</v>
      </c>
      <c r="AN4" s="402">
        <f t="shared" si="11"/>
        <v>0</v>
      </c>
      <c r="AO4" s="306"/>
    </row>
    <row r="5" spans="1:41" s="5" customFormat="1">
      <c r="A5" s="370">
        <f>'1-συμβολαια'!A5</f>
        <v>0</v>
      </c>
      <c r="B5" s="375" t="str">
        <f>'1-συμβολαια'!C5</f>
        <v>δανείου ???? ΤΟΚΟΙ</v>
      </c>
      <c r="C5" s="377">
        <f>'1-συμβολαια'!D5</f>
        <v>33333.33</v>
      </c>
      <c r="D5" s="397">
        <f>'3-φύλλα2α'!D5</f>
        <v>2</v>
      </c>
      <c r="E5" s="397">
        <f>'3-φύλλα2α'!E5</f>
        <v>0</v>
      </c>
      <c r="F5" s="308"/>
      <c r="G5" s="308"/>
      <c r="H5" s="366">
        <f t="shared" si="0"/>
        <v>0</v>
      </c>
      <c r="I5" s="398">
        <f t="shared" si="1"/>
        <v>0</v>
      </c>
      <c r="J5" s="398">
        <f t="shared" si="2"/>
        <v>0</v>
      </c>
      <c r="K5" s="398">
        <f t="shared" si="3"/>
        <v>0</v>
      </c>
      <c r="L5" s="398">
        <f t="shared" si="4"/>
        <v>0</v>
      </c>
      <c r="M5" s="398">
        <f t="shared" si="5"/>
        <v>0</v>
      </c>
      <c r="N5" s="398">
        <f t="shared" si="6"/>
        <v>0</v>
      </c>
      <c r="O5" s="398">
        <f t="shared" si="7"/>
        <v>0</v>
      </c>
      <c r="P5" s="398">
        <f t="shared" si="8"/>
        <v>0</v>
      </c>
      <c r="Q5" s="398">
        <f t="shared" si="9"/>
        <v>0</v>
      </c>
      <c r="R5" s="399"/>
      <c r="S5" s="399"/>
      <c r="T5" s="399"/>
      <c r="U5" s="399"/>
      <c r="V5" s="399"/>
      <c r="W5" s="378"/>
      <c r="X5" s="378"/>
      <c r="Y5" s="378"/>
      <c r="Z5" s="378"/>
      <c r="AA5" s="378"/>
      <c r="AB5" s="399"/>
      <c r="AC5" s="378"/>
      <c r="AD5" s="399"/>
      <c r="AE5" s="399"/>
      <c r="AF5" s="399"/>
      <c r="AG5" s="400"/>
      <c r="AH5" s="402"/>
      <c r="AI5" s="400"/>
      <c r="AJ5" s="400"/>
      <c r="AK5" s="400"/>
      <c r="AL5" s="400"/>
      <c r="AM5" s="401">
        <f t="shared" si="10"/>
        <v>0</v>
      </c>
      <c r="AN5" s="402">
        <f t="shared" si="11"/>
        <v>0</v>
      </c>
      <c r="AO5" s="306"/>
    </row>
    <row r="6" spans="1:41" s="5" customFormat="1">
      <c r="A6" s="14"/>
      <c r="B6" s="97"/>
      <c r="C6" s="39"/>
      <c r="D6" s="28"/>
      <c r="E6" s="28"/>
      <c r="F6" s="13"/>
      <c r="G6" s="13"/>
      <c r="H6" s="18"/>
      <c r="I6" s="24"/>
      <c r="J6" s="24"/>
      <c r="K6" s="24"/>
      <c r="L6" s="24"/>
      <c r="M6" s="24"/>
      <c r="N6" s="24"/>
      <c r="O6" s="24"/>
      <c r="P6" s="24"/>
      <c r="Q6" s="24"/>
      <c r="R6" s="350"/>
      <c r="S6" s="350"/>
      <c r="T6" s="350"/>
      <c r="U6" s="350"/>
      <c r="V6" s="350"/>
      <c r="W6" s="152"/>
      <c r="X6" s="152"/>
      <c r="Y6" s="152"/>
      <c r="Z6" s="152"/>
      <c r="AA6" s="152"/>
      <c r="AB6" s="350"/>
      <c r="AC6" s="152"/>
      <c r="AD6" s="350"/>
      <c r="AE6" s="350"/>
      <c r="AF6" s="350"/>
      <c r="AG6" s="194"/>
      <c r="AH6" s="195"/>
      <c r="AI6" s="194"/>
      <c r="AJ6" s="194"/>
      <c r="AK6" s="194"/>
      <c r="AL6" s="194"/>
      <c r="AM6" s="357"/>
      <c r="AN6" s="195"/>
      <c r="AO6" s="85"/>
    </row>
    <row r="7" spans="1:41" s="5" customFormat="1">
      <c r="A7" s="370" t="str">
        <f>'1-συμβολαια'!A7</f>
        <v>4ο</v>
      </c>
      <c r="B7" s="375" t="str">
        <f>'1-συμβολαια'!C7</f>
        <v>υποθήκης ???? 12.000.000δρχ ΕΞΑΛΕΙΨΗ</v>
      </c>
      <c r="C7" s="377">
        <f>'1-συμβολαια'!D7</f>
        <v>35216.43</v>
      </c>
      <c r="D7" s="397">
        <f>'3-φύλλα2α'!D7</f>
        <v>2</v>
      </c>
      <c r="E7" s="397">
        <f>'3-φύλλα2α'!E7</f>
        <v>2</v>
      </c>
      <c r="F7" s="308">
        <v>2</v>
      </c>
      <c r="G7" s="308"/>
      <c r="H7" s="366">
        <f t="shared" si="0"/>
        <v>16</v>
      </c>
      <c r="I7" s="398">
        <f t="shared" si="1"/>
        <v>0</v>
      </c>
      <c r="J7" s="398">
        <f t="shared" si="2"/>
        <v>0.8</v>
      </c>
      <c r="K7" s="398">
        <f t="shared" si="3"/>
        <v>0.8</v>
      </c>
      <c r="L7" s="398">
        <f t="shared" si="4"/>
        <v>0.16</v>
      </c>
      <c r="M7" s="398">
        <f t="shared" si="5"/>
        <v>14.24</v>
      </c>
      <c r="N7" s="398">
        <f t="shared" si="6"/>
        <v>0</v>
      </c>
      <c r="O7" s="398">
        <f t="shared" si="7"/>
        <v>1.76</v>
      </c>
      <c r="P7" s="398">
        <f t="shared" si="8"/>
        <v>0</v>
      </c>
      <c r="Q7" s="398">
        <f t="shared" si="9"/>
        <v>1.76</v>
      </c>
      <c r="R7" s="399"/>
      <c r="S7" s="399"/>
      <c r="T7" s="399">
        <v>8</v>
      </c>
      <c r="U7" s="399">
        <v>1.98</v>
      </c>
      <c r="V7" s="399"/>
      <c r="W7" s="378"/>
      <c r="X7" s="378"/>
      <c r="Y7" s="378"/>
      <c r="Z7" s="378"/>
      <c r="AA7" s="378"/>
      <c r="AB7" s="399"/>
      <c r="AC7" s="378"/>
      <c r="AD7" s="399"/>
      <c r="AE7" s="399"/>
      <c r="AF7" s="399"/>
      <c r="AG7" s="400"/>
      <c r="AH7" s="402"/>
      <c r="AI7" s="400"/>
      <c r="AJ7" s="400"/>
      <c r="AK7" s="400"/>
      <c r="AL7" s="400"/>
      <c r="AM7" s="401">
        <f t="shared" si="10"/>
        <v>1.98</v>
      </c>
      <c r="AN7" s="402">
        <f t="shared" si="11"/>
        <v>8</v>
      </c>
      <c r="AO7" s="306"/>
    </row>
    <row r="8" spans="1:41" s="5" customFormat="1">
      <c r="A8" s="370">
        <f>'1-συμβολαια'!A8</f>
        <v>0</v>
      </c>
      <c r="B8" s="375" t="str">
        <f>'1-συμβολαια'!C8</f>
        <v>δανείου ??? 12.000.000δρχ …. ΕΞΟΦΛΗΣΗ</v>
      </c>
      <c r="C8" s="377">
        <f>'1-συμβολαια'!D8</f>
        <v>35216.43</v>
      </c>
      <c r="D8" s="397">
        <f>'3-φύλλα2α'!D8</f>
        <v>2</v>
      </c>
      <c r="E8" s="397">
        <f>'3-φύλλα2α'!E8</f>
        <v>0</v>
      </c>
      <c r="F8" s="308"/>
      <c r="G8" s="308"/>
      <c r="H8" s="366">
        <f t="shared" si="0"/>
        <v>0</v>
      </c>
      <c r="I8" s="398">
        <f t="shared" si="1"/>
        <v>0</v>
      </c>
      <c r="J8" s="398">
        <f t="shared" si="2"/>
        <v>0</v>
      </c>
      <c r="K8" s="398">
        <f t="shared" si="3"/>
        <v>0</v>
      </c>
      <c r="L8" s="398">
        <f t="shared" si="4"/>
        <v>0</v>
      </c>
      <c r="M8" s="398">
        <f t="shared" si="5"/>
        <v>0</v>
      </c>
      <c r="N8" s="398">
        <f t="shared" si="6"/>
        <v>0</v>
      </c>
      <c r="O8" s="398">
        <f t="shared" si="7"/>
        <v>0</v>
      </c>
      <c r="P8" s="398">
        <f t="shared" si="8"/>
        <v>0</v>
      </c>
      <c r="Q8" s="398">
        <f t="shared" si="9"/>
        <v>0</v>
      </c>
      <c r="R8" s="399"/>
      <c r="S8" s="399"/>
      <c r="T8" s="399"/>
      <c r="U8" s="399"/>
      <c r="V8" s="399"/>
      <c r="W8" s="378"/>
      <c r="X8" s="378"/>
      <c r="Y8" s="378"/>
      <c r="Z8" s="378"/>
      <c r="AA8" s="378"/>
      <c r="AB8" s="399"/>
      <c r="AC8" s="378"/>
      <c r="AD8" s="399"/>
      <c r="AE8" s="399"/>
      <c r="AF8" s="399"/>
      <c r="AG8" s="400"/>
      <c r="AH8" s="402"/>
      <c r="AI8" s="400"/>
      <c r="AJ8" s="400"/>
      <c r="AK8" s="400"/>
      <c r="AL8" s="400"/>
      <c r="AM8" s="401">
        <f t="shared" si="10"/>
        <v>0</v>
      </c>
      <c r="AN8" s="402">
        <f t="shared" si="11"/>
        <v>0</v>
      </c>
      <c r="AO8" s="306"/>
    </row>
    <row r="9" spans="1:41" s="5" customFormat="1">
      <c r="A9" s="370">
        <f>'1-συμβολαια'!A9</f>
        <v>0</v>
      </c>
      <c r="B9" s="375" t="str">
        <f>'1-συμβολαια'!C9</f>
        <v>δανείου ???? ΤΟΚΟΙ</v>
      </c>
      <c r="C9" s="377">
        <f>'1-συμβολαια'!D9</f>
        <v>77777.77</v>
      </c>
      <c r="D9" s="397">
        <f>'3-φύλλα2α'!D9</f>
        <v>2</v>
      </c>
      <c r="E9" s="397">
        <f>'3-φύλλα2α'!E9</f>
        <v>0</v>
      </c>
      <c r="F9" s="308"/>
      <c r="G9" s="308"/>
      <c r="H9" s="366">
        <f t="shared" si="0"/>
        <v>0</v>
      </c>
      <c r="I9" s="398">
        <f t="shared" si="1"/>
        <v>0</v>
      </c>
      <c r="J9" s="398">
        <f t="shared" si="2"/>
        <v>0</v>
      </c>
      <c r="K9" s="398">
        <f t="shared" si="3"/>
        <v>0</v>
      </c>
      <c r="L9" s="398">
        <f t="shared" si="4"/>
        <v>0</v>
      </c>
      <c r="M9" s="398">
        <f t="shared" si="5"/>
        <v>0</v>
      </c>
      <c r="N9" s="398">
        <f t="shared" si="6"/>
        <v>0</v>
      </c>
      <c r="O9" s="398">
        <f t="shared" si="7"/>
        <v>0</v>
      </c>
      <c r="P9" s="398">
        <f t="shared" si="8"/>
        <v>0</v>
      </c>
      <c r="Q9" s="398">
        <f t="shared" si="9"/>
        <v>0</v>
      </c>
      <c r="R9" s="399"/>
      <c r="S9" s="399"/>
      <c r="T9" s="399"/>
      <c r="U9" s="399"/>
      <c r="V9" s="399"/>
      <c r="W9" s="378"/>
      <c r="X9" s="378"/>
      <c r="Y9" s="378"/>
      <c r="Z9" s="378"/>
      <c r="AA9" s="378"/>
      <c r="AB9" s="399"/>
      <c r="AC9" s="378"/>
      <c r="AD9" s="399"/>
      <c r="AE9" s="399"/>
      <c r="AF9" s="399"/>
      <c r="AG9" s="400"/>
      <c r="AH9" s="402"/>
      <c r="AI9" s="400"/>
      <c r="AJ9" s="400"/>
      <c r="AK9" s="400"/>
      <c r="AL9" s="400"/>
      <c r="AM9" s="401">
        <f t="shared" si="10"/>
        <v>0</v>
      </c>
      <c r="AN9" s="402">
        <f t="shared" si="11"/>
        <v>0</v>
      </c>
      <c r="AO9" s="306"/>
    </row>
    <row r="10" spans="1:41" s="5" customFormat="1">
      <c r="A10" s="14"/>
      <c r="B10" s="97"/>
      <c r="C10" s="39"/>
      <c r="D10" s="28"/>
      <c r="E10" s="28"/>
      <c r="F10" s="13"/>
      <c r="G10" s="13"/>
      <c r="H10" s="18"/>
      <c r="I10" s="24"/>
      <c r="J10" s="24"/>
      <c r="K10" s="24"/>
      <c r="L10" s="24"/>
      <c r="M10" s="24"/>
      <c r="N10" s="24"/>
      <c r="O10" s="24"/>
      <c r="P10" s="24"/>
      <c r="Q10" s="24"/>
      <c r="R10" s="350"/>
      <c r="S10" s="350"/>
      <c r="T10" s="350"/>
      <c r="U10" s="350"/>
      <c r="V10" s="350"/>
      <c r="W10" s="152"/>
      <c r="X10" s="152"/>
      <c r="Y10" s="152"/>
      <c r="Z10" s="152"/>
      <c r="AA10" s="152"/>
      <c r="AB10" s="350"/>
      <c r="AC10" s="152"/>
      <c r="AD10" s="350"/>
      <c r="AE10" s="350"/>
      <c r="AF10" s="350"/>
      <c r="AG10" s="194"/>
      <c r="AH10" s="195"/>
      <c r="AI10" s="194"/>
      <c r="AJ10" s="194"/>
      <c r="AK10" s="194"/>
      <c r="AL10" s="194"/>
      <c r="AM10" s="357"/>
      <c r="AN10" s="195"/>
      <c r="AO10" s="85"/>
    </row>
    <row r="11" spans="1:41" s="5" customFormat="1">
      <c r="A11" s="370" t="str">
        <f>'1-συμβολαια'!A11</f>
        <v>5ο</v>
      </c>
      <c r="B11" s="375" t="str">
        <f>'1-συμβολαια'!C11</f>
        <v>υποθήκης 1ου   κύρου ;;;???;;;δρχ ΕΞΑΛΕΙΨΗ</v>
      </c>
      <c r="C11" s="377">
        <f>'1-συμβολαια'!D11</f>
        <v>0</v>
      </c>
      <c r="D11" s="397">
        <f>'3-φύλλα2α'!D11</f>
        <v>2</v>
      </c>
      <c r="E11" s="397">
        <f>'3-φύλλα2α'!E11</f>
        <v>2</v>
      </c>
      <c r="F11" s="308">
        <v>2</v>
      </c>
      <c r="G11" s="308"/>
      <c r="H11" s="366">
        <f t="shared" si="0"/>
        <v>16</v>
      </c>
      <c r="I11" s="398">
        <f t="shared" si="1"/>
        <v>0</v>
      </c>
      <c r="J11" s="398">
        <f t="shared" si="2"/>
        <v>0.8</v>
      </c>
      <c r="K11" s="398">
        <f t="shared" si="3"/>
        <v>0.8</v>
      </c>
      <c r="L11" s="398">
        <f t="shared" si="4"/>
        <v>0.16</v>
      </c>
      <c r="M11" s="398">
        <f t="shared" si="5"/>
        <v>14.24</v>
      </c>
      <c r="N11" s="398">
        <f t="shared" si="6"/>
        <v>0</v>
      </c>
      <c r="O11" s="398">
        <f t="shared" si="7"/>
        <v>1.76</v>
      </c>
      <c r="P11" s="398">
        <f t="shared" si="8"/>
        <v>0</v>
      </c>
      <c r="Q11" s="398">
        <f t="shared" si="9"/>
        <v>1.76</v>
      </c>
      <c r="R11" s="399">
        <f>5*4+4</f>
        <v>24</v>
      </c>
      <c r="S11" s="399">
        <v>10</v>
      </c>
      <c r="T11" s="399">
        <v>8</v>
      </c>
      <c r="U11" s="399">
        <v>1.98</v>
      </c>
      <c r="V11" s="399"/>
      <c r="W11" s="378"/>
      <c r="X11" s="378"/>
      <c r="Y11" s="378"/>
      <c r="Z11" s="378"/>
      <c r="AA11" s="378"/>
      <c r="AB11" s="399"/>
      <c r="AC11" s="378"/>
      <c r="AD11" s="399"/>
      <c r="AE11" s="399"/>
      <c r="AF11" s="399"/>
      <c r="AG11" s="400"/>
      <c r="AH11" s="402"/>
      <c r="AI11" s="400"/>
      <c r="AJ11" s="400"/>
      <c r="AK11" s="400"/>
      <c r="AL11" s="400"/>
      <c r="AM11" s="401">
        <f t="shared" si="10"/>
        <v>1.98</v>
      </c>
      <c r="AN11" s="402">
        <f t="shared" si="11"/>
        <v>42</v>
      </c>
      <c r="AO11" s="306"/>
    </row>
    <row r="12" spans="1:41" s="5" customFormat="1">
      <c r="A12" s="370">
        <f>'1-συμβολαια'!A12</f>
        <v>0</v>
      </c>
      <c r="B12" s="375" t="str">
        <f>'1-συμβολαια'!C12</f>
        <v>δανείου 1ου   κύρου 1.050.000δρχ ...ΕΞΟΦΛΗΣΗ</v>
      </c>
      <c r="C12" s="377">
        <f>'1-συμβολαια'!D12</f>
        <v>0</v>
      </c>
      <c r="D12" s="397">
        <f>'3-φύλλα2α'!D12</f>
        <v>2</v>
      </c>
      <c r="E12" s="397">
        <f>'3-φύλλα2α'!E12</f>
        <v>0</v>
      </c>
      <c r="F12" s="308"/>
      <c r="G12" s="308"/>
      <c r="H12" s="366">
        <f t="shared" si="0"/>
        <v>0</v>
      </c>
      <c r="I12" s="398">
        <f t="shared" si="1"/>
        <v>0</v>
      </c>
      <c r="J12" s="398">
        <f t="shared" si="2"/>
        <v>0</v>
      </c>
      <c r="K12" s="398">
        <f t="shared" si="3"/>
        <v>0</v>
      </c>
      <c r="L12" s="398">
        <f t="shared" si="4"/>
        <v>0</v>
      </c>
      <c r="M12" s="398">
        <f t="shared" si="5"/>
        <v>0</v>
      </c>
      <c r="N12" s="398">
        <f t="shared" si="6"/>
        <v>0</v>
      </c>
      <c r="O12" s="398">
        <f t="shared" si="7"/>
        <v>0</v>
      </c>
      <c r="P12" s="398">
        <f t="shared" si="8"/>
        <v>0</v>
      </c>
      <c r="Q12" s="398">
        <f t="shared" si="9"/>
        <v>0</v>
      </c>
      <c r="R12" s="399"/>
      <c r="S12" s="399"/>
      <c r="T12" s="399"/>
      <c r="U12" s="399"/>
      <c r="V12" s="399"/>
      <c r="W12" s="378"/>
      <c r="X12" s="378"/>
      <c r="Y12" s="378"/>
      <c r="Z12" s="378"/>
      <c r="AA12" s="378"/>
      <c r="AB12" s="399"/>
      <c r="AC12" s="378"/>
      <c r="AD12" s="399"/>
      <c r="AE12" s="399"/>
      <c r="AF12" s="399"/>
      <c r="AG12" s="400"/>
      <c r="AH12" s="402"/>
      <c r="AI12" s="400"/>
      <c r="AJ12" s="400"/>
      <c r="AK12" s="400"/>
      <c r="AL12" s="400"/>
      <c r="AM12" s="401">
        <f t="shared" si="10"/>
        <v>0</v>
      </c>
      <c r="AN12" s="402">
        <f t="shared" si="11"/>
        <v>0</v>
      </c>
      <c r="AO12" s="306"/>
    </row>
    <row r="13" spans="1:41" s="5" customFormat="1">
      <c r="A13" s="370">
        <f>'1-συμβολαια'!A13</f>
        <v>0</v>
      </c>
      <c r="B13" s="375" t="str">
        <f>'1-συμβολαια'!C13</f>
        <v>δανείου 1ου   κύρου ΤΟΚΟΙ {προπληρωθέντες VS υπερβάλλοντες}</v>
      </c>
      <c r="C13" s="377">
        <f>'1-συμβολαια'!D13</f>
        <v>666.66</v>
      </c>
      <c r="D13" s="397">
        <f>'3-φύλλα2α'!D13</f>
        <v>2</v>
      </c>
      <c r="E13" s="397">
        <f>'3-φύλλα2α'!E13</f>
        <v>0</v>
      </c>
      <c r="F13" s="308"/>
      <c r="G13" s="308"/>
      <c r="H13" s="366">
        <f t="shared" si="0"/>
        <v>0</v>
      </c>
      <c r="I13" s="398">
        <f t="shared" si="1"/>
        <v>0</v>
      </c>
      <c r="J13" s="398">
        <f t="shared" si="2"/>
        <v>0</v>
      </c>
      <c r="K13" s="398">
        <f t="shared" si="3"/>
        <v>0</v>
      </c>
      <c r="L13" s="398">
        <f t="shared" si="4"/>
        <v>0</v>
      </c>
      <c r="M13" s="398">
        <f t="shared" si="5"/>
        <v>0</v>
      </c>
      <c r="N13" s="398">
        <f t="shared" si="6"/>
        <v>0</v>
      </c>
      <c r="O13" s="398">
        <f t="shared" si="7"/>
        <v>0</v>
      </c>
      <c r="P13" s="398">
        <f t="shared" si="8"/>
        <v>0</v>
      </c>
      <c r="Q13" s="398">
        <f t="shared" si="9"/>
        <v>0</v>
      </c>
      <c r="R13" s="399"/>
      <c r="S13" s="399"/>
      <c r="T13" s="399"/>
      <c r="U13" s="399"/>
      <c r="V13" s="399"/>
      <c r="W13" s="378"/>
      <c r="X13" s="378"/>
      <c r="Y13" s="378"/>
      <c r="Z13" s="378"/>
      <c r="AA13" s="378"/>
      <c r="AB13" s="399"/>
      <c r="AC13" s="378"/>
      <c r="AD13" s="399"/>
      <c r="AE13" s="399"/>
      <c r="AF13" s="399"/>
      <c r="AG13" s="400"/>
      <c r="AH13" s="402"/>
      <c r="AI13" s="400"/>
      <c r="AJ13" s="400"/>
      <c r="AK13" s="400"/>
      <c r="AL13" s="400"/>
      <c r="AM13" s="401">
        <f t="shared" si="10"/>
        <v>0</v>
      </c>
      <c r="AN13" s="402">
        <f t="shared" si="11"/>
        <v>0</v>
      </c>
      <c r="AO13" s="306"/>
    </row>
    <row r="14" spans="1:41" s="5" customFormat="1">
      <c r="A14" s="14"/>
      <c r="B14" s="97"/>
      <c r="C14" s="39"/>
      <c r="D14" s="28"/>
      <c r="E14" s="28"/>
      <c r="F14" s="13"/>
      <c r="G14" s="13"/>
      <c r="H14" s="18"/>
      <c r="I14" s="24"/>
      <c r="J14" s="24"/>
      <c r="K14" s="24"/>
      <c r="L14" s="24"/>
      <c r="M14" s="24"/>
      <c r="N14" s="24"/>
      <c r="O14" s="24"/>
      <c r="P14" s="24"/>
      <c r="Q14" s="24"/>
      <c r="R14" s="350"/>
      <c r="S14" s="350"/>
      <c r="T14" s="350"/>
      <c r="U14" s="350"/>
      <c r="V14" s="350"/>
      <c r="W14" s="152"/>
      <c r="X14" s="152"/>
      <c r="Y14" s="152"/>
      <c r="Z14" s="152"/>
      <c r="AA14" s="152"/>
      <c r="AB14" s="350"/>
      <c r="AC14" s="152"/>
      <c r="AD14" s="350"/>
      <c r="AE14" s="350"/>
      <c r="AF14" s="350"/>
      <c r="AG14" s="194"/>
      <c r="AH14" s="195"/>
      <c r="AI14" s="194"/>
      <c r="AJ14" s="194"/>
      <c r="AK14" s="194"/>
      <c r="AL14" s="194"/>
      <c r="AM14" s="357"/>
      <c r="AN14" s="195"/>
      <c r="AO14" s="85"/>
    </row>
    <row r="15" spans="1:41" s="5" customFormat="1">
      <c r="A15" s="370" t="str">
        <f>'1-συμβολαια'!A15</f>
        <v>6ο</v>
      </c>
      <c r="B15" s="375" t="str">
        <f>'1-συμβολαια'!C15</f>
        <v>υποθήκης 2ου   κύρου ;;;???;;;δρχ …..ΕΞΑΛΕΙΨΗ</v>
      </c>
      <c r="C15" s="377">
        <f>'1-συμβολαια'!D15</f>
        <v>0</v>
      </c>
      <c r="D15" s="397">
        <f>'3-φύλλα2α'!D15</f>
        <v>2</v>
      </c>
      <c r="E15" s="397">
        <f>'3-φύλλα2α'!E15</f>
        <v>2</v>
      </c>
      <c r="F15" s="308">
        <v>2</v>
      </c>
      <c r="G15" s="308"/>
      <c r="H15" s="366">
        <f t="shared" si="0"/>
        <v>16</v>
      </c>
      <c r="I15" s="398">
        <f t="shared" si="1"/>
        <v>0</v>
      </c>
      <c r="J15" s="398">
        <f t="shared" si="2"/>
        <v>0.8</v>
      </c>
      <c r="K15" s="398">
        <f t="shared" si="3"/>
        <v>0.8</v>
      </c>
      <c r="L15" s="398">
        <f t="shared" si="4"/>
        <v>0.16</v>
      </c>
      <c r="M15" s="398">
        <f t="shared" si="5"/>
        <v>14.24</v>
      </c>
      <c r="N15" s="398">
        <f t="shared" si="6"/>
        <v>0</v>
      </c>
      <c r="O15" s="398">
        <f t="shared" si="7"/>
        <v>1.76</v>
      </c>
      <c r="P15" s="398">
        <f t="shared" si="8"/>
        <v>0</v>
      </c>
      <c r="Q15" s="398">
        <f t="shared" si="9"/>
        <v>1.76</v>
      </c>
      <c r="R15" s="399">
        <f>5*4+4</f>
        <v>24</v>
      </c>
      <c r="S15" s="399">
        <v>10</v>
      </c>
      <c r="T15" s="399">
        <v>8</v>
      </c>
      <c r="U15" s="399">
        <v>1.98</v>
      </c>
      <c r="V15" s="399"/>
      <c r="W15" s="378"/>
      <c r="X15" s="378"/>
      <c r="Y15" s="378"/>
      <c r="Z15" s="378"/>
      <c r="AA15" s="378"/>
      <c r="AB15" s="399"/>
      <c r="AC15" s="378"/>
      <c r="AD15" s="399"/>
      <c r="AE15" s="399"/>
      <c r="AF15" s="399"/>
      <c r="AG15" s="400"/>
      <c r="AH15" s="402"/>
      <c r="AI15" s="400"/>
      <c r="AJ15" s="400"/>
      <c r="AK15" s="400"/>
      <c r="AL15" s="400"/>
      <c r="AM15" s="401">
        <f t="shared" si="10"/>
        <v>1.98</v>
      </c>
      <c r="AN15" s="402">
        <f t="shared" si="11"/>
        <v>42</v>
      </c>
      <c r="AO15" s="306"/>
    </row>
    <row r="16" spans="1:41" s="5" customFormat="1">
      <c r="A16" s="370">
        <f>'1-συμβολαια'!A16</f>
        <v>0</v>
      </c>
      <c r="B16" s="375" t="str">
        <f>'1-συμβολαια'!C16</f>
        <v>δανείου 2ου   κύρου 7000.000δρχ …..ΕΞΟΦΛΗΣΗ</v>
      </c>
      <c r="C16" s="377">
        <f>'1-συμβολαια'!D16</f>
        <v>0</v>
      </c>
      <c r="D16" s="397">
        <f>'3-φύλλα2α'!D16</f>
        <v>2</v>
      </c>
      <c r="E16" s="397">
        <f>'3-φύλλα2α'!E16</f>
        <v>0</v>
      </c>
      <c r="F16" s="308"/>
      <c r="G16" s="308"/>
      <c r="H16" s="366">
        <f t="shared" si="0"/>
        <v>0</v>
      </c>
      <c r="I16" s="398">
        <f t="shared" si="1"/>
        <v>0</v>
      </c>
      <c r="J16" s="398">
        <f t="shared" si="2"/>
        <v>0</v>
      </c>
      <c r="K16" s="398">
        <f t="shared" si="3"/>
        <v>0</v>
      </c>
      <c r="L16" s="398">
        <f t="shared" si="4"/>
        <v>0</v>
      </c>
      <c r="M16" s="398">
        <f t="shared" si="5"/>
        <v>0</v>
      </c>
      <c r="N16" s="398">
        <f t="shared" si="6"/>
        <v>0</v>
      </c>
      <c r="O16" s="398">
        <f t="shared" si="7"/>
        <v>0</v>
      </c>
      <c r="P16" s="398">
        <f t="shared" si="8"/>
        <v>0</v>
      </c>
      <c r="Q16" s="398">
        <f t="shared" si="9"/>
        <v>0</v>
      </c>
      <c r="R16" s="399"/>
      <c r="S16" s="399"/>
      <c r="T16" s="399"/>
      <c r="U16" s="399"/>
      <c r="V16" s="399"/>
      <c r="W16" s="378"/>
      <c r="X16" s="378"/>
      <c r="Y16" s="378"/>
      <c r="Z16" s="378"/>
      <c r="AA16" s="378"/>
      <c r="AB16" s="399"/>
      <c r="AC16" s="378"/>
      <c r="AD16" s="399"/>
      <c r="AE16" s="399"/>
      <c r="AF16" s="399"/>
      <c r="AG16" s="400"/>
      <c r="AH16" s="402"/>
      <c r="AI16" s="400"/>
      <c r="AJ16" s="400"/>
      <c r="AK16" s="400"/>
      <c r="AL16" s="400"/>
      <c r="AM16" s="401">
        <f t="shared" si="10"/>
        <v>0</v>
      </c>
      <c r="AN16" s="402">
        <f t="shared" si="11"/>
        <v>0</v>
      </c>
      <c r="AO16" s="306"/>
    </row>
    <row r="17" spans="1:41" s="5" customFormat="1">
      <c r="A17" s="370">
        <f>'1-συμβολαια'!A17</f>
        <v>0</v>
      </c>
      <c r="B17" s="375" t="str">
        <f>'1-συμβολαια'!C17</f>
        <v>δανείου 2ου    κύρου …. ΤΟΚΟΙ {προπληρωθέντες VS υπερβάλλοντες}</v>
      </c>
      <c r="C17" s="377">
        <f>'1-συμβολαια'!D17</f>
        <v>444.44</v>
      </c>
      <c r="D17" s="397">
        <f>'3-φύλλα2α'!D17</f>
        <v>2</v>
      </c>
      <c r="E17" s="397">
        <f>'3-φύλλα2α'!E17</f>
        <v>0</v>
      </c>
      <c r="F17" s="308"/>
      <c r="G17" s="308"/>
      <c r="H17" s="366">
        <f t="shared" si="0"/>
        <v>0</v>
      </c>
      <c r="I17" s="398">
        <f t="shared" si="1"/>
        <v>0</v>
      </c>
      <c r="J17" s="398">
        <f t="shared" si="2"/>
        <v>0</v>
      </c>
      <c r="K17" s="398">
        <f t="shared" si="3"/>
        <v>0</v>
      </c>
      <c r="L17" s="398">
        <f t="shared" si="4"/>
        <v>0</v>
      </c>
      <c r="M17" s="398">
        <f t="shared" si="5"/>
        <v>0</v>
      </c>
      <c r="N17" s="398">
        <f t="shared" si="6"/>
        <v>0</v>
      </c>
      <c r="O17" s="398">
        <f t="shared" si="7"/>
        <v>0</v>
      </c>
      <c r="P17" s="398">
        <f t="shared" si="8"/>
        <v>0</v>
      </c>
      <c r="Q17" s="398">
        <f t="shared" si="9"/>
        <v>0</v>
      </c>
      <c r="R17" s="399"/>
      <c r="S17" s="399"/>
      <c r="T17" s="399"/>
      <c r="U17" s="399"/>
      <c r="V17" s="399"/>
      <c r="W17" s="378"/>
      <c r="X17" s="378"/>
      <c r="Y17" s="378"/>
      <c r="Z17" s="378"/>
      <c r="AA17" s="378"/>
      <c r="AB17" s="399"/>
      <c r="AC17" s="378"/>
      <c r="AD17" s="399"/>
      <c r="AE17" s="399"/>
      <c r="AF17" s="399"/>
      <c r="AG17" s="400"/>
      <c r="AH17" s="402"/>
      <c r="AI17" s="400"/>
      <c r="AJ17" s="400"/>
      <c r="AK17" s="400"/>
      <c r="AL17" s="400"/>
      <c r="AM17" s="401">
        <f t="shared" si="10"/>
        <v>0</v>
      </c>
      <c r="AN17" s="402">
        <f t="shared" si="11"/>
        <v>0</v>
      </c>
      <c r="AO17" s="306"/>
    </row>
    <row r="18" spans="1:41" s="5" customFormat="1">
      <c r="A18" s="14"/>
      <c r="B18" s="97"/>
      <c r="C18" s="39"/>
      <c r="D18" s="28"/>
      <c r="E18" s="28"/>
      <c r="F18" s="13"/>
      <c r="G18" s="13"/>
      <c r="H18" s="18"/>
      <c r="I18" s="24"/>
      <c r="J18" s="24"/>
      <c r="K18" s="24"/>
      <c r="L18" s="24"/>
      <c r="M18" s="24"/>
      <c r="N18" s="24"/>
      <c r="O18" s="24"/>
      <c r="P18" s="24"/>
      <c r="Q18" s="24"/>
      <c r="R18" s="350"/>
      <c r="S18" s="350"/>
      <c r="T18" s="350"/>
      <c r="U18" s="350"/>
      <c r="V18" s="350"/>
      <c r="W18" s="152"/>
      <c r="X18" s="152"/>
      <c r="Y18" s="152"/>
      <c r="Z18" s="152"/>
      <c r="AA18" s="152"/>
      <c r="AB18" s="350"/>
      <c r="AC18" s="152"/>
      <c r="AD18" s="350"/>
      <c r="AE18" s="350"/>
      <c r="AF18" s="350"/>
      <c r="AG18" s="194"/>
      <c r="AH18" s="195"/>
      <c r="AI18" s="194"/>
      <c r="AJ18" s="194"/>
      <c r="AK18" s="194"/>
      <c r="AL18" s="194"/>
      <c r="AM18" s="357"/>
      <c r="AN18" s="195"/>
      <c r="AO18" s="85"/>
    </row>
    <row r="19" spans="1:41" s="5" customFormat="1">
      <c r="A19" s="370" t="str">
        <f>'1-συμβολαια'!A19</f>
        <v>7ο</v>
      </c>
      <c r="B19" s="375" t="str">
        <f>'1-συμβολαια'!C19</f>
        <v>υποθήκης ???? 2.168.354δρχ …. ΕΞΑΛΕΙΨΗ</v>
      </c>
      <c r="C19" s="377">
        <f>'1-συμβολαια'!D19</f>
        <v>6363.47</v>
      </c>
      <c r="D19" s="397">
        <f>'3-φύλλα2α'!D19</f>
        <v>2</v>
      </c>
      <c r="E19" s="397">
        <f>'3-φύλλα2α'!E19</f>
        <v>2</v>
      </c>
      <c r="F19" s="308">
        <v>2</v>
      </c>
      <c r="G19" s="308"/>
      <c r="H19" s="366">
        <f t="shared" si="0"/>
        <v>16</v>
      </c>
      <c r="I19" s="398">
        <f t="shared" si="1"/>
        <v>0</v>
      </c>
      <c r="J19" s="398">
        <f t="shared" si="2"/>
        <v>0.8</v>
      </c>
      <c r="K19" s="398">
        <f t="shared" si="3"/>
        <v>0.8</v>
      </c>
      <c r="L19" s="398">
        <f t="shared" si="4"/>
        <v>0.16</v>
      </c>
      <c r="M19" s="398">
        <f t="shared" si="5"/>
        <v>14.24</v>
      </c>
      <c r="N19" s="398">
        <f t="shared" si="6"/>
        <v>0</v>
      </c>
      <c r="O19" s="398">
        <f t="shared" si="7"/>
        <v>1.76</v>
      </c>
      <c r="P19" s="398">
        <f t="shared" si="8"/>
        <v>0</v>
      </c>
      <c r="Q19" s="398">
        <f t="shared" si="9"/>
        <v>1.76</v>
      </c>
      <c r="R19" s="399"/>
      <c r="S19" s="399"/>
      <c r="T19" s="399">
        <v>8</v>
      </c>
      <c r="U19" s="399">
        <v>1.98</v>
      </c>
      <c r="V19" s="399"/>
      <c r="W19" s="378"/>
      <c r="X19" s="378"/>
      <c r="Y19" s="378"/>
      <c r="Z19" s="378"/>
      <c r="AA19" s="378"/>
      <c r="AB19" s="399"/>
      <c r="AC19" s="378"/>
      <c r="AD19" s="399"/>
      <c r="AE19" s="399"/>
      <c r="AF19" s="399"/>
      <c r="AG19" s="400"/>
      <c r="AH19" s="402"/>
      <c r="AI19" s="400"/>
      <c r="AJ19" s="400"/>
      <c r="AK19" s="400"/>
      <c r="AL19" s="400"/>
      <c r="AM19" s="401">
        <f t="shared" si="10"/>
        <v>1.98</v>
      </c>
      <c r="AN19" s="402">
        <f t="shared" si="11"/>
        <v>8</v>
      </c>
      <c r="AO19" s="306"/>
    </row>
    <row r="20" spans="1:41" s="5" customFormat="1">
      <c r="A20" s="370">
        <f>'1-συμβολαια'!A20</f>
        <v>0</v>
      </c>
      <c r="B20" s="375" t="str">
        <f>'1-συμβολαια'!C20</f>
        <v>δανείου ??? 2.168.354δρχ ….. ΕΞΟΦΛΗΣΗ</v>
      </c>
      <c r="C20" s="377">
        <f>'1-συμβολαια'!D20</f>
        <v>6363.47</v>
      </c>
      <c r="D20" s="397">
        <f>'3-φύλλα2α'!D20</f>
        <v>2</v>
      </c>
      <c r="E20" s="397">
        <f>'3-φύλλα2α'!E20</f>
        <v>0</v>
      </c>
      <c r="F20" s="308"/>
      <c r="G20" s="308"/>
      <c r="H20" s="366">
        <f t="shared" si="0"/>
        <v>0</v>
      </c>
      <c r="I20" s="398">
        <f t="shared" si="1"/>
        <v>0</v>
      </c>
      <c r="J20" s="398">
        <f t="shared" si="2"/>
        <v>0</v>
      </c>
      <c r="K20" s="398">
        <f t="shared" si="3"/>
        <v>0</v>
      </c>
      <c r="L20" s="398">
        <f t="shared" si="4"/>
        <v>0</v>
      </c>
      <c r="M20" s="398">
        <f t="shared" si="5"/>
        <v>0</v>
      </c>
      <c r="N20" s="398">
        <f t="shared" si="6"/>
        <v>0</v>
      </c>
      <c r="O20" s="398">
        <f t="shared" si="7"/>
        <v>0</v>
      </c>
      <c r="P20" s="398">
        <f t="shared" si="8"/>
        <v>0</v>
      </c>
      <c r="Q20" s="398">
        <f t="shared" si="9"/>
        <v>0</v>
      </c>
      <c r="R20" s="399"/>
      <c r="S20" s="399"/>
      <c r="T20" s="399"/>
      <c r="U20" s="399"/>
      <c r="V20" s="399"/>
      <c r="W20" s="378"/>
      <c r="X20" s="378"/>
      <c r="Y20" s="378"/>
      <c r="Z20" s="378"/>
      <c r="AA20" s="378"/>
      <c r="AB20" s="399"/>
      <c r="AC20" s="378"/>
      <c r="AD20" s="399"/>
      <c r="AE20" s="399"/>
      <c r="AF20" s="399"/>
      <c r="AG20" s="400"/>
      <c r="AH20" s="402"/>
      <c r="AI20" s="400"/>
      <c r="AJ20" s="400"/>
      <c r="AK20" s="400"/>
      <c r="AL20" s="400"/>
      <c r="AM20" s="401">
        <f t="shared" si="10"/>
        <v>0</v>
      </c>
      <c r="AN20" s="402">
        <f t="shared" si="11"/>
        <v>0</v>
      </c>
      <c r="AO20" s="306"/>
    </row>
    <row r="21" spans="1:41" s="5" customFormat="1">
      <c r="A21" s="370">
        <f>'1-συμβολαια'!A21</f>
        <v>0</v>
      </c>
      <c r="B21" s="375" t="str">
        <f>'1-συμβολαια'!C21</f>
        <v>δανείου ???? ΤΟΚΟΙ</v>
      </c>
      <c r="C21" s="377">
        <f>'1-συμβολαια'!D21</f>
        <v>14444.44</v>
      </c>
      <c r="D21" s="397">
        <f>'3-φύλλα2α'!D21</f>
        <v>2</v>
      </c>
      <c r="E21" s="397">
        <f>'3-φύλλα2α'!E21</f>
        <v>0</v>
      </c>
      <c r="F21" s="308"/>
      <c r="G21" s="308"/>
      <c r="H21" s="366">
        <f t="shared" si="0"/>
        <v>0</v>
      </c>
      <c r="I21" s="398">
        <f t="shared" si="1"/>
        <v>0</v>
      </c>
      <c r="J21" s="398">
        <f t="shared" si="2"/>
        <v>0</v>
      </c>
      <c r="K21" s="398">
        <f t="shared" si="3"/>
        <v>0</v>
      </c>
      <c r="L21" s="398">
        <f t="shared" si="4"/>
        <v>0</v>
      </c>
      <c r="M21" s="398">
        <f t="shared" si="5"/>
        <v>0</v>
      </c>
      <c r="N21" s="398">
        <f t="shared" si="6"/>
        <v>0</v>
      </c>
      <c r="O21" s="398">
        <f t="shared" si="7"/>
        <v>0</v>
      </c>
      <c r="P21" s="398">
        <f t="shared" si="8"/>
        <v>0</v>
      </c>
      <c r="Q21" s="398">
        <f t="shared" si="9"/>
        <v>0</v>
      </c>
      <c r="R21" s="399"/>
      <c r="S21" s="399"/>
      <c r="T21" s="399"/>
      <c r="U21" s="399"/>
      <c r="V21" s="399"/>
      <c r="W21" s="378"/>
      <c r="X21" s="378"/>
      <c r="Y21" s="378"/>
      <c r="Z21" s="378"/>
      <c r="AA21" s="378"/>
      <c r="AB21" s="399"/>
      <c r="AC21" s="378"/>
      <c r="AD21" s="399"/>
      <c r="AE21" s="399"/>
      <c r="AF21" s="399"/>
      <c r="AG21" s="400"/>
      <c r="AH21" s="402"/>
      <c r="AI21" s="400"/>
      <c r="AJ21" s="400"/>
      <c r="AK21" s="400"/>
      <c r="AL21" s="400"/>
      <c r="AM21" s="401">
        <f t="shared" si="10"/>
        <v>0</v>
      </c>
      <c r="AN21" s="402"/>
      <c r="AO21" s="306"/>
    </row>
    <row r="22" spans="1:41" s="5" customFormat="1">
      <c r="A22" s="14"/>
      <c r="B22" s="97"/>
      <c r="C22" s="39"/>
      <c r="D22" s="28"/>
      <c r="E22" s="28"/>
      <c r="F22" s="13"/>
      <c r="G22" s="13"/>
      <c r="H22" s="18"/>
      <c r="I22" s="24"/>
      <c r="J22" s="24"/>
      <c r="K22" s="24"/>
      <c r="L22" s="24"/>
      <c r="M22" s="24"/>
      <c r="N22" s="24"/>
      <c r="O22" s="24"/>
      <c r="P22" s="24"/>
      <c r="Q22" s="24"/>
      <c r="R22" s="350"/>
      <c r="S22" s="350"/>
      <c r="T22" s="350"/>
      <c r="U22" s="350"/>
      <c r="V22" s="350"/>
      <c r="W22" s="152"/>
      <c r="X22" s="152"/>
      <c r="Y22" s="152"/>
      <c r="Z22" s="152"/>
      <c r="AA22" s="152"/>
      <c r="AB22" s="350"/>
      <c r="AC22" s="152"/>
      <c r="AD22" s="350"/>
      <c r="AE22" s="350"/>
      <c r="AF22" s="350"/>
      <c r="AG22" s="194"/>
      <c r="AH22" s="195"/>
      <c r="AI22" s="194"/>
      <c r="AJ22" s="194"/>
      <c r="AK22" s="194"/>
      <c r="AL22" s="194"/>
      <c r="AM22" s="357"/>
      <c r="AN22" s="195">
        <f t="shared" si="11"/>
        <v>0</v>
      </c>
      <c r="AO22" s="85"/>
    </row>
    <row r="23" spans="1:41" s="5" customFormat="1">
      <c r="A23" s="442">
        <f>'1-συμβολαια'!A23</f>
        <v>0</v>
      </c>
      <c r="B23" s="375" t="str">
        <f>'1-συμβολαια'!C23</f>
        <v>'του πλήρωσα ΚΑΙ τους φόρους''</v>
      </c>
      <c r="C23" s="377">
        <f>'1-συμβολαια'!D23</f>
        <v>111</v>
      </c>
      <c r="D23" s="397"/>
      <c r="E23" s="397"/>
      <c r="F23" s="308"/>
      <c r="G23" s="308"/>
      <c r="H23" s="366"/>
      <c r="I23" s="398"/>
      <c r="J23" s="398"/>
      <c r="K23" s="398"/>
      <c r="L23" s="398"/>
      <c r="M23" s="398"/>
      <c r="N23" s="398"/>
      <c r="O23" s="398"/>
      <c r="P23" s="398"/>
      <c r="Q23" s="398"/>
      <c r="R23" s="399"/>
      <c r="S23" s="399"/>
      <c r="T23" s="399"/>
      <c r="U23" s="399"/>
      <c r="V23" s="399"/>
      <c r="W23" s="378"/>
      <c r="X23" s="378"/>
      <c r="Y23" s="378"/>
      <c r="Z23" s="378"/>
      <c r="AA23" s="378"/>
      <c r="AB23" s="399"/>
      <c r="AC23" s="378"/>
      <c r="AD23" s="399"/>
      <c r="AE23" s="399"/>
      <c r="AF23" s="399"/>
      <c r="AG23" s="400"/>
      <c r="AH23" s="402"/>
      <c r="AI23" s="400"/>
      <c r="AJ23" s="400"/>
      <c r="AK23" s="400"/>
      <c r="AL23" s="400"/>
      <c r="AM23" s="401"/>
      <c r="AN23" s="402"/>
      <c r="AO23" s="306"/>
    </row>
    <row r="24" spans="1:41">
      <c r="A24" s="504" t="s">
        <v>47</v>
      </c>
      <c r="B24" s="505"/>
      <c r="C24" s="505"/>
      <c r="D24" s="505"/>
      <c r="E24" s="505"/>
      <c r="F24" s="505"/>
      <c r="G24" s="567"/>
      <c r="H24" s="41">
        <f t="shared" ref="H24:W24" si="12">SUM(H3:H23)</f>
        <v>80</v>
      </c>
      <c r="I24" s="41">
        <f t="shared" si="12"/>
        <v>0</v>
      </c>
      <c r="J24" s="41">
        <f t="shared" si="12"/>
        <v>4</v>
      </c>
      <c r="K24" s="41">
        <f t="shared" si="12"/>
        <v>4</v>
      </c>
      <c r="L24" s="41">
        <f t="shared" si="12"/>
        <v>0.8</v>
      </c>
      <c r="M24" s="41">
        <f t="shared" si="12"/>
        <v>71.2</v>
      </c>
      <c r="N24" s="41">
        <f t="shared" si="12"/>
        <v>0</v>
      </c>
      <c r="O24" s="41">
        <f t="shared" si="12"/>
        <v>8.8000000000000007</v>
      </c>
      <c r="P24" s="41">
        <f t="shared" si="12"/>
        <v>0</v>
      </c>
      <c r="Q24" s="41">
        <f t="shared" si="12"/>
        <v>8.8000000000000007</v>
      </c>
      <c r="R24" s="41">
        <f t="shared" si="12"/>
        <v>48</v>
      </c>
      <c r="S24" s="41">
        <f t="shared" si="12"/>
        <v>20</v>
      </c>
      <c r="T24" s="41">
        <f t="shared" si="12"/>
        <v>40</v>
      </c>
      <c r="U24" s="41">
        <f t="shared" si="12"/>
        <v>9.9</v>
      </c>
      <c r="V24" s="41">
        <f t="shared" si="12"/>
        <v>0</v>
      </c>
      <c r="W24" s="41">
        <f t="shared" si="12"/>
        <v>0</v>
      </c>
      <c r="X24" s="41"/>
      <c r="Y24" s="41"/>
      <c r="Z24" s="41"/>
      <c r="AA24" s="41">
        <f t="shared" ref="AA24:AF24" si="13">SUM(AA3:AA23)</f>
        <v>0</v>
      </c>
      <c r="AB24" s="41">
        <f t="shared" si="13"/>
        <v>0</v>
      </c>
      <c r="AC24" s="41">
        <f t="shared" si="13"/>
        <v>0</v>
      </c>
      <c r="AD24" s="41">
        <f t="shared" si="13"/>
        <v>0</v>
      </c>
      <c r="AE24" s="41">
        <f t="shared" si="13"/>
        <v>0</v>
      </c>
      <c r="AF24" s="41">
        <f t="shared" si="13"/>
        <v>0</v>
      </c>
      <c r="AG24" s="301"/>
      <c r="AH24" s="41">
        <f>SUM(AH3:AH23)</f>
        <v>0</v>
      </c>
      <c r="AI24" s="41">
        <f>SUM(AI3:AI23)</f>
        <v>0</v>
      </c>
      <c r="AJ24" s="41"/>
      <c r="AK24" s="41"/>
      <c r="AL24" s="41">
        <f>SUM(AL3:AL23)</f>
        <v>0</v>
      </c>
      <c r="AM24" s="41">
        <f>SUM(AM3:AM23)</f>
        <v>9.9</v>
      </c>
      <c r="AN24" s="41">
        <f>SUM(AN3:AN23)</f>
        <v>108</v>
      </c>
    </row>
    <row r="26" spans="1:41">
      <c r="R26" s="187" t="s">
        <v>428</v>
      </c>
      <c r="S26" s="201"/>
      <c r="T26" s="201"/>
      <c r="U26" s="198"/>
      <c r="V26" s="201"/>
      <c r="W26" s="198"/>
      <c r="X26" s="199"/>
      <c r="Y26" s="199"/>
      <c r="Z26" s="199"/>
      <c r="AA26" s="199"/>
      <c r="AB26" s="199"/>
      <c r="AC26" s="199"/>
      <c r="AD26" s="449"/>
      <c r="AE26" s="91"/>
      <c r="AF26" s="91"/>
      <c r="AG26" s="91"/>
      <c r="AH26" s="91"/>
      <c r="AI26" s="91"/>
      <c r="AJ26" s="91"/>
      <c r="AK26" s="91"/>
      <c r="AL26" s="91"/>
      <c r="AM26" s="91"/>
      <c r="AN26" s="91"/>
    </row>
    <row r="27" spans="1:41" ht="15.75">
      <c r="B27" s="348" t="s">
        <v>468</v>
      </c>
      <c r="C27" s="349"/>
      <c r="D27" s="349"/>
      <c r="E27" s="349"/>
      <c r="R27" s="199"/>
      <c r="S27" s="200" t="s">
        <v>234</v>
      </c>
      <c r="T27" s="449"/>
      <c r="U27" s="199"/>
      <c r="V27" s="449"/>
      <c r="W27" s="199"/>
      <c r="X27" s="199"/>
      <c r="Y27" s="199"/>
      <c r="Z27" s="199"/>
      <c r="AA27" s="199"/>
      <c r="AB27" s="199"/>
      <c r="AC27" s="199"/>
      <c r="AD27" s="449"/>
      <c r="AE27" s="91"/>
      <c r="AF27" s="91"/>
      <c r="AG27" s="91"/>
      <c r="AH27" s="91"/>
      <c r="AI27" s="91"/>
      <c r="AJ27" s="91"/>
      <c r="AK27" s="91"/>
      <c r="AL27" s="91"/>
      <c r="AM27" s="91"/>
      <c r="AN27" s="91"/>
    </row>
    <row r="28" spans="1:41">
      <c r="G28" s="8" t="s">
        <v>530</v>
      </c>
      <c r="H28" s="2">
        <f>H3/F3</f>
        <v>8</v>
      </c>
      <c r="P28" s="8"/>
      <c r="R28" s="199"/>
      <c r="S28" s="449"/>
      <c r="T28" s="197" t="s">
        <v>235</v>
      </c>
      <c r="U28" s="199"/>
      <c r="V28" s="449"/>
      <c r="W28" s="199"/>
      <c r="X28" s="199"/>
      <c r="Y28" s="199"/>
      <c r="Z28" s="199"/>
      <c r="AA28" s="199"/>
      <c r="AB28" s="199"/>
      <c r="AC28" s="199"/>
      <c r="AD28" s="449"/>
      <c r="AE28" s="91"/>
      <c r="AF28" s="91"/>
      <c r="AG28" s="91"/>
      <c r="AH28" s="91"/>
      <c r="AI28" s="91"/>
      <c r="AJ28" s="91"/>
      <c r="AK28" s="91"/>
      <c r="AL28" s="91"/>
      <c r="AM28" s="91"/>
      <c r="AN28" s="91"/>
    </row>
    <row r="29" spans="1:41">
      <c r="P29" s="8"/>
      <c r="R29" s="199"/>
      <c r="S29" s="449"/>
      <c r="T29" s="449"/>
      <c r="U29" s="200" t="s">
        <v>236</v>
      </c>
      <c r="V29" s="449"/>
      <c r="W29" s="199"/>
      <c r="X29" s="199"/>
      <c r="Y29" s="199"/>
      <c r="Z29" s="199"/>
      <c r="AA29" s="199"/>
      <c r="AB29" s="199"/>
      <c r="AC29" s="199"/>
      <c r="AD29" s="449"/>
      <c r="AE29" s="91"/>
      <c r="AF29" s="91"/>
      <c r="AG29" s="91"/>
      <c r="AH29" s="91"/>
      <c r="AI29" s="91"/>
      <c r="AJ29" s="91"/>
      <c r="AK29" s="91"/>
      <c r="AL29" s="91"/>
      <c r="AM29" s="91"/>
      <c r="AN29" s="91"/>
    </row>
    <row r="30" spans="1:41">
      <c r="P30" s="8" t="s">
        <v>552</v>
      </c>
      <c r="Q30" s="8" t="s">
        <v>531</v>
      </c>
      <c r="R30" s="8" t="s">
        <v>508</v>
      </c>
      <c r="S30" s="449"/>
      <c r="T30" s="449"/>
      <c r="U30" s="199"/>
      <c r="V30" s="197" t="s">
        <v>266</v>
      </c>
      <c r="W30" s="199"/>
      <c r="X30" s="199"/>
      <c r="Y30" s="199"/>
      <c r="Z30" s="199"/>
      <c r="AA30" s="199"/>
      <c r="AB30" s="199"/>
      <c r="AC30" s="199"/>
      <c r="AD30" s="449"/>
      <c r="AE30" s="199"/>
      <c r="AF30" s="199"/>
      <c r="AG30" s="199"/>
      <c r="AH30" s="199"/>
      <c r="AI30" s="199"/>
      <c r="AJ30" s="199"/>
      <c r="AK30" s="199"/>
      <c r="AL30" s="199"/>
      <c r="AM30" s="91"/>
      <c r="AN30" s="91"/>
    </row>
    <row r="31" spans="1:41">
      <c r="P31" s="8"/>
      <c r="Q31" s="8" t="s">
        <v>532</v>
      </c>
      <c r="R31" s="8" t="s">
        <v>508</v>
      </c>
      <c r="S31" s="449"/>
      <c r="T31" s="449"/>
      <c r="U31" s="199"/>
      <c r="V31" s="449"/>
      <c r="W31" s="200" t="s">
        <v>237</v>
      </c>
      <c r="X31" s="199"/>
      <c r="Y31" s="199"/>
      <c r="Z31" s="199"/>
      <c r="AA31" s="199"/>
      <c r="AB31" s="199"/>
      <c r="AC31" s="199"/>
      <c r="AD31" s="449"/>
      <c r="AE31" s="199"/>
      <c r="AF31" s="199"/>
      <c r="AG31" s="199"/>
      <c r="AH31" s="199"/>
      <c r="AI31" s="199"/>
      <c r="AJ31" s="199"/>
      <c r="AK31" s="199"/>
      <c r="AL31" s="199"/>
      <c r="AM31" s="91"/>
      <c r="AN31" s="91"/>
    </row>
    <row r="32" spans="1:41">
      <c r="P32" s="8"/>
      <c r="Q32" s="8"/>
      <c r="R32" s="199"/>
      <c r="S32" s="449"/>
      <c r="T32" s="449"/>
      <c r="U32" s="199"/>
      <c r="V32" s="449"/>
      <c r="W32" s="199"/>
      <c r="X32" s="197" t="s">
        <v>238</v>
      </c>
      <c r="Y32" s="197"/>
      <c r="Z32" s="199"/>
      <c r="AA32" s="199"/>
      <c r="AB32" s="199"/>
      <c r="AC32" s="199"/>
      <c r="AD32" s="449"/>
      <c r="AE32" s="199"/>
      <c r="AF32" s="199"/>
      <c r="AG32" s="199"/>
      <c r="AH32" s="199"/>
      <c r="AI32" s="199"/>
      <c r="AJ32" s="199"/>
      <c r="AK32" s="199"/>
      <c r="AL32" s="199"/>
      <c r="AM32" s="91"/>
      <c r="AN32" s="91"/>
    </row>
    <row r="33" spans="2:41">
      <c r="P33" s="8" t="s">
        <v>553</v>
      </c>
      <c r="Q33" s="8" t="s">
        <v>531</v>
      </c>
      <c r="R33" s="8" t="s">
        <v>508</v>
      </c>
      <c r="S33" s="449"/>
      <c r="T33" s="449"/>
      <c r="U33" s="199"/>
      <c r="V33" s="449"/>
      <c r="W33" s="199"/>
      <c r="X33" s="199"/>
      <c r="Y33" s="200" t="s">
        <v>267</v>
      </c>
      <c r="Z33" s="199"/>
      <c r="AA33" s="199"/>
      <c r="AB33" s="199"/>
      <c r="AC33" s="199"/>
      <c r="AD33" s="449"/>
      <c r="AE33" s="199"/>
      <c r="AF33" s="199"/>
      <c r="AG33" s="199"/>
      <c r="AH33" s="199"/>
      <c r="AI33" s="199"/>
      <c r="AJ33" s="199"/>
      <c r="AK33" s="199"/>
      <c r="AL33" s="199"/>
      <c r="AM33" s="91"/>
      <c r="AN33" s="91"/>
    </row>
    <row r="34" spans="2:41">
      <c r="B34" s="155"/>
      <c r="P34" s="8"/>
      <c r="Q34" s="8" t="s">
        <v>532</v>
      </c>
      <c r="R34" s="8" t="s">
        <v>508</v>
      </c>
      <c r="S34" s="449"/>
      <c r="T34" s="449"/>
      <c r="U34" s="199"/>
      <c r="V34" s="449"/>
      <c r="W34" s="199"/>
      <c r="X34" s="199"/>
      <c r="Y34" s="199"/>
      <c r="Z34" s="197" t="s">
        <v>239</v>
      </c>
      <c r="AA34" s="200"/>
      <c r="AB34" s="199"/>
      <c r="AC34" s="199"/>
      <c r="AD34" s="449"/>
      <c r="AE34" s="199"/>
      <c r="AF34" s="199"/>
      <c r="AG34" s="199"/>
      <c r="AH34" s="199"/>
      <c r="AI34" s="199"/>
      <c r="AJ34" s="199"/>
      <c r="AK34" s="199"/>
      <c r="AL34" s="199"/>
      <c r="AM34" s="91"/>
      <c r="AN34" s="91"/>
      <c r="AO34" s="196"/>
    </row>
    <row r="35" spans="2:41">
      <c r="B35" s="156"/>
      <c r="P35" s="8"/>
      <c r="Q35" s="8"/>
      <c r="R35" s="470"/>
      <c r="S35" s="449"/>
      <c r="T35" s="449"/>
      <c r="U35" s="199"/>
      <c r="V35" s="449"/>
      <c r="W35" s="199"/>
      <c r="X35" s="199"/>
      <c r="Y35" s="199"/>
      <c r="Z35" s="200"/>
      <c r="AA35" s="200" t="s">
        <v>268</v>
      </c>
      <c r="AB35" s="199"/>
      <c r="AC35" s="199"/>
      <c r="AD35" s="449"/>
      <c r="AE35" s="199"/>
      <c r="AF35" s="199"/>
      <c r="AG35" s="199"/>
      <c r="AH35" s="199"/>
      <c r="AI35" s="199"/>
      <c r="AJ35" s="199"/>
      <c r="AK35" s="199"/>
      <c r="AL35" s="199"/>
      <c r="AM35" s="91"/>
      <c r="AN35" s="91"/>
      <c r="AO35" s="196"/>
    </row>
    <row r="36" spans="2:41">
      <c r="P36" s="8"/>
      <c r="Q36" s="8"/>
      <c r="R36" s="470"/>
      <c r="S36" s="449"/>
      <c r="T36" s="449"/>
      <c r="U36" s="199"/>
      <c r="V36" s="449"/>
      <c r="W36" s="199"/>
      <c r="X36" s="199"/>
      <c r="Y36" s="199"/>
      <c r="Z36" s="199"/>
      <c r="AA36" s="199"/>
      <c r="AB36" s="197" t="s">
        <v>240</v>
      </c>
      <c r="AC36" s="199"/>
      <c r="AD36" s="449"/>
      <c r="AE36" s="199"/>
      <c r="AF36" s="199"/>
      <c r="AG36" s="199"/>
      <c r="AH36" s="199"/>
      <c r="AI36" s="199"/>
      <c r="AJ36" s="199"/>
      <c r="AK36" s="199"/>
      <c r="AL36" s="199"/>
      <c r="AM36" s="91"/>
      <c r="AN36" s="200"/>
    </row>
    <row r="37" spans="2:41">
      <c r="Q37" s="8"/>
      <c r="R37" s="199"/>
      <c r="S37" s="449"/>
      <c r="T37" s="449"/>
      <c r="U37" s="199"/>
      <c r="V37" s="449"/>
      <c r="W37" s="199"/>
      <c r="X37" s="199"/>
      <c r="Y37" s="199"/>
      <c r="Z37" s="199"/>
      <c r="AA37" s="199"/>
      <c r="AB37" s="199"/>
      <c r="AC37" s="200" t="s">
        <v>241</v>
      </c>
      <c r="AD37" s="449"/>
      <c r="AE37" s="199"/>
      <c r="AF37" s="199"/>
      <c r="AG37" s="199"/>
      <c r="AH37" s="199"/>
      <c r="AI37" s="199"/>
      <c r="AJ37" s="199"/>
      <c r="AK37" s="199"/>
      <c r="AL37" s="199"/>
      <c r="AM37" s="91"/>
      <c r="AN37" s="91"/>
    </row>
    <row r="38" spans="2:41">
      <c r="Q38" s="8"/>
      <c r="R38" s="199"/>
      <c r="S38" s="449"/>
      <c r="T38" s="449"/>
      <c r="U38" s="199"/>
      <c r="V38" s="449"/>
      <c r="W38" s="199"/>
      <c r="X38" s="199"/>
      <c r="Y38" s="199"/>
      <c r="Z38" s="199"/>
      <c r="AA38" s="199"/>
      <c r="AB38" s="199"/>
      <c r="AC38" s="199"/>
      <c r="AD38" s="197" t="s">
        <v>285</v>
      </c>
      <c r="AE38" s="201"/>
      <c r="AF38" s="201"/>
      <c r="AG38" s="201"/>
      <c r="AH38" s="201"/>
      <c r="AI38" s="201"/>
      <c r="AJ38" s="201"/>
      <c r="AK38" s="201"/>
      <c r="AL38" s="201"/>
      <c r="AM38" s="200"/>
    </row>
    <row r="39" spans="2:41">
      <c r="R39" s="91"/>
      <c r="S39" s="420"/>
      <c r="T39" s="420"/>
      <c r="U39" s="91"/>
      <c r="V39" s="449"/>
      <c r="W39" s="199"/>
      <c r="X39" s="199"/>
      <c r="Y39" s="199"/>
      <c r="Z39" s="199"/>
      <c r="AA39" s="199"/>
      <c r="AB39" s="199"/>
      <c r="AC39" s="199"/>
      <c r="AD39" s="449"/>
      <c r="AE39" s="197" t="s">
        <v>286</v>
      </c>
      <c r="AF39" s="200"/>
      <c r="AG39" s="200"/>
      <c r="AH39" s="200"/>
      <c r="AI39" s="200"/>
      <c r="AJ39" s="200"/>
      <c r="AK39" s="200"/>
      <c r="AL39" s="200"/>
      <c r="AM39" s="91"/>
    </row>
    <row r="40" spans="2:41">
      <c r="R40" s="2"/>
      <c r="S40" s="2"/>
      <c r="T40" s="2"/>
      <c r="U40" s="2"/>
      <c r="AF40" s="200" t="s">
        <v>287</v>
      </c>
      <c r="AG40" s="201"/>
      <c r="AH40" s="201"/>
      <c r="AI40" s="201"/>
      <c r="AJ40" s="201"/>
      <c r="AK40" s="201"/>
    </row>
    <row r="41" spans="2:41">
      <c r="AF41" s="199"/>
      <c r="AG41" s="302" t="s">
        <v>288</v>
      </c>
      <c r="AH41" s="302"/>
      <c r="AI41" s="302"/>
      <c r="AJ41" s="302"/>
      <c r="AK41" s="302"/>
      <c r="AL41" s="302"/>
    </row>
    <row r="42" spans="2:41">
      <c r="AG42" s="199"/>
      <c r="AH42" s="197" t="s">
        <v>434</v>
      </c>
      <c r="AI42" s="199"/>
      <c r="AJ42" s="199"/>
      <c r="AK42" s="199"/>
      <c r="AL42" s="200"/>
    </row>
    <row r="43" spans="2:41">
      <c r="AI43" s="200" t="s">
        <v>431</v>
      </c>
      <c r="AJ43" s="200"/>
      <c r="AK43" s="200"/>
    </row>
    <row r="44" spans="2:41">
      <c r="AJ44" s="197" t="s">
        <v>432</v>
      </c>
      <c r="AK44" s="199"/>
    </row>
    <row r="45" spans="2:41">
      <c r="AK45" s="200" t="s">
        <v>433</v>
      </c>
    </row>
  </sheetData>
  <mergeCells count="10">
    <mergeCell ref="A24:G24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33"/>
  <sheetViews>
    <sheetView workbookViewId="0">
      <pane ySplit="2" topLeftCell="A3" activePane="bottomLeft" state="frozen"/>
      <selection pane="bottomLeft" activeCell="K42" sqref="K42"/>
    </sheetView>
  </sheetViews>
  <sheetFormatPr defaultRowHeight="11.25"/>
  <cols>
    <col min="1" max="1" width="7.5703125" style="8" bestFit="1" customWidth="1"/>
    <col min="2" max="2" width="36.140625" style="96" bestFit="1" customWidth="1"/>
    <col min="3" max="3" width="11.7109375" style="3" customWidth="1"/>
    <col min="4" max="4" width="20.42578125" style="3" bestFit="1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68" customFormat="1" ht="15.75" customHeight="1">
      <c r="A1" s="582" t="s">
        <v>31</v>
      </c>
      <c r="B1" s="583"/>
      <c r="C1" s="583"/>
      <c r="D1" s="584"/>
      <c r="E1" s="595" t="s">
        <v>470</v>
      </c>
      <c r="F1" s="596"/>
      <c r="G1" s="596"/>
      <c r="H1" s="596"/>
      <c r="I1" s="596"/>
      <c r="J1" s="596"/>
      <c r="K1" s="596"/>
      <c r="L1" s="596"/>
      <c r="M1" s="596"/>
      <c r="N1" s="596"/>
      <c r="O1" s="596"/>
      <c r="P1" s="596"/>
      <c r="Q1" s="596"/>
      <c r="R1" s="596"/>
      <c r="S1" s="596"/>
      <c r="T1" s="597" t="s">
        <v>70</v>
      </c>
      <c r="U1" s="604" t="s">
        <v>166</v>
      </c>
      <c r="V1" s="582" t="s">
        <v>13</v>
      </c>
      <c r="W1" s="583"/>
      <c r="X1" s="583"/>
      <c r="Y1" s="583"/>
      <c r="Z1" s="583"/>
      <c r="AA1" s="583"/>
      <c r="AB1" s="583"/>
      <c r="AC1" s="583"/>
      <c r="AD1" s="583"/>
      <c r="AE1" s="584"/>
      <c r="AF1" s="594" t="s">
        <v>14</v>
      </c>
      <c r="AG1" s="594"/>
      <c r="AH1" s="594"/>
      <c r="AI1" s="594"/>
      <c r="AJ1" s="594"/>
      <c r="AK1" s="594"/>
      <c r="AL1" s="594"/>
      <c r="AM1" s="594"/>
      <c r="AN1" s="594"/>
      <c r="AO1" s="582" t="s">
        <v>15</v>
      </c>
      <c r="AP1" s="583"/>
      <c r="AQ1" s="583"/>
      <c r="AR1" s="583"/>
      <c r="AS1" s="583"/>
      <c r="AT1" s="583"/>
      <c r="AU1" s="583"/>
      <c r="AV1" s="583"/>
      <c r="AW1" s="583"/>
      <c r="AX1" s="584"/>
      <c r="AY1" s="585" t="s">
        <v>16</v>
      </c>
      <c r="AZ1" s="585"/>
      <c r="BA1" s="585"/>
      <c r="BB1" s="585"/>
      <c r="BC1" s="585"/>
      <c r="BD1" s="585"/>
      <c r="BE1" s="585"/>
      <c r="BF1" s="585"/>
      <c r="BG1" s="586" t="s">
        <v>17</v>
      </c>
      <c r="BH1" s="587"/>
      <c r="BI1" s="587"/>
      <c r="BJ1" s="587"/>
      <c r="BK1" s="588"/>
    </row>
    <row r="2" spans="1:63" s="4" customFormat="1" ht="34.5" thickBot="1">
      <c r="A2" s="83" t="s">
        <v>19</v>
      </c>
      <c r="B2" s="94" t="s">
        <v>0</v>
      </c>
      <c r="C2" s="69" t="s">
        <v>11</v>
      </c>
      <c r="D2" s="70" t="s">
        <v>12</v>
      </c>
      <c r="E2" s="58" t="s">
        <v>71</v>
      </c>
      <c r="F2" s="44" t="s">
        <v>72</v>
      </c>
      <c r="G2" s="44" t="s">
        <v>260</v>
      </c>
      <c r="H2" s="262" t="s">
        <v>261</v>
      </c>
      <c r="I2" s="44" t="s">
        <v>73</v>
      </c>
      <c r="J2" s="601" t="s">
        <v>29</v>
      </c>
      <c r="K2" s="602"/>
      <c r="L2" s="603"/>
      <c r="M2" s="44" t="s">
        <v>158</v>
      </c>
      <c r="N2" s="44" t="s">
        <v>159</v>
      </c>
      <c r="O2" s="44" t="s">
        <v>91</v>
      </c>
      <c r="P2" s="44" t="s">
        <v>457</v>
      </c>
      <c r="Q2" s="44" t="s">
        <v>165</v>
      </c>
      <c r="R2" s="100" t="s">
        <v>97</v>
      </c>
      <c r="S2" s="138" t="s">
        <v>96</v>
      </c>
      <c r="T2" s="598"/>
      <c r="U2" s="605"/>
      <c r="V2" s="58" t="s">
        <v>32</v>
      </c>
      <c r="W2" s="58" t="s">
        <v>19</v>
      </c>
      <c r="X2" s="44" t="s">
        <v>20</v>
      </c>
      <c r="Y2" s="10" t="s">
        <v>21</v>
      </c>
      <c r="Z2" s="10" t="s">
        <v>22</v>
      </c>
      <c r="AA2" s="44" t="s">
        <v>23</v>
      </c>
      <c r="AB2" s="44" t="s">
        <v>24</v>
      </c>
      <c r="AC2" s="44" t="s">
        <v>25</v>
      </c>
      <c r="AD2" s="589" t="s">
        <v>29</v>
      </c>
      <c r="AE2" s="590"/>
      <c r="AF2" s="58" t="s">
        <v>28</v>
      </c>
      <c r="AG2" s="58" t="s">
        <v>19</v>
      </c>
      <c r="AH2" s="44" t="s">
        <v>20</v>
      </c>
      <c r="AI2" s="10" t="s">
        <v>27</v>
      </c>
      <c r="AJ2" s="10" t="s">
        <v>19</v>
      </c>
      <c r="AK2" s="74" t="s">
        <v>74</v>
      </c>
      <c r="AL2" s="74" t="s">
        <v>75</v>
      </c>
      <c r="AM2" s="599" t="s">
        <v>29</v>
      </c>
      <c r="AN2" s="600"/>
      <c r="AO2" s="58" t="s">
        <v>18</v>
      </c>
      <c r="AP2" s="58" t="s">
        <v>19</v>
      </c>
      <c r="AQ2" s="44" t="s">
        <v>20</v>
      </c>
      <c r="AR2" s="10" t="s">
        <v>21</v>
      </c>
      <c r="AS2" s="10" t="s">
        <v>22</v>
      </c>
      <c r="AT2" s="44" t="s">
        <v>23</v>
      </c>
      <c r="AU2" s="44" t="s">
        <v>24</v>
      </c>
      <c r="AV2" s="44" t="s">
        <v>25</v>
      </c>
      <c r="AW2" s="589" t="s">
        <v>29</v>
      </c>
      <c r="AX2" s="590"/>
      <c r="AY2" s="58" t="s">
        <v>18</v>
      </c>
      <c r="AZ2" s="44" t="s">
        <v>19</v>
      </c>
      <c r="BA2" s="44" t="s">
        <v>20</v>
      </c>
      <c r="BB2" s="44" t="s">
        <v>26</v>
      </c>
      <c r="BC2" s="10" t="s">
        <v>27</v>
      </c>
      <c r="BD2" s="10" t="s">
        <v>19</v>
      </c>
      <c r="BE2" s="44" t="s">
        <v>28</v>
      </c>
      <c r="BF2" s="45" t="s">
        <v>29</v>
      </c>
      <c r="BG2" s="59" t="s">
        <v>30</v>
      </c>
      <c r="BH2" s="59" t="s">
        <v>19</v>
      </c>
      <c r="BI2" s="60" t="s">
        <v>18</v>
      </c>
      <c r="BJ2" s="589" t="s">
        <v>29</v>
      </c>
      <c r="BK2" s="590"/>
    </row>
    <row r="3" spans="1:63" s="5" customFormat="1">
      <c r="A3" s="405" t="str">
        <f>'1-συμβολαια'!A3</f>
        <v>3ο</v>
      </c>
      <c r="B3" s="403" t="str">
        <f>'1-συμβολαια'!C3</f>
        <v>υποθήκης ????  5.495.705δρχ ΕΞΑΛΕΙΨΗ</v>
      </c>
      <c r="C3" s="303" t="str">
        <f>'4-πολλυπρ'!D3</f>
        <v>…??? τραπεζα [= …????</v>
      </c>
      <c r="D3" s="303" t="str">
        <f>'4-πολλυπρ'!I3</f>
        <v>219-1 = …???</v>
      </c>
      <c r="E3" s="303">
        <v>2</v>
      </c>
      <c r="F3" s="377">
        <f t="shared" ref="F3:F19" si="0">E3*4</f>
        <v>8</v>
      </c>
      <c r="G3" s="377">
        <v>4</v>
      </c>
      <c r="H3" s="376"/>
      <c r="I3" s="377">
        <f t="shared" ref="I3:I19" si="1">F3+G3+H3</f>
        <v>12</v>
      </c>
      <c r="J3" s="309" t="s">
        <v>455</v>
      </c>
      <c r="K3" s="406" t="s">
        <v>164</v>
      </c>
      <c r="L3" s="406"/>
      <c r="M3" s="377">
        <v>7.4</v>
      </c>
      <c r="N3" s="377">
        <v>7.4</v>
      </c>
      <c r="O3" s="377">
        <v>1.98</v>
      </c>
      <c r="P3" s="377"/>
      <c r="Q3" s="377">
        <f t="shared" ref="Q3:Q21" si="2">M3+N3</f>
        <v>14.8</v>
      </c>
      <c r="R3" s="303"/>
      <c r="S3" s="303"/>
      <c r="T3" s="303"/>
      <c r="U3" s="303"/>
      <c r="V3" s="387"/>
      <c r="W3" s="77"/>
      <c r="X3" s="404" t="s">
        <v>400</v>
      </c>
      <c r="Y3" s="77"/>
      <c r="Z3" s="404" t="s">
        <v>9</v>
      </c>
      <c r="AA3" s="385"/>
      <c r="AB3" s="77"/>
      <c r="AC3" s="77"/>
      <c r="AD3" s="77"/>
      <c r="AE3" s="77"/>
      <c r="AF3" s="387"/>
      <c r="AG3" s="77"/>
      <c r="AH3" s="77"/>
      <c r="AI3" s="77"/>
      <c r="AJ3" s="77"/>
      <c r="AK3" s="308"/>
      <c r="AL3" s="308"/>
      <c r="AM3" s="308"/>
      <c r="AN3" s="77"/>
      <c r="AO3" s="77"/>
      <c r="AP3" s="77"/>
      <c r="AQ3" s="404" t="s">
        <v>400</v>
      </c>
      <c r="AR3" s="77"/>
      <c r="AS3" s="404" t="s">
        <v>9</v>
      </c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387"/>
      <c r="BJ3" s="77"/>
      <c r="BK3" s="77"/>
    </row>
    <row r="4" spans="1:63" s="5" customFormat="1">
      <c r="A4" s="405">
        <f>'1-συμβολαια'!A4</f>
        <v>0</v>
      </c>
      <c r="B4" s="403" t="str">
        <f>'1-συμβολαια'!C4</f>
        <v>δανείου ??? 5.495.700 δρχ …. ΕΞΟΦΛΗΣΗ</v>
      </c>
      <c r="C4" s="303" t="str">
        <f>'4-πολλυπρ'!D4</f>
        <v>…??? τραπεζα [= …????</v>
      </c>
      <c r="D4" s="303" t="str">
        <f>'4-πολλυπρ'!I4</f>
        <v>219-1 = …???</v>
      </c>
      <c r="E4" s="303"/>
      <c r="F4" s="377"/>
      <c r="G4" s="377"/>
      <c r="H4" s="376"/>
      <c r="I4" s="377"/>
      <c r="J4" s="309"/>
      <c r="K4" s="406"/>
      <c r="L4" s="406"/>
      <c r="M4" s="377"/>
      <c r="N4" s="377"/>
      <c r="O4" s="377"/>
      <c r="P4" s="377"/>
      <c r="Q4" s="377">
        <f t="shared" si="2"/>
        <v>0</v>
      </c>
      <c r="R4" s="303"/>
      <c r="S4" s="303"/>
      <c r="T4" s="303"/>
      <c r="U4" s="303"/>
      <c r="V4" s="387"/>
      <c r="W4" s="77"/>
      <c r="X4" s="404" t="s">
        <v>400</v>
      </c>
      <c r="Y4" s="77"/>
      <c r="Z4" s="404" t="s">
        <v>9</v>
      </c>
      <c r="AA4" s="385"/>
      <c r="AB4" s="77"/>
      <c r="AC4" s="77"/>
      <c r="AD4" s="77"/>
      <c r="AE4" s="77"/>
      <c r="AF4" s="387"/>
      <c r="AG4" s="77"/>
      <c r="AH4" s="77"/>
      <c r="AI4" s="77"/>
      <c r="AJ4" s="77"/>
      <c r="AK4" s="308"/>
      <c r="AL4" s="308"/>
      <c r="AM4" s="308"/>
      <c r="AN4" s="77"/>
      <c r="AO4" s="77"/>
      <c r="AP4" s="77"/>
      <c r="AQ4" s="404" t="s">
        <v>400</v>
      </c>
      <c r="AR4" s="77"/>
      <c r="AS4" s="404" t="s">
        <v>9</v>
      </c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387"/>
      <c r="BJ4" s="77"/>
      <c r="BK4" s="77"/>
    </row>
    <row r="5" spans="1:63" s="5" customFormat="1">
      <c r="A5" s="405">
        <f>'1-συμβολαια'!A5</f>
        <v>0</v>
      </c>
      <c r="B5" s="403" t="str">
        <f>'1-συμβολαια'!C5</f>
        <v>δανείου ???? ΤΟΚΟΙ</v>
      </c>
      <c r="C5" s="303" t="str">
        <f>'4-πολλυπρ'!D5</f>
        <v>…??? τραπεζα [= …????</v>
      </c>
      <c r="D5" s="303" t="str">
        <f>'4-πολλυπρ'!I5</f>
        <v>219-1 = …???</v>
      </c>
      <c r="E5" s="303"/>
      <c r="F5" s="377"/>
      <c r="G5" s="377"/>
      <c r="H5" s="376"/>
      <c r="I5" s="377"/>
      <c r="J5" s="309"/>
      <c r="K5" s="406"/>
      <c r="L5" s="406"/>
      <c r="M5" s="377"/>
      <c r="N5" s="377"/>
      <c r="O5" s="377"/>
      <c r="P5" s="377"/>
      <c r="Q5" s="377">
        <f t="shared" si="2"/>
        <v>0</v>
      </c>
      <c r="R5" s="303"/>
      <c r="S5" s="303"/>
      <c r="T5" s="303"/>
      <c r="U5" s="303"/>
      <c r="V5" s="387"/>
      <c r="W5" s="77"/>
      <c r="X5" s="404" t="s">
        <v>400</v>
      </c>
      <c r="Y5" s="77"/>
      <c r="Z5" s="404" t="s">
        <v>9</v>
      </c>
      <c r="AA5" s="385"/>
      <c r="AB5" s="77"/>
      <c r="AC5" s="77"/>
      <c r="AD5" s="77"/>
      <c r="AE5" s="77"/>
      <c r="AF5" s="387"/>
      <c r="AG5" s="77"/>
      <c r="AH5" s="77"/>
      <c r="AI5" s="77"/>
      <c r="AJ5" s="77"/>
      <c r="AK5" s="308"/>
      <c r="AL5" s="308"/>
      <c r="AM5" s="308"/>
      <c r="AN5" s="77"/>
      <c r="AO5" s="77"/>
      <c r="AP5" s="77"/>
      <c r="AQ5" s="404" t="s">
        <v>400</v>
      </c>
      <c r="AR5" s="77"/>
      <c r="AS5" s="404" t="s">
        <v>9</v>
      </c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387"/>
      <c r="BJ5" s="77"/>
      <c r="BK5" s="77"/>
    </row>
    <row r="6" spans="1:63" s="5" customFormat="1">
      <c r="A6" s="33"/>
      <c r="B6" s="95"/>
      <c r="C6" s="16"/>
      <c r="D6" s="16"/>
      <c r="E6" s="16"/>
      <c r="F6" s="39"/>
      <c r="G6" s="39"/>
      <c r="H6" s="21"/>
      <c r="I6" s="39"/>
      <c r="J6" s="261"/>
      <c r="K6" s="165"/>
      <c r="L6" s="165"/>
      <c r="M6" s="39"/>
      <c r="N6" s="39"/>
      <c r="O6" s="39"/>
      <c r="P6" s="39"/>
      <c r="Q6" s="39"/>
      <c r="R6" s="16"/>
      <c r="S6" s="16"/>
      <c r="T6" s="16"/>
      <c r="U6" s="16"/>
      <c r="V6" s="31"/>
      <c r="W6" s="26"/>
      <c r="X6" s="34"/>
      <c r="Y6" s="26"/>
      <c r="Z6" s="34"/>
      <c r="AA6" s="35"/>
      <c r="AB6" s="26"/>
      <c r="AC6" s="26"/>
      <c r="AD6" s="26"/>
      <c r="AE6" s="26"/>
      <c r="AF6" s="31"/>
      <c r="AG6" s="26"/>
      <c r="AH6" s="26"/>
      <c r="AI6" s="26"/>
      <c r="AJ6" s="26"/>
      <c r="AK6" s="13"/>
      <c r="AL6" s="13"/>
      <c r="AM6" s="13"/>
      <c r="AN6" s="26"/>
      <c r="AO6" s="26"/>
      <c r="AP6" s="26"/>
      <c r="AQ6" s="34"/>
      <c r="AR6" s="26"/>
      <c r="AS6" s="34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31"/>
      <c r="BJ6" s="26"/>
      <c r="BK6" s="26"/>
    </row>
    <row r="7" spans="1:63" s="5" customFormat="1">
      <c r="A7" s="405" t="str">
        <f>'1-συμβολαια'!A7</f>
        <v>4ο</v>
      </c>
      <c r="B7" s="403" t="str">
        <f>'1-συμβολαια'!C7</f>
        <v>υποθήκης ???? 12.000.000δρχ ΕΞΑΛΕΙΨΗ</v>
      </c>
      <c r="C7" s="303" t="str">
        <f>'4-πολλυπρ'!D7</f>
        <v>…??? τραπεζα [= …????</v>
      </c>
      <c r="D7" s="303" t="str">
        <f>'4-πολλυπρ'!I7</f>
        <v>219-1 = …???</v>
      </c>
      <c r="E7" s="303">
        <v>2</v>
      </c>
      <c r="F7" s="377">
        <f t="shared" si="0"/>
        <v>8</v>
      </c>
      <c r="G7" s="377">
        <v>4</v>
      </c>
      <c r="H7" s="376"/>
      <c r="I7" s="377">
        <f t="shared" si="1"/>
        <v>12</v>
      </c>
      <c r="J7" s="309" t="s">
        <v>455</v>
      </c>
      <c r="K7" s="406" t="s">
        <v>164</v>
      </c>
      <c r="L7" s="406"/>
      <c r="M7" s="377"/>
      <c r="N7" s="377"/>
      <c r="O7" s="377">
        <v>1.98</v>
      </c>
      <c r="P7" s="377"/>
      <c r="Q7" s="377">
        <f t="shared" si="2"/>
        <v>0</v>
      </c>
      <c r="R7" s="303"/>
      <c r="S7" s="303"/>
      <c r="T7" s="303"/>
      <c r="U7" s="303"/>
      <c r="V7" s="387"/>
      <c r="W7" s="77"/>
      <c r="X7" s="404" t="s">
        <v>400</v>
      </c>
      <c r="Y7" s="77"/>
      <c r="Z7" s="404" t="s">
        <v>9</v>
      </c>
      <c r="AA7" s="385"/>
      <c r="AB7" s="77"/>
      <c r="AC7" s="77"/>
      <c r="AD7" s="77"/>
      <c r="AE7" s="77"/>
      <c r="AF7" s="387"/>
      <c r="AG7" s="77"/>
      <c r="AH7" s="77"/>
      <c r="AI7" s="77"/>
      <c r="AJ7" s="77"/>
      <c r="AK7" s="308"/>
      <c r="AL7" s="308"/>
      <c r="AM7" s="308"/>
      <c r="AN7" s="77"/>
      <c r="AO7" s="77"/>
      <c r="AP7" s="77"/>
      <c r="AQ7" s="404" t="s">
        <v>400</v>
      </c>
      <c r="AR7" s="77"/>
      <c r="AS7" s="404" t="s">
        <v>9</v>
      </c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387"/>
      <c r="BJ7" s="77"/>
      <c r="BK7" s="77"/>
    </row>
    <row r="8" spans="1:63" s="5" customFormat="1">
      <c r="A8" s="405">
        <f>'1-συμβολαια'!A8</f>
        <v>0</v>
      </c>
      <c r="B8" s="403" t="str">
        <f>'1-συμβολαια'!C8</f>
        <v>δανείου ??? 12.000.000δρχ …. ΕΞΟΦΛΗΣΗ</v>
      </c>
      <c r="C8" s="303" t="str">
        <f>'4-πολλυπρ'!D8</f>
        <v>…??? τραπεζα [= …????</v>
      </c>
      <c r="D8" s="303" t="str">
        <f>'4-πολλυπρ'!I8</f>
        <v>219-1 = …???</v>
      </c>
      <c r="E8" s="303"/>
      <c r="F8" s="377"/>
      <c r="G8" s="377"/>
      <c r="H8" s="376"/>
      <c r="I8" s="377"/>
      <c r="J8" s="309"/>
      <c r="K8" s="406"/>
      <c r="L8" s="406"/>
      <c r="M8" s="377"/>
      <c r="N8" s="377"/>
      <c r="O8" s="377"/>
      <c r="P8" s="377"/>
      <c r="Q8" s="377">
        <f t="shared" si="2"/>
        <v>0</v>
      </c>
      <c r="R8" s="303"/>
      <c r="S8" s="303"/>
      <c r="T8" s="303"/>
      <c r="U8" s="303"/>
      <c r="V8" s="387"/>
      <c r="W8" s="77"/>
      <c r="X8" s="404" t="s">
        <v>400</v>
      </c>
      <c r="Y8" s="77"/>
      <c r="Z8" s="404" t="s">
        <v>9</v>
      </c>
      <c r="AA8" s="385"/>
      <c r="AB8" s="77"/>
      <c r="AC8" s="77"/>
      <c r="AD8" s="77"/>
      <c r="AE8" s="77"/>
      <c r="AF8" s="387"/>
      <c r="AG8" s="77"/>
      <c r="AH8" s="77"/>
      <c r="AI8" s="77"/>
      <c r="AJ8" s="77"/>
      <c r="AK8" s="308"/>
      <c r="AL8" s="308"/>
      <c r="AM8" s="308"/>
      <c r="AN8" s="77"/>
      <c r="AO8" s="77"/>
      <c r="AP8" s="77"/>
      <c r="AQ8" s="404" t="s">
        <v>400</v>
      </c>
      <c r="AR8" s="77"/>
      <c r="AS8" s="404" t="s">
        <v>9</v>
      </c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387"/>
      <c r="BJ8" s="77"/>
      <c r="BK8" s="77"/>
    </row>
    <row r="9" spans="1:63" s="5" customFormat="1">
      <c r="A9" s="405">
        <f>'1-συμβολαια'!A9</f>
        <v>0</v>
      </c>
      <c r="B9" s="403" t="str">
        <f>'1-συμβολαια'!C9</f>
        <v>δανείου ???? ΤΟΚΟΙ</v>
      </c>
      <c r="C9" s="303" t="str">
        <f>'4-πολλυπρ'!D9</f>
        <v>…??? τραπεζα [= …????</v>
      </c>
      <c r="D9" s="303" t="str">
        <f>'4-πολλυπρ'!I9</f>
        <v>219-1 = …???</v>
      </c>
      <c r="E9" s="303"/>
      <c r="F9" s="377"/>
      <c r="G9" s="377"/>
      <c r="H9" s="376"/>
      <c r="I9" s="377"/>
      <c r="J9" s="309"/>
      <c r="K9" s="406"/>
      <c r="L9" s="406"/>
      <c r="M9" s="377"/>
      <c r="N9" s="377"/>
      <c r="O9" s="377"/>
      <c r="P9" s="377"/>
      <c r="Q9" s="377">
        <f t="shared" si="2"/>
        <v>0</v>
      </c>
      <c r="R9" s="303"/>
      <c r="S9" s="303"/>
      <c r="T9" s="303"/>
      <c r="U9" s="303"/>
      <c r="V9" s="387"/>
      <c r="W9" s="77"/>
      <c r="X9" s="404" t="s">
        <v>400</v>
      </c>
      <c r="Y9" s="77"/>
      <c r="Z9" s="404" t="s">
        <v>9</v>
      </c>
      <c r="AA9" s="385"/>
      <c r="AB9" s="77"/>
      <c r="AC9" s="77"/>
      <c r="AD9" s="77"/>
      <c r="AE9" s="77"/>
      <c r="AF9" s="387"/>
      <c r="AG9" s="77"/>
      <c r="AH9" s="77"/>
      <c r="AI9" s="77"/>
      <c r="AJ9" s="77"/>
      <c r="AK9" s="308"/>
      <c r="AL9" s="308"/>
      <c r="AM9" s="308"/>
      <c r="AN9" s="77"/>
      <c r="AO9" s="77"/>
      <c r="AP9" s="77"/>
      <c r="AQ9" s="404" t="s">
        <v>400</v>
      </c>
      <c r="AR9" s="77"/>
      <c r="AS9" s="404" t="s">
        <v>9</v>
      </c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387"/>
      <c r="BJ9" s="77"/>
      <c r="BK9" s="77"/>
    </row>
    <row r="10" spans="1:63" s="5" customFormat="1">
      <c r="A10" s="33"/>
      <c r="B10" s="95"/>
      <c r="C10" s="16"/>
      <c r="D10" s="16"/>
      <c r="E10" s="16"/>
      <c r="F10" s="39"/>
      <c r="G10" s="39"/>
      <c r="H10" s="21"/>
      <c r="I10" s="39"/>
      <c r="J10" s="261"/>
      <c r="K10" s="165"/>
      <c r="L10" s="165"/>
      <c r="M10" s="39"/>
      <c r="N10" s="39"/>
      <c r="O10" s="39"/>
      <c r="P10" s="39"/>
      <c r="Q10" s="39"/>
      <c r="R10" s="16"/>
      <c r="S10" s="16"/>
      <c r="T10" s="16"/>
      <c r="U10" s="16"/>
      <c r="V10" s="31"/>
      <c r="W10" s="26"/>
      <c r="X10" s="34"/>
      <c r="Y10" s="26"/>
      <c r="Z10" s="34"/>
      <c r="AA10" s="35"/>
      <c r="AB10" s="26"/>
      <c r="AC10" s="26"/>
      <c r="AD10" s="26"/>
      <c r="AE10" s="26"/>
      <c r="AF10" s="31"/>
      <c r="AG10" s="26"/>
      <c r="AH10" s="26"/>
      <c r="AI10" s="26"/>
      <c r="AJ10" s="26"/>
      <c r="AK10" s="13"/>
      <c r="AL10" s="13"/>
      <c r="AM10" s="13"/>
      <c r="AN10" s="26"/>
      <c r="AO10" s="26"/>
      <c r="AP10" s="26"/>
      <c r="AQ10" s="34"/>
      <c r="AR10" s="26"/>
      <c r="AS10" s="34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31"/>
      <c r="BJ10" s="26"/>
      <c r="BK10" s="26"/>
    </row>
    <row r="11" spans="1:63" s="5" customFormat="1">
      <c r="A11" s="405" t="str">
        <f>'1-συμβολαια'!A11</f>
        <v>5ο</v>
      </c>
      <c r="B11" s="403" t="str">
        <f>'1-συμβολαια'!C11</f>
        <v>υποθήκης 1ου   κύρου ;;;???;;;δρχ ΕΞΑΛΕΙΨΗ</v>
      </c>
      <c r="C11" s="303" t="str">
        <f>'4-πολλυπρ'!D11</f>
        <v>…??? τραπεζα [= …????</v>
      </c>
      <c r="D11" s="303" t="str">
        <f>'4-πολλυπρ'!I11</f>
        <v>219-1 = …???</v>
      </c>
      <c r="E11" s="303">
        <v>2</v>
      </c>
      <c r="F11" s="377">
        <f t="shared" si="0"/>
        <v>8</v>
      </c>
      <c r="G11" s="377">
        <v>4</v>
      </c>
      <c r="H11" s="376"/>
      <c r="I11" s="377">
        <f t="shared" si="1"/>
        <v>12</v>
      </c>
      <c r="J11" s="309" t="s">
        <v>455</v>
      </c>
      <c r="K11" s="406" t="s">
        <v>164</v>
      </c>
      <c r="L11" s="406"/>
      <c r="M11" s="377"/>
      <c r="N11" s="377"/>
      <c r="O11" s="377">
        <v>1.98</v>
      </c>
      <c r="P11" s="377"/>
      <c r="Q11" s="377">
        <f t="shared" si="2"/>
        <v>0</v>
      </c>
      <c r="R11" s="303"/>
      <c r="S11" s="303"/>
      <c r="T11" s="303"/>
      <c r="U11" s="303"/>
      <c r="V11" s="387"/>
      <c r="W11" s="77"/>
      <c r="X11" s="404" t="s">
        <v>400</v>
      </c>
      <c r="Y11" s="77"/>
      <c r="Z11" s="404" t="s">
        <v>9</v>
      </c>
      <c r="AA11" s="385"/>
      <c r="AB11" s="77"/>
      <c r="AC11" s="77"/>
      <c r="AD11" s="77"/>
      <c r="AE11" s="77"/>
      <c r="AF11" s="387"/>
      <c r="AG11" s="77"/>
      <c r="AH11" s="77"/>
      <c r="AI11" s="77"/>
      <c r="AJ11" s="77"/>
      <c r="AK11" s="308"/>
      <c r="AL11" s="308"/>
      <c r="AM11" s="308"/>
      <c r="AN11" s="77"/>
      <c r="AO11" s="77"/>
      <c r="AP11" s="77"/>
      <c r="AQ11" s="404" t="s">
        <v>400</v>
      </c>
      <c r="AR11" s="77"/>
      <c r="AS11" s="404" t="s">
        <v>9</v>
      </c>
      <c r="AT11" s="77"/>
      <c r="AU11" s="77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387"/>
      <c r="BJ11" s="77"/>
      <c r="BK11" s="77"/>
    </row>
    <row r="12" spans="1:63" s="5" customFormat="1">
      <c r="A12" s="405">
        <f>'1-συμβολαια'!A12</f>
        <v>0</v>
      </c>
      <c r="B12" s="403" t="str">
        <f>'1-συμβολαια'!C12</f>
        <v>δανείου 1ου   κύρου 1.050.000δρχ ...ΕΞΟΦΛΗΣΗ</v>
      </c>
      <c r="C12" s="303" t="str">
        <f>'4-πολλυπρ'!D12</f>
        <v>…??? τραπεζα [= …????</v>
      </c>
      <c r="D12" s="303" t="str">
        <f>'4-πολλυπρ'!I12</f>
        <v>219-1 = …???</v>
      </c>
      <c r="E12" s="303"/>
      <c r="F12" s="377"/>
      <c r="G12" s="377"/>
      <c r="H12" s="376"/>
      <c r="I12" s="377"/>
      <c r="J12" s="309"/>
      <c r="K12" s="406"/>
      <c r="L12" s="406"/>
      <c r="M12" s="377"/>
      <c r="N12" s="377"/>
      <c r="O12" s="377"/>
      <c r="P12" s="377"/>
      <c r="Q12" s="377">
        <f t="shared" si="2"/>
        <v>0</v>
      </c>
      <c r="R12" s="303"/>
      <c r="S12" s="303"/>
      <c r="T12" s="303"/>
      <c r="U12" s="303"/>
      <c r="V12" s="387"/>
      <c r="W12" s="77"/>
      <c r="X12" s="404" t="s">
        <v>400</v>
      </c>
      <c r="Y12" s="77"/>
      <c r="Z12" s="404" t="s">
        <v>9</v>
      </c>
      <c r="AA12" s="385"/>
      <c r="AB12" s="77"/>
      <c r="AC12" s="77"/>
      <c r="AD12" s="77"/>
      <c r="AE12" s="77"/>
      <c r="AF12" s="387"/>
      <c r="AG12" s="77"/>
      <c r="AH12" s="77"/>
      <c r="AI12" s="77"/>
      <c r="AJ12" s="77"/>
      <c r="AK12" s="308"/>
      <c r="AL12" s="308"/>
      <c r="AM12" s="308"/>
      <c r="AN12" s="77"/>
      <c r="AO12" s="77"/>
      <c r="AP12" s="77"/>
      <c r="AQ12" s="404" t="s">
        <v>400</v>
      </c>
      <c r="AR12" s="77"/>
      <c r="AS12" s="404" t="s">
        <v>9</v>
      </c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387"/>
      <c r="BJ12" s="77"/>
      <c r="BK12" s="77"/>
    </row>
    <row r="13" spans="1:63" s="5" customFormat="1" ht="22.5">
      <c r="A13" s="405">
        <f>'1-συμβολαια'!A13</f>
        <v>0</v>
      </c>
      <c r="B13" s="403" t="str">
        <f>'1-συμβολαια'!C13</f>
        <v>δανείου 1ου   κύρου ΤΟΚΟΙ {προπληρωθέντες VS υπερβάλλοντες}</v>
      </c>
      <c r="C13" s="303" t="str">
        <f>'4-πολλυπρ'!D13</f>
        <v>…??? τραπεζα [= …????</v>
      </c>
      <c r="D13" s="303" t="str">
        <f>'4-πολλυπρ'!I13</f>
        <v>219-1 = …???</v>
      </c>
      <c r="E13" s="303"/>
      <c r="F13" s="377"/>
      <c r="G13" s="377"/>
      <c r="H13" s="376"/>
      <c r="I13" s="377"/>
      <c r="J13" s="309"/>
      <c r="K13" s="406"/>
      <c r="L13" s="406"/>
      <c r="M13" s="377"/>
      <c r="N13" s="377"/>
      <c r="O13" s="377"/>
      <c r="P13" s="377"/>
      <c r="Q13" s="377">
        <f t="shared" si="2"/>
        <v>0</v>
      </c>
      <c r="R13" s="303"/>
      <c r="S13" s="303"/>
      <c r="T13" s="303"/>
      <c r="U13" s="303"/>
      <c r="V13" s="387"/>
      <c r="W13" s="77"/>
      <c r="X13" s="404" t="s">
        <v>400</v>
      </c>
      <c r="Y13" s="77"/>
      <c r="Z13" s="404" t="s">
        <v>9</v>
      </c>
      <c r="AA13" s="385"/>
      <c r="AB13" s="77"/>
      <c r="AC13" s="77"/>
      <c r="AD13" s="77"/>
      <c r="AE13" s="77"/>
      <c r="AF13" s="387"/>
      <c r="AG13" s="77"/>
      <c r="AH13" s="77"/>
      <c r="AI13" s="77"/>
      <c r="AJ13" s="77"/>
      <c r="AK13" s="308"/>
      <c r="AL13" s="308"/>
      <c r="AM13" s="308"/>
      <c r="AN13" s="77"/>
      <c r="AO13" s="77"/>
      <c r="AP13" s="77"/>
      <c r="AQ13" s="404" t="s">
        <v>400</v>
      </c>
      <c r="AR13" s="77"/>
      <c r="AS13" s="404" t="s">
        <v>9</v>
      </c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387"/>
      <c r="BJ13" s="77"/>
      <c r="BK13" s="77"/>
    </row>
    <row r="14" spans="1:63" s="5" customFormat="1">
      <c r="A14" s="33"/>
      <c r="B14" s="95"/>
      <c r="C14" s="16"/>
      <c r="D14" s="16"/>
      <c r="E14" s="16"/>
      <c r="F14" s="39"/>
      <c r="G14" s="39"/>
      <c r="H14" s="21"/>
      <c r="I14" s="39"/>
      <c r="J14" s="261"/>
      <c r="K14" s="165"/>
      <c r="L14" s="165"/>
      <c r="M14" s="39"/>
      <c r="N14" s="39"/>
      <c r="O14" s="39"/>
      <c r="P14" s="39"/>
      <c r="Q14" s="39"/>
      <c r="R14" s="16"/>
      <c r="S14" s="16"/>
      <c r="T14" s="16"/>
      <c r="U14" s="16"/>
      <c r="V14" s="31"/>
      <c r="W14" s="26"/>
      <c r="X14" s="34"/>
      <c r="Y14" s="26"/>
      <c r="Z14" s="34"/>
      <c r="AA14" s="35"/>
      <c r="AB14" s="26"/>
      <c r="AC14" s="26"/>
      <c r="AD14" s="26"/>
      <c r="AE14" s="26"/>
      <c r="AF14" s="31"/>
      <c r="AG14" s="26"/>
      <c r="AH14" s="26"/>
      <c r="AI14" s="26"/>
      <c r="AJ14" s="26"/>
      <c r="AK14" s="13"/>
      <c r="AL14" s="13"/>
      <c r="AM14" s="13"/>
      <c r="AN14" s="26"/>
      <c r="AO14" s="26"/>
      <c r="AP14" s="26"/>
      <c r="AQ14" s="34"/>
      <c r="AR14" s="26"/>
      <c r="AS14" s="34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31"/>
      <c r="BJ14" s="26"/>
      <c r="BK14" s="26"/>
    </row>
    <row r="15" spans="1:63" s="5" customFormat="1">
      <c r="A15" s="405" t="str">
        <f>'1-συμβολαια'!A15</f>
        <v>6ο</v>
      </c>
      <c r="B15" s="403" t="str">
        <f>'1-συμβολαια'!C15</f>
        <v>υποθήκης 2ου   κύρου ;;;???;;;δρχ …..ΕΞΑΛΕΙΨΗ</v>
      </c>
      <c r="C15" s="303" t="str">
        <f>'4-πολλυπρ'!D15</f>
        <v>…??? τραπεζα [= …????</v>
      </c>
      <c r="D15" s="303" t="str">
        <f>'4-πολλυπρ'!I15</f>
        <v>219-1 = …???</v>
      </c>
      <c r="E15" s="303">
        <v>2</v>
      </c>
      <c r="F15" s="377">
        <f t="shared" si="0"/>
        <v>8</v>
      </c>
      <c r="G15" s="377">
        <v>4</v>
      </c>
      <c r="H15" s="376"/>
      <c r="I15" s="377">
        <f t="shared" si="1"/>
        <v>12</v>
      </c>
      <c r="J15" s="309" t="s">
        <v>455</v>
      </c>
      <c r="K15" s="406" t="s">
        <v>164</v>
      </c>
      <c r="L15" s="406"/>
      <c r="M15" s="377"/>
      <c r="N15" s="377"/>
      <c r="O15" s="377">
        <v>1.98</v>
      </c>
      <c r="P15" s="377"/>
      <c r="Q15" s="377">
        <f t="shared" si="2"/>
        <v>0</v>
      </c>
      <c r="R15" s="303"/>
      <c r="S15" s="303"/>
      <c r="T15" s="303"/>
      <c r="U15" s="303"/>
      <c r="V15" s="387"/>
      <c r="W15" s="77"/>
      <c r="X15" s="404" t="s">
        <v>400</v>
      </c>
      <c r="Y15" s="77"/>
      <c r="Z15" s="404" t="s">
        <v>9</v>
      </c>
      <c r="AA15" s="385"/>
      <c r="AB15" s="77"/>
      <c r="AC15" s="77"/>
      <c r="AD15" s="77"/>
      <c r="AE15" s="77"/>
      <c r="AF15" s="387"/>
      <c r="AG15" s="77"/>
      <c r="AH15" s="77"/>
      <c r="AI15" s="77"/>
      <c r="AJ15" s="77"/>
      <c r="AK15" s="308"/>
      <c r="AL15" s="308"/>
      <c r="AM15" s="308"/>
      <c r="AN15" s="77"/>
      <c r="AO15" s="77"/>
      <c r="AP15" s="77"/>
      <c r="AQ15" s="404" t="s">
        <v>400</v>
      </c>
      <c r="AR15" s="77"/>
      <c r="AS15" s="404" t="s">
        <v>9</v>
      </c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387"/>
      <c r="BJ15" s="77"/>
      <c r="BK15" s="77"/>
    </row>
    <row r="16" spans="1:63" s="5" customFormat="1">
      <c r="A16" s="405">
        <f>'1-συμβολαια'!A16</f>
        <v>0</v>
      </c>
      <c r="B16" s="403" t="str">
        <f>'1-συμβολαια'!C16</f>
        <v>δανείου 2ου   κύρου 7000.000δρχ …..ΕΞΟΦΛΗΣΗ</v>
      </c>
      <c r="C16" s="303" t="str">
        <f>'4-πολλυπρ'!D16</f>
        <v>…??? τραπεζα [= …????</v>
      </c>
      <c r="D16" s="303" t="str">
        <f>'4-πολλυπρ'!I16</f>
        <v>219-1 = …???</v>
      </c>
      <c r="E16" s="303"/>
      <c r="F16" s="377"/>
      <c r="G16" s="377"/>
      <c r="H16" s="376"/>
      <c r="I16" s="377"/>
      <c r="J16" s="309"/>
      <c r="K16" s="406"/>
      <c r="L16" s="406"/>
      <c r="M16" s="377"/>
      <c r="N16" s="377"/>
      <c r="O16" s="377"/>
      <c r="P16" s="377"/>
      <c r="Q16" s="377">
        <f t="shared" si="2"/>
        <v>0</v>
      </c>
      <c r="R16" s="303"/>
      <c r="S16" s="303"/>
      <c r="T16" s="303"/>
      <c r="U16" s="303"/>
      <c r="V16" s="387"/>
      <c r="W16" s="77"/>
      <c r="X16" s="404" t="s">
        <v>400</v>
      </c>
      <c r="Y16" s="77"/>
      <c r="Z16" s="404" t="s">
        <v>9</v>
      </c>
      <c r="AA16" s="385"/>
      <c r="AB16" s="77"/>
      <c r="AC16" s="77"/>
      <c r="AD16" s="77"/>
      <c r="AE16" s="77"/>
      <c r="AF16" s="387"/>
      <c r="AG16" s="77"/>
      <c r="AH16" s="77"/>
      <c r="AI16" s="77"/>
      <c r="AJ16" s="77"/>
      <c r="AK16" s="308"/>
      <c r="AL16" s="308"/>
      <c r="AM16" s="308"/>
      <c r="AN16" s="77"/>
      <c r="AO16" s="77"/>
      <c r="AP16" s="77"/>
      <c r="AQ16" s="404" t="s">
        <v>400</v>
      </c>
      <c r="AR16" s="77"/>
      <c r="AS16" s="404" t="s">
        <v>9</v>
      </c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387"/>
      <c r="BJ16" s="77"/>
      <c r="BK16" s="77"/>
    </row>
    <row r="17" spans="1:63" s="5" customFormat="1" ht="22.5">
      <c r="A17" s="405">
        <f>'1-συμβολαια'!A17</f>
        <v>0</v>
      </c>
      <c r="B17" s="403" t="str">
        <f>'1-συμβολαια'!C17</f>
        <v>δανείου 2ου    κύρου …. ΤΟΚΟΙ {προπληρωθέντες VS υπερβάλλοντες}</v>
      </c>
      <c r="C17" s="303" t="str">
        <f>'4-πολλυπρ'!D17</f>
        <v>…??? τραπεζα [= …????</v>
      </c>
      <c r="D17" s="303" t="str">
        <f>'4-πολλυπρ'!I17</f>
        <v>219-1 = …???</v>
      </c>
      <c r="E17" s="303"/>
      <c r="F17" s="377"/>
      <c r="G17" s="377"/>
      <c r="H17" s="376"/>
      <c r="I17" s="377"/>
      <c r="J17" s="309"/>
      <c r="K17" s="406"/>
      <c r="L17" s="406"/>
      <c r="M17" s="377"/>
      <c r="N17" s="377"/>
      <c r="O17" s="377"/>
      <c r="P17" s="377"/>
      <c r="Q17" s="377">
        <f t="shared" si="2"/>
        <v>0</v>
      </c>
      <c r="R17" s="303"/>
      <c r="S17" s="303"/>
      <c r="T17" s="303"/>
      <c r="U17" s="303"/>
      <c r="V17" s="387"/>
      <c r="W17" s="77"/>
      <c r="X17" s="404" t="s">
        <v>400</v>
      </c>
      <c r="Y17" s="77"/>
      <c r="Z17" s="404" t="s">
        <v>9</v>
      </c>
      <c r="AA17" s="385"/>
      <c r="AB17" s="77"/>
      <c r="AC17" s="77"/>
      <c r="AD17" s="77"/>
      <c r="AE17" s="77"/>
      <c r="AF17" s="387"/>
      <c r="AG17" s="77"/>
      <c r="AH17" s="77"/>
      <c r="AI17" s="77"/>
      <c r="AJ17" s="77"/>
      <c r="AK17" s="308"/>
      <c r="AL17" s="308"/>
      <c r="AM17" s="308"/>
      <c r="AN17" s="77"/>
      <c r="AO17" s="77"/>
      <c r="AP17" s="77"/>
      <c r="AQ17" s="404" t="s">
        <v>400</v>
      </c>
      <c r="AR17" s="77"/>
      <c r="AS17" s="404" t="s">
        <v>9</v>
      </c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387"/>
      <c r="BJ17" s="77"/>
      <c r="BK17" s="77"/>
    </row>
    <row r="18" spans="1:63" s="5" customFormat="1">
      <c r="A18" s="33"/>
      <c r="B18" s="95"/>
      <c r="C18" s="16"/>
      <c r="D18" s="16"/>
      <c r="E18" s="16"/>
      <c r="F18" s="39"/>
      <c r="G18" s="39"/>
      <c r="H18" s="21"/>
      <c r="I18" s="39"/>
      <c r="J18" s="261"/>
      <c r="K18" s="165"/>
      <c r="L18" s="165"/>
      <c r="M18" s="39"/>
      <c r="N18" s="39"/>
      <c r="O18" s="39"/>
      <c r="P18" s="39"/>
      <c r="Q18" s="39"/>
      <c r="R18" s="16"/>
      <c r="S18" s="16"/>
      <c r="T18" s="16"/>
      <c r="U18" s="16"/>
      <c r="V18" s="31"/>
      <c r="W18" s="26"/>
      <c r="X18" s="34"/>
      <c r="Y18" s="26"/>
      <c r="Z18" s="34"/>
      <c r="AA18" s="35"/>
      <c r="AB18" s="26"/>
      <c r="AC18" s="26"/>
      <c r="AD18" s="26"/>
      <c r="AE18" s="26"/>
      <c r="AF18" s="31"/>
      <c r="AG18" s="26"/>
      <c r="AH18" s="26"/>
      <c r="AI18" s="26"/>
      <c r="AJ18" s="26"/>
      <c r="AK18" s="13"/>
      <c r="AL18" s="13"/>
      <c r="AM18" s="13"/>
      <c r="AN18" s="26"/>
      <c r="AO18" s="26"/>
      <c r="AP18" s="26"/>
      <c r="AQ18" s="34"/>
      <c r="AR18" s="26"/>
      <c r="AS18" s="34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31"/>
      <c r="BJ18" s="26"/>
      <c r="BK18" s="26"/>
    </row>
    <row r="19" spans="1:63" s="5" customFormat="1">
      <c r="A19" s="405" t="str">
        <f>'1-συμβολαια'!A19</f>
        <v>7ο</v>
      </c>
      <c r="B19" s="403" t="str">
        <f>'1-συμβολαια'!C19</f>
        <v>υποθήκης ???? 2.168.354δρχ …. ΕΞΑΛΕΙΨΗ</v>
      </c>
      <c r="C19" s="303" t="str">
        <f>'4-πολλυπρ'!D19</f>
        <v>…??? τραπεζα [= …????</v>
      </c>
      <c r="D19" s="303" t="str">
        <f>'4-πολλυπρ'!I19</f>
        <v>219-1 = …???</v>
      </c>
      <c r="E19" s="303">
        <v>2</v>
      </c>
      <c r="F19" s="377">
        <f t="shared" si="0"/>
        <v>8</v>
      </c>
      <c r="G19" s="377">
        <v>4</v>
      </c>
      <c r="H19" s="376"/>
      <c r="I19" s="377">
        <f t="shared" si="1"/>
        <v>12</v>
      </c>
      <c r="J19" s="309" t="s">
        <v>455</v>
      </c>
      <c r="K19" s="406" t="s">
        <v>164</v>
      </c>
      <c r="L19" s="406"/>
      <c r="M19" s="377"/>
      <c r="N19" s="377"/>
      <c r="O19" s="377">
        <v>1.98</v>
      </c>
      <c r="P19" s="377"/>
      <c r="Q19" s="377">
        <f t="shared" si="2"/>
        <v>0</v>
      </c>
      <c r="R19" s="303"/>
      <c r="S19" s="303"/>
      <c r="T19" s="303"/>
      <c r="U19" s="303"/>
      <c r="V19" s="387"/>
      <c r="W19" s="77"/>
      <c r="X19" s="404" t="s">
        <v>400</v>
      </c>
      <c r="Y19" s="77"/>
      <c r="Z19" s="404" t="s">
        <v>9</v>
      </c>
      <c r="AA19" s="385"/>
      <c r="AB19" s="77"/>
      <c r="AC19" s="77"/>
      <c r="AD19" s="77"/>
      <c r="AE19" s="77"/>
      <c r="AF19" s="387"/>
      <c r="AG19" s="77"/>
      <c r="AH19" s="77"/>
      <c r="AI19" s="77"/>
      <c r="AJ19" s="77"/>
      <c r="AK19" s="308"/>
      <c r="AL19" s="308"/>
      <c r="AM19" s="308"/>
      <c r="AN19" s="77"/>
      <c r="AO19" s="77"/>
      <c r="AP19" s="77"/>
      <c r="AQ19" s="404" t="s">
        <v>400</v>
      </c>
      <c r="AR19" s="77"/>
      <c r="AS19" s="404" t="s">
        <v>9</v>
      </c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387"/>
      <c r="BJ19" s="77"/>
      <c r="BK19" s="77"/>
    </row>
    <row r="20" spans="1:63" s="5" customFormat="1">
      <c r="A20" s="405">
        <f>'1-συμβολαια'!A20</f>
        <v>0</v>
      </c>
      <c r="B20" s="403" t="str">
        <f>'1-συμβολαια'!C20</f>
        <v>δανείου ??? 2.168.354δρχ ….. ΕΞΟΦΛΗΣΗ</v>
      </c>
      <c r="C20" s="303" t="str">
        <f>'4-πολλυπρ'!D20</f>
        <v>…??? τραπεζα [= …????</v>
      </c>
      <c r="D20" s="303" t="str">
        <f>'4-πολλυπρ'!I20</f>
        <v>219-1 = …???</v>
      </c>
      <c r="E20" s="303"/>
      <c r="F20" s="377"/>
      <c r="G20" s="377"/>
      <c r="H20" s="376"/>
      <c r="I20" s="377"/>
      <c r="J20" s="309"/>
      <c r="K20" s="406"/>
      <c r="L20" s="406"/>
      <c r="M20" s="377"/>
      <c r="N20" s="377"/>
      <c r="O20" s="377"/>
      <c r="P20" s="377"/>
      <c r="Q20" s="377">
        <f t="shared" si="2"/>
        <v>0</v>
      </c>
      <c r="R20" s="303"/>
      <c r="S20" s="303"/>
      <c r="T20" s="303"/>
      <c r="U20" s="303"/>
      <c r="V20" s="387"/>
      <c r="W20" s="77"/>
      <c r="X20" s="404" t="s">
        <v>400</v>
      </c>
      <c r="Y20" s="77"/>
      <c r="Z20" s="404" t="s">
        <v>9</v>
      </c>
      <c r="AA20" s="385"/>
      <c r="AB20" s="77"/>
      <c r="AC20" s="77"/>
      <c r="AD20" s="77"/>
      <c r="AE20" s="77"/>
      <c r="AF20" s="387"/>
      <c r="AG20" s="77"/>
      <c r="AH20" s="77"/>
      <c r="AI20" s="77"/>
      <c r="AJ20" s="77"/>
      <c r="AK20" s="308"/>
      <c r="AL20" s="308"/>
      <c r="AM20" s="308"/>
      <c r="AN20" s="77"/>
      <c r="AO20" s="77"/>
      <c r="AP20" s="77"/>
      <c r="AQ20" s="404" t="s">
        <v>400</v>
      </c>
      <c r="AR20" s="77"/>
      <c r="AS20" s="404" t="s">
        <v>9</v>
      </c>
      <c r="AT20" s="77"/>
      <c r="AU20" s="77"/>
      <c r="AV20" s="77"/>
      <c r="AW20" s="77"/>
      <c r="AX20" s="77"/>
      <c r="AY20" s="77"/>
      <c r="AZ20" s="77"/>
      <c r="BA20" s="77"/>
      <c r="BB20" s="77"/>
      <c r="BC20" s="77"/>
      <c r="BD20" s="77"/>
      <c r="BE20" s="77"/>
      <c r="BF20" s="77"/>
      <c r="BG20" s="77"/>
      <c r="BH20" s="77"/>
      <c r="BI20" s="387"/>
      <c r="BJ20" s="77"/>
      <c r="BK20" s="77"/>
    </row>
    <row r="21" spans="1:63" s="5" customFormat="1">
      <c r="A21" s="405">
        <f>'1-συμβολαια'!A21</f>
        <v>0</v>
      </c>
      <c r="B21" s="403" t="str">
        <f>'1-συμβολαια'!C21</f>
        <v>δανείου ???? ΤΟΚΟΙ</v>
      </c>
      <c r="C21" s="303" t="str">
        <f>'4-πολλυπρ'!D21</f>
        <v>…??? τραπεζα [= …????</v>
      </c>
      <c r="D21" s="303" t="str">
        <f>'4-πολλυπρ'!I21</f>
        <v>219-1 = …???</v>
      </c>
      <c r="E21" s="303"/>
      <c r="F21" s="377"/>
      <c r="G21" s="377"/>
      <c r="H21" s="376"/>
      <c r="I21" s="377"/>
      <c r="J21" s="309"/>
      <c r="K21" s="406"/>
      <c r="L21" s="406"/>
      <c r="M21" s="377"/>
      <c r="N21" s="377"/>
      <c r="O21" s="377"/>
      <c r="P21" s="377"/>
      <c r="Q21" s="377">
        <f t="shared" si="2"/>
        <v>0</v>
      </c>
      <c r="R21" s="303"/>
      <c r="S21" s="303"/>
      <c r="T21" s="303"/>
      <c r="U21" s="303"/>
      <c r="V21" s="387"/>
      <c r="W21" s="77"/>
      <c r="X21" s="404" t="s">
        <v>400</v>
      </c>
      <c r="Y21" s="77"/>
      <c r="Z21" s="404" t="s">
        <v>9</v>
      </c>
      <c r="AA21" s="385"/>
      <c r="AB21" s="77"/>
      <c r="AC21" s="77"/>
      <c r="AD21" s="77"/>
      <c r="AE21" s="77"/>
      <c r="AF21" s="387"/>
      <c r="AG21" s="77"/>
      <c r="AH21" s="77"/>
      <c r="AI21" s="77"/>
      <c r="AJ21" s="77"/>
      <c r="AK21" s="308"/>
      <c r="AL21" s="308"/>
      <c r="AM21" s="308"/>
      <c r="AN21" s="77"/>
      <c r="AO21" s="77"/>
      <c r="AP21" s="77"/>
      <c r="AQ21" s="404" t="s">
        <v>400</v>
      </c>
      <c r="AR21" s="77"/>
      <c r="AS21" s="404" t="s">
        <v>9</v>
      </c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387"/>
      <c r="BJ21" s="77"/>
      <c r="BK21" s="77"/>
    </row>
    <row r="22" spans="1:63" s="5" customFormat="1">
      <c r="A22" s="33"/>
      <c r="B22" s="95"/>
      <c r="C22" s="16"/>
      <c r="D22" s="16"/>
      <c r="E22" s="16"/>
      <c r="F22" s="39"/>
      <c r="G22" s="39"/>
      <c r="H22" s="21"/>
      <c r="I22" s="39"/>
      <c r="J22" s="261"/>
      <c r="K22" s="165"/>
      <c r="L22" s="165"/>
      <c r="M22" s="39"/>
      <c r="N22" s="39"/>
      <c r="O22" s="39"/>
      <c r="P22" s="39"/>
      <c r="Q22" s="39"/>
      <c r="R22" s="16"/>
      <c r="S22" s="16"/>
      <c r="T22" s="16"/>
      <c r="U22" s="16"/>
      <c r="V22" s="31"/>
      <c r="W22" s="26"/>
      <c r="X22" s="34"/>
      <c r="Y22" s="26"/>
      <c r="Z22" s="34"/>
      <c r="AA22" s="35"/>
      <c r="AB22" s="26"/>
      <c r="AC22" s="26"/>
      <c r="AD22" s="26"/>
      <c r="AE22" s="26"/>
      <c r="AF22" s="31"/>
      <c r="AG22" s="26"/>
      <c r="AH22" s="26"/>
      <c r="AI22" s="26"/>
      <c r="AJ22" s="26"/>
      <c r="AK22" s="13"/>
      <c r="AL22" s="13"/>
      <c r="AM22" s="13"/>
      <c r="AN22" s="26"/>
      <c r="AO22" s="26"/>
      <c r="AP22" s="26"/>
      <c r="AQ22" s="34"/>
      <c r="AR22" s="26"/>
      <c r="AS22" s="34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31"/>
      <c r="BJ22" s="26"/>
      <c r="BK22" s="26"/>
    </row>
    <row r="23" spans="1:63" s="5" customFormat="1">
      <c r="A23" s="450">
        <f>'1-συμβολαια'!A23</f>
        <v>0</v>
      </c>
      <c r="B23" s="403" t="str">
        <f>'1-συμβολαια'!C23</f>
        <v>'του πλήρωσα ΚΑΙ τους φόρους''</v>
      </c>
      <c r="C23" s="303"/>
      <c r="D23" s="303"/>
      <c r="E23" s="303"/>
      <c r="F23" s="377"/>
      <c r="G23" s="377"/>
      <c r="H23" s="376"/>
      <c r="I23" s="377"/>
      <c r="J23" s="309"/>
      <c r="K23" s="406"/>
      <c r="L23" s="406"/>
      <c r="M23" s="377"/>
      <c r="N23" s="377"/>
      <c r="O23" s="377"/>
      <c r="P23" s="377"/>
      <c r="Q23" s="377"/>
      <c r="R23" s="303"/>
      <c r="S23" s="303"/>
      <c r="T23" s="303"/>
      <c r="U23" s="303"/>
      <c r="V23" s="387"/>
      <c r="W23" s="77"/>
      <c r="X23" s="404" t="s">
        <v>400</v>
      </c>
      <c r="Y23" s="77"/>
      <c r="Z23" s="404" t="s">
        <v>9</v>
      </c>
      <c r="AA23" s="385"/>
      <c r="AB23" s="77"/>
      <c r="AC23" s="77"/>
      <c r="AD23" s="77"/>
      <c r="AE23" s="77"/>
      <c r="AF23" s="387"/>
      <c r="AG23" s="77"/>
      <c r="AH23" s="77"/>
      <c r="AI23" s="77"/>
      <c r="AJ23" s="77"/>
      <c r="AK23" s="308"/>
      <c r="AL23" s="308"/>
      <c r="AM23" s="308"/>
      <c r="AN23" s="77"/>
      <c r="AO23" s="77"/>
      <c r="AP23" s="77"/>
      <c r="AQ23" s="404" t="s">
        <v>400</v>
      </c>
      <c r="AR23" s="77"/>
      <c r="AS23" s="404" t="s">
        <v>9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387"/>
      <c r="BJ23" s="77"/>
      <c r="BK23" s="77"/>
    </row>
    <row r="24" spans="1:63">
      <c r="A24" s="591" t="s">
        <v>35</v>
      </c>
      <c r="B24" s="592"/>
      <c r="C24" s="592"/>
      <c r="D24" s="593"/>
      <c r="E24" s="71">
        <f>SUM(E3:E23)</f>
        <v>10</v>
      </c>
      <c r="F24" s="71">
        <f>SUM(F3:F23)</f>
        <v>40</v>
      </c>
      <c r="G24" s="71">
        <f>SUM(G3:G23)</f>
        <v>20</v>
      </c>
      <c r="H24" s="351">
        <f>SUM(H3:H23)</f>
        <v>0</v>
      </c>
      <c r="I24" s="71">
        <f>SUM(I3:I23)</f>
        <v>60</v>
      </c>
      <c r="J24" s="71"/>
      <c r="K24" s="71"/>
      <c r="L24" s="71"/>
      <c r="M24" s="71">
        <f t="shared" ref="M24:T24" si="3">SUM(M3:M23)</f>
        <v>7.4</v>
      </c>
      <c r="N24" s="71">
        <f t="shared" si="3"/>
        <v>7.4</v>
      </c>
      <c r="O24" s="71">
        <f t="shared" si="3"/>
        <v>9.9</v>
      </c>
      <c r="P24" s="71">
        <f t="shared" si="3"/>
        <v>0</v>
      </c>
      <c r="Q24" s="71">
        <f t="shared" si="3"/>
        <v>14.8</v>
      </c>
      <c r="R24" s="71">
        <f t="shared" si="3"/>
        <v>0</v>
      </c>
      <c r="S24" s="71">
        <f t="shared" si="3"/>
        <v>0</v>
      </c>
      <c r="T24" s="71">
        <f t="shared" si="3"/>
        <v>0</v>
      </c>
      <c r="U24" s="71"/>
      <c r="V24" s="158"/>
      <c r="W24" s="71">
        <f>SUM(W3:W23)</f>
        <v>0</v>
      </c>
      <c r="X24" s="71"/>
      <c r="Y24" s="71">
        <f>SUM(Y3:Y23)</f>
        <v>0</v>
      </c>
      <c r="Z24" s="71"/>
      <c r="AA24" s="71">
        <f>SUM(AA3:AA23)</f>
        <v>0</v>
      </c>
      <c r="AB24" s="71">
        <f>SUM(AB3:AB23)</f>
        <v>0</v>
      </c>
      <c r="AC24" s="71">
        <f>SUM(AC3:AC23)</f>
        <v>0</v>
      </c>
      <c r="AD24" s="71">
        <f>SUM(AD3:AD23)</f>
        <v>0</v>
      </c>
      <c r="AE24" s="71">
        <f>SUM(AE3:AE23)</f>
        <v>0</v>
      </c>
      <c r="AF24" s="158"/>
      <c r="AG24" s="71">
        <f>SUM(AG3:AG23)</f>
        <v>0</v>
      </c>
      <c r="AH24" s="71">
        <f>SUM(AH3:AH23)</f>
        <v>0</v>
      </c>
      <c r="AI24" s="71">
        <f>SUM(AI3:AI23)</f>
        <v>0</v>
      </c>
      <c r="AJ24" s="71"/>
      <c r="AK24" s="75"/>
      <c r="AL24" s="75"/>
      <c r="AM24" s="75"/>
      <c r="AN24" s="71"/>
      <c r="AO24" s="71"/>
      <c r="AP24" s="71"/>
      <c r="AQ24" s="71"/>
      <c r="AR24" s="71">
        <f t="shared" ref="AR24:BK24" si="4">SUM(AR3:AR23)</f>
        <v>0</v>
      </c>
      <c r="AS24" s="71">
        <f t="shared" si="4"/>
        <v>0</v>
      </c>
      <c r="AT24" s="71">
        <f t="shared" si="4"/>
        <v>0</v>
      </c>
      <c r="AU24" s="71">
        <f t="shared" si="4"/>
        <v>0</v>
      </c>
      <c r="AV24" s="71">
        <f t="shared" si="4"/>
        <v>0</v>
      </c>
      <c r="AW24" s="71">
        <f t="shared" si="4"/>
        <v>0</v>
      </c>
      <c r="AX24" s="71">
        <f t="shared" si="4"/>
        <v>0</v>
      </c>
      <c r="AY24" s="71">
        <f t="shared" si="4"/>
        <v>0</v>
      </c>
      <c r="AZ24" s="71">
        <f t="shared" si="4"/>
        <v>0</v>
      </c>
      <c r="BA24" s="71">
        <f t="shared" si="4"/>
        <v>0</v>
      </c>
      <c r="BB24" s="71">
        <f t="shared" si="4"/>
        <v>0</v>
      </c>
      <c r="BC24" s="71">
        <f t="shared" si="4"/>
        <v>0</v>
      </c>
      <c r="BD24" s="71">
        <f t="shared" si="4"/>
        <v>0</v>
      </c>
      <c r="BE24" s="71">
        <f t="shared" si="4"/>
        <v>0</v>
      </c>
      <c r="BF24" s="71">
        <f t="shared" si="4"/>
        <v>0</v>
      </c>
      <c r="BG24" s="71">
        <f t="shared" si="4"/>
        <v>0</v>
      </c>
      <c r="BH24" s="71">
        <f t="shared" si="4"/>
        <v>0</v>
      </c>
      <c r="BI24" s="71">
        <f t="shared" si="4"/>
        <v>0</v>
      </c>
      <c r="BJ24" s="71">
        <f t="shared" si="4"/>
        <v>0</v>
      </c>
      <c r="BK24" s="71">
        <f t="shared" si="4"/>
        <v>0</v>
      </c>
    </row>
    <row r="25" spans="1:63">
      <c r="M25" s="161"/>
    </row>
    <row r="26" spans="1:63">
      <c r="G26" s="161"/>
      <c r="H26" s="161"/>
      <c r="I26" s="352" t="s">
        <v>99</v>
      </c>
      <c r="J26" s="161"/>
      <c r="K26" s="161"/>
      <c r="L26" s="161"/>
      <c r="M26" s="161"/>
      <c r="N26" s="161" t="s">
        <v>459</v>
      </c>
      <c r="O26" s="140"/>
      <c r="P26" s="140"/>
      <c r="U26" s="211" t="s">
        <v>166</v>
      </c>
      <c r="AB26" s="2"/>
      <c r="AD26" s="140" t="s">
        <v>100</v>
      </c>
      <c r="AK26" s="252" t="s">
        <v>101</v>
      </c>
    </row>
    <row r="27" spans="1:63">
      <c r="F27" s="3"/>
      <c r="G27" s="3"/>
      <c r="H27" s="3"/>
      <c r="I27" s="3"/>
      <c r="J27" s="186" t="s">
        <v>160</v>
      </c>
      <c r="K27" s="142"/>
      <c r="L27" s="142"/>
      <c r="N27" s="161"/>
      <c r="O27" s="3"/>
      <c r="P27" s="3"/>
      <c r="Q27" s="3"/>
      <c r="R27" s="186" t="s">
        <v>167</v>
      </c>
      <c r="U27" s="9"/>
    </row>
    <row r="28" spans="1:63">
      <c r="E28" s="141"/>
      <c r="F28" s="3"/>
      <c r="G28" s="3"/>
      <c r="H28" s="3"/>
      <c r="I28" s="3"/>
      <c r="J28" s="142" t="s">
        <v>161</v>
      </c>
      <c r="K28" s="142"/>
      <c r="L28" s="142"/>
      <c r="N28" s="3"/>
      <c r="O28" s="3"/>
      <c r="P28" s="3"/>
      <c r="Q28" s="3"/>
      <c r="S28" s="142" t="s">
        <v>168</v>
      </c>
      <c r="U28" s="9"/>
    </row>
    <row r="29" spans="1:63">
      <c r="H29" s="3"/>
      <c r="J29" s="142"/>
      <c r="K29" s="186" t="s">
        <v>162</v>
      </c>
      <c r="L29" s="142"/>
      <c r="O29" s="181" t="s">
        <v>447</v>
      </c>
      <c r="P29" s="4"/>
      <c r="U29" s="9"/>
    </row>
    <row r="30" spans="1:63">
      <c r="H30" s="3"/>
      <c r="K30" s="142" t="s">
        <v>163</v>
      </c>
      <c r="L30" s="142"/>
      <c r="P30" s="2" t="s">
        <v>457</v>
      </c>
      <c r="U30" s="9"/>
    </row>
    <row r="31" spans="1:63">
      <c r="H31" s="3"/>
      <c r="L31" s="186" t="s">
        <v>269</v>
      </c>
      <c r="U31" s="9"/>
    </row>
    <row r="32" spans="1:63">
      <c r="L32" s="142" t="s">
        <v>270</v>
      </c>
      <c r="U32" s="9"/>
    </row>
    <row r="33" spans="12:21">
      <c r="L33" s="142"/>
      <c r="U33" s="9"/>
    </row>
  </sheetData>
  <mergeCells count="15">
    <mergeCell ref="A24:D24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34"/>
  <sheetViews>
    <sheetView workbookViewId="0">
      <pane ySplit="2" topLeftCell="A3" activePane="bottomLeft" state="frozen"/>
      <selection pane="bottomLeft" activeCell="I43" sqref="I43"/>
    </sheetView>
  </sheetViews>
  <sheetFormatPr defaultRowHeight="11.25"/>
  <cols>
    <col min="1" max="1" width="10.5703125" style="8" bestFit="1" customWidth="1"/>
    <col min="2" max="2" width="36.140625" style="96" bestFit="1" customWidth="1"/>
    <col min="3" max="3" width="5.7109375" style="3" bestFit="1" customWidth="1"/>
    <col min="4" max="4" width="10.7109375" style="3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2" width="8.85546875" style="2" customWidth="1"/>
    <col min="23" max="23" width="12" style="2" customWidth="1"/>
    <col min="24" max="24" width="9.85546875" style="86" customWidth="1"/>
    <col min="25" max="25" width="7.42578125" style="86" customWidth="1"/>
    <col min="26" max="26" width="11.42578125" style="86" bestFit="1" customWidth="1"/>
    <col min="27" max="27" width="13" style="86" customWidth="1"/>
    <col min="28" max="16384" width="9.140625" style="3"/>
  </cols>
  <sheetData>
    <row r="1" spans="1:27" s="4" customFormat="1" ht="15.75" customHeight="1">
      <c r="A1" s="611" t="s">
        <v>31</v>
      </c>
      <c r="B1" s="612"/>
      <c r="C1" s="612"/>
      <c r="D1" s="613"/>
      <c r="E1" s="614" t="s">
        <v>171</v>
      </c>
      <c r="F1" s="615"/>
      <c r="G1" s="615"/>
      <c r="H1" s="615"/>
      <c r="I1" s="606" t="s">
        <v>165</v>
      </c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  <c r="V1" s="606"/>
      <c r="W1" s="606"/>
      <c r="X1" s="607" t="s">
        <v>29</v>
      </c>
      <c r="Y1" s="608"/>
      <c r="Z1" s="608"/>
      <c r="AA1" s="608"/>
    </row>
    <row r="2" spans="1:27" s="4" customFormat="1" ht="23.25" thickBot="1">
      <c r="A2" s="10" t="s">
        <v>19</v>
      </c>
      <c r="B2" s="177" t="s">
        <v>0</v>
      </c>
      <c r="C2" s="58" t="s">
        <v>11</v>
      </c>
      <c r="D2" s="178" t="s">
        <v>12</v>
      </c>
      <c r="E2" s="44" t="s">
        <v>471</v>
      </c>
      <c r="F2" s="616" t="s">
        <v>29</v>
      </c>
      <c r="G2" s="617"/>
      <c r="H2" s="618"/>
      <c r="I2" s="44" t="s">
        <v>88</v>
      </c>
      <c r="J2" s="44" t="s">
        <v>89</v>
      </c>
      <c r="K2" s="58" t="s">
        <v>91</v>
      </c>
      <c r="L2" s="44" t="s">
        <v>242</v>
      </c>
      <c r="M2" s="44" t="s">
        <v>243</v>
      </c>
      <c r="N2" s="44" t="s">
        <v>244</v>
      </c>
      <c r="O2" s="58" t="s">
        <v>538</v>
      </c>
      <c r="P2" s="58" t="s">
        <v>36</v>
      </c>
      <c r="Q2" s="58" t="s">
        <v>539</v>
      </c>
      <c r="R2" s="58"/>
      <c r="S2" s="58" t="s">
        <v>540</v>
      </c>
      <c r="T2" s="58" t="s">
        <v>541</v>
      </c>
      <c r="U2" s="58"/>
      <c r="V2" s="58" t="s">
        <v>174</v>
      </c>
      <c r="W2" s="58" t="s">
        <v>47</v>
      </c>
      <c r="X2" s="609"/>
      <c r="Y2" s="610"/>
      <c r="Z2" s="610"/>
      <c r="AA2" s="610"/>
    </row>
    <row r="3" spans="1:27" s="5" customFormat="1">
      <c r="A3" s="405" t="str">
        <f>'1-συμβολαια'!A3</f>
        <v>3ο</v>
      </c>
      <c r="B3" s="403" t="str">
        <f>'1-συμβολαια'!C3</f>
        <v>υποθήκης ????  5.495.705δρχ ΕΞΑΛΕΙΨΗ</v>
      </c>
      <c r="C3" s="303" t="str">
        <f>'4-πολλυπρ'!D3</f>
        <v>…??? τραπεζα [= …????</v>
      </c>
      <c r="D3" s="303" t="str">
        <f>'4-πολλυπρ'!I3</f>
        <v>219-1 = …???</v>
      </c>
      <c r="E3" s="377"/>
      <c r="F3" s="406" t="s">
        <v>172</v>
      </c>
      <c r="G3" s="406" t="s">
        <v>173</v>
      </c>
      <c r="H3" s="377"/>
      <c r="I3" s="377"/>
      <c r="J3" s="377"/>
      <c r="K3" s="377"/>
      <c r="L3" s="377"/>
      <c r="M3" s="377"/>
      <c r="N3" s="377"/>
      <c r="O3" s="376"/>
      <c r="P3" s="376"/>
      <c r="Q3" s="376"/>
      <c r="R3" s="376"/>
      <c r="S3" s="376"/>
      <c r="T3" s="376"/>
      <c r="U3" s="376"/>
      <c r="V3" s="263"/>
      <c r="W3" s="377">
        <f t="shared" ref="W3:W21" si="0">SUM(I3:V3)-K3</f>
        <v>0</v>
      </c>
      <c r="X3" s="378"/>
      <c r="Y3" s="378"/>
      <c r="Z3" s="407"/>
      <c r="AA3" s="306"/>
    </row>
    <row r="4" spans="1:27" s="5" customFormat="1">
      <c r="A4" s="405">
        <f>'1-συμβολαια'!A4</f>
        <v>0</v>
      </c>
      <c r="B4" s="403" t="str">
        <f>'1-συμβολαια'!C4</f>
        <v>δανείου ??? 5.495.700 δρχ …. ΕΞΟΦΛΗΣΗ</v>
      </c>
      <c r="C4" s="303" t="str">
        <f>'4-πολλυπρ'!D4</f>
        <v>…??? τραπεζα [= …????</v>
      </c>
      <c r="D4" s="303" t="str">
        <f>'4-πολλυπρ'!I4</f>
        <v>219-1 = …???</v>
      </c>
      <c r="E4" s="377"/>
      <c r="F4" s="406" t="s">
        <v>172</v>
      </c>
      <c r="G4" s="406" t="s">
        <v>173</v>
      </c>
      <c r="H4" s="377"/>
      <c r="I4" s="377"/>
      <c r="J4" s="377"/>
      <c r="K4" s="377"/>
      <c r="L4" s="377"/>
      <c r="M4" s="377"/>
      <c r="N4" s="377"/>
      <c r="O4" s="376"/>
      <c r="P4" s="376"/>
      <c r="Q4" s="376"/>
      <c r="R4" s="376"/>
      <c r="S4" s="376"/>
      <c r="T4" s="376"/>
      <c r="U4" s="376"/>
      <c r="V4" s="263"/>
      <c r="W4" s="377">
        <f t="shared" si="0"/>
        <v>0</v>
      </c>
      <c r="X4" s="378"/>
      <c r="Y4" s="378"/>
      <c r="Z4" s="407"/>
      <c r="AA4" s="306"/>
    </row>
    <row r="5" spans="1:27" s="5" customFormat="1">
      <c r="A5" s="405">
        <f>'1-συμβολαια'!A5</f>
        <v>0</v>
      </c>
      <c r="B5" s="403" t="str">
        <f>'1-συμβολαια'!C5</f>
        <v>δανείου ???? ΤΟΚΟΙ</v>
      </c>
      <c r="C5" s="303" t="str">
        <f>'4-πολλυπρ'!D5</f>
        <v>…??? τραπεζα [= …????</v>
      </c>
      <c r="D5" s="303" t="str">
        <f>'4-πολλυπρ'!I5</f>
        <v>219-1 = …???</v>
      </c>
      <c r="E5" s="377"/>
      <c r="F5" s="406" t="s">
        <v>172</v>
      </c>
      <c r="G5" s="406" t="s">
        <v>173</v>
      </c>
      <c r="H5" s="377"/>
      <c r="I5" s="377"/>
      <c r="J5" s="377"/>
      <c r="K5" s="377"/>
      <c r="L5" s="377"/>
      <c r="M5" s="377"/>
      <c r="N5" s="377"/>
      <c r="O5" s="376"/>
      <c r="P5" s="376"/>
      <c r="Q5" s="376"/>
      <c r="R5" s="376"/>
      <c r="S5" s="376"/>
      <c r="T5" s="376"/>
      <c r="U5" s="376"/>
      <c r="V5" s="263"/>
      <c r="W5" s="377">
        <f t="shared" si="0"/>
        <v>0</v>
      </c>
      <c r="X5" s="378"/>
      <c r="Y5" s="378"/>
      <c r="Z5" s="407"/>
      <c r="AA5" s="306"/>
    </row>
    <row r="6" spans="1:27">
      <c r="A6" s="33"/>
      <c r="B6" s="95"/>
      <c r="C6" s="16"/>
      <c r="D6" s="16"/>
      <c r="E6" s="39"/>
      <c r="F6" s="165"/>
      <c r="G6" s="165"/>
      <c r="H6" s="39"/>
      <c r="I6" s="39"/>
      <c r="J6" s="39"/>
      <c r="K6" s="353"/>
      <c r="L6" s="39"/>
      <c r="M6" s="39"/>
      <c r="N6" s="39"/>
      <c r="O6" s="21"/>
      <c r="P6" s="21"/>
      <c r="Q6" s="21"/>
      <c r="R6" s="21"/>
      <c r="S6" s="21"/>
      <c r="T6" s="21"/>
      <c r="U6" s="21"/>
      <c r="V6" s="263"/>
      <c r="W6" s="39"/>
      <c r="X6" s="152"/>
      <c r="Y6" s="152"/>
      <c r="Z6" s="179"/>
      <c r="AA6" s="85"/>
    </row>
    <row r="7" spans="1:27" s="5" customFormat="1">
      <c r="A7" s="405" t="str">
        <f>'1-συμβολαια'!A7</f>
        <v>4ο</v>
      </c>
      <c r="B7" s="403" t="str">
        <f>'1-συμβολαια'!C7</f>
        <v>υποθήκης ???? 12.000.000δρχ ΕΞΑΛΕΙΨΗ</v>
      </c>
      <c r="C7" s="303" t="str">
        <f>'4-πολλυπρ'!D7</f>
        <v>…??? τραπεζα [= …????</v>
      </c>
      <c r="D7" s="303" t="str">
        <f>'4-πολλυπρ'!I7</f>
        <v>219-1 = …???</v>
      </c>
      <c r="E7" s="377"/>
      <c r="F7" s="406" t="s">
        <v>172</v>
      </c>
      <c r="G7" s="406" t="s">
        <v>173</v>
      </c>
      <c r="H7" s="377"/>
      <c r="I7" s="377"/>
      <c r="J7" s="377"/>
      <c r="K7" s="377"/>
      <c r="L7" s="377"/>
      <c r="M7" s="377"/>
      <c r="N7" s="377"/>
      <c r="O7" s="376"/>
      <c r="P7" s="376"/>
      <c r="Q7" s="376"/>
      <c r="R7" s="376"/>
      <c r="S7" s="376"/>
      <c r="T7" s="376"/>
      <c r="U7" s="376"/>
      <c r="V7" s="263"/>
      <c r="W7" s="377">
        <f t="shared" si="0"/>
        <v>0</v>
      </c>
      <c r="X7" s="378"/>
      <c r="Y7" s="378"/>
      <c r="Z7" s="407"/>
      <c r="AA7" s="306"/>
    </row>
    <row r="8" spans="1:27" s="5" customFormat="1">
      <c r="A8" s="405">
        <f>'1-συμβολαια'!A8</f>
        <v>0</v>
      </c>
      <c r="B8" s="403" t="str">
        <f>'1-συμβολαια'!C8</f>
        <v>δανείου ??? 12.000.000δρχ …. ΕΞΟΦΛΗΣΗ</v>
      </c>
      <c r="C8" s="303" t="str">
        <f>'4-πολλυπρ'!D8</f>
        <v>…??? τραπεζα [= …????</v>
      </c>
      <c r="D8" s="303" t="str">
        <f>'4-πολλυπρ'!I8</f>
        <v>219-1 = …???</v>
      </c>
      <c r="E8" s="377"/>
      <c r="F8" s="406" t="s">
        <v>172</v>
      </c>
      <c r="G8" s="406" t="s">
        <v>173</v>
      </c>
      <c r="H8" s="377"/>
      <c r="I8" s="377"/>
      <c r="J8" s="377"/>
      <c r="K8" s="377"/>
      <c r="L8" s="377"/>
      <c r="M8" s="377"/>
      <c r="N8" s="377"/>
      <c r="O8" s="376"/>
      <c r="P8" s="376"/>
      <c r="Q8" s="376"/>
      <c r="R8" s="376"/>
      <c r="S8" s="376"/>
      <c r="T8" s="376"/>
      <c r="U8" s="376"/>
      <c r="V8" s="263"/>
      <c r="W8" s="377">
        <f t="shared" si="0"/>
        <v>0</v>
      </c>
      <c r="X8" s="378"/>
      <c r="Y8" s="378"/>
      <c r="Z8" s="407"/>
      <c r="AA8" s="306"/>
    </row>
    <row r="9" spans="1:27" s="5" customFormat="1">
      <c r="A9" s="405">
        <f>'1-συμβολαια'!A9</f>
        <v>0</v>
      </c>
      <c r="B9" s="403" t="str">
        <f>'1-συμβολαια'!C9</f>
        <v>δανείου ???? ΤΟΚΟΙ</v>
      </c>
      <c r="C9" s="303" t="str">
        <f>'4-πολλυπρ'!D9</f>
        <v>…??? τραπεζα [= …????</v>
      </c>
      <c r="D9" s="303" t="str">
        <f>'4-πολλυπρ'!I9</f>
        <v>219-1 = …???</v>
      </c>
      <c r="E9" s="377"/>
      <c r="F9" s="406" t="s">
        <v>172</v>
      </c>
      <c r="G9" s="406" t="s">
        <v>173</v>
      </c>
      <c r="H9" s="377"/>
      <c r="I9" s="377"/>
      <c r="J9" s="377"/>
      <c r="K9" s="377"/>
      <c r="L9" s="377"/>
      <c r="M9" s="377"/>
      <c r="N9" s="377"/>
      <c r="O9" s="376"/>
      <c r="P9" s="376"/>
      <c r="Q9" s="376"/>
      <c r="R9" s="376"/>
      <c r="S9" s="376"/>
      <c r="T9" s="376"/>
      <c r="U9" s="376"/>
      <c r="V9" s="263"/>
      <c r="W9" s="377">
        <f t="shared" si="0"/>
        <v>0</v>
      </c>
      <c r="X9" s="378"/>
      <c r="Y9" s="378"/>
      <c r="Z9" s="407"/>
      <c r="AA9" s="306"/>
    </row>
    <row r="10" spans="1:27">
      <c r="A10" s="33"/>
      <c r="B10" s="95"/>
      <c r="C10" s="16"/>
      <c r="D10" s="16"/>
      <c r="E10" s="39"/>
      <c r="F10" s="165"/>
      <c r="G10" s="165"/>
      <c r="H10" s="39"/>
      <c r="I10" s="39"/>
      <c r="J10" s="39"/>
      <c r="K10" s="353"/>
      <c r="L10" s="39"/>
      <c r="M10" s="39"/>
      <c r="N10" s="39"/>
      <c r="O10" s="21"/>
      <c r="P10" s="21"/>
      <c r="Q10" s="21"/>
      <c r="R10" s="21"/>
      <c r="S10" s="21"/>
      <c r="T10" s="21"/>
      <c r="U10" s="21"/>
      <c r="V10" s="263"/>
      <c r="W10" s="39"/>
      <c r="X10" s="152"/>
      <c r="Y10" s="152"/>
      <c r="Z10" s="179"/>
      <c r="AA10" s="85"/>
    </row>
    <row r="11" spans="1:27" s="5" customFormat="1">
      <c r="A11" s="405" t="str">
        <f>'1-συμβολαια'!A11</f>
        <v>5ο</v>
      </c>
      <c r="B11" s="403" t="str">
        <f>'1-συμβολαια'!C11</f>
        <v>υποθήκης 1ου   κύρου ;;;???;;;δρχ ΕΞΑΛΕΙΨΗ</v>
      </c>
      <c r="C11" s="303" t="str">
        <f>'4-πολλυπρ'!D11</f>
        <v>…??? τραπεζα [= …????</v>
      </c>
      <c r="D11" s="303" t="str">
        <f>'4-πολλυπρ'!I11</f>
        <v>219-1 = …???</v>
      </c>
      <c r="E11" s="377"/>
      <c r="F11" s="406" t="s">
        <v>172</v>
      </c>
      <c r="G11" s="406" t="s">
        <v>173</v>
      </c>
      <c r="H11" s="377"/>
      <c r="I11" s="377"/>
      <c r="J11" s="377"/>
      <c r="K11" s="377"/>
      <c r="L11" s="377"/>
      <c r="M11" s="377"/>
      <c r="N11" s="377"/>
      <c r="O11" s="376"/>
      <c r="P11" s="376"/>
      <c r="Q11" s="376"/>
      <c r="R11" s="376"/>
      <c r="S11" s="376"/>
      <c r="T11" s="376"/>
      <c r="U11" s="376"/>
      <c r="V11" s="263"/>
      <c r="W11" s="377">
        <f t="shared" si="0"/>
        <v>0</v>
      </c>
      <c r="X11" s="378"/>
      <c r="Y11" s="378"/>
      <c r="Z11" s="407"/>
      <c r="AA11" s="306"/>
    </row>
    <row r="12" spans="1:27" s="5" customFormat="1">
      <c r="A12" s="405">
        <f>'1-συμβολαια'!A12</f>
        <v>0</v>
      </c>
      <c r="B12" s="403" t="str">
        <f>'1-συμβολαια'!C12</f>
        <v>δανείου 1ου   κύρου 1.050.000δρχ ...ΕΞΟΦΛΗΣΗ</v>
      </c>
      <c r="C12" s="303" t="str">
        <f>'4-πολλυπρ'!D12</f>
        <v>…??? τραπεζα [= …????</v>
      </c>
      <c r="D12" s="303" t="str">
        <f>'4-πολλυπρ'!I12</f>
        <v>219-1 = …???</v>
      </c>
      <c r="E12" s="377"/>
      <c r="F12" s="406" t="s">
        <v>172</v>
      </c>
      <c r="G12" s="406" t="s">
        <v>173</v>
      </c>
      <c r="H12" s="377"/>
      <c r="I12" s="377"/>
      <c r="J12" s="377"/>
      <c r="K12" s="377"/>
      <c r="L12" s="377"/>
      <c r="M12" s="377"/>
      <c r="N12" s="377"/>
      <c r="O12" s="376"/>
      <c r="P12" s="376"/>
      <c r="Q12" s="376"/>
      <c r="R12" s="376"/>
      <c r="S12" s="376"/>
      <c r="T12" s="376"/>
      <c r="U12" s="376"/>
      <c r="V12" s="263"/>
      <c r="W12" s="377">
        <f t="shared" si="0"/>
        <v>0</v>
      </c>
      <c r="X12" s="378"/>
      <c r="Y12" s="378"/>
      <c r="Z12" s="407"/>
      <c r="AA12" s="306"/>
    </row>
    <row r="13" spans="1:27" s="5" customFormat="1" ht="22.5">
      <c r="A13" s="405">
        <f>'1-συμβολαια'!A13</f>
        <v>0</v>
      </c>
      <c r="B13" s="403" t="str">
        <f>'1-συμβολαια'!C13</f>
        <v>δανείου 1ου   κύρου ΤΟΚΟΙ {προπληρωθέντες VS υπερβάλλοντες}</v>
      </c>
      <c r="C13" s="303" t="str">
        <f>'4-πολλυπρ'!D13</f>
        <v>…??? τραπεζα [= …????</v>
      </c>
      <c r="D13" s="303" t="str">
        <f>'4-πολλυπρ'!I13</f>
        <v>219-1 = …???</v>
      </c>
      <c r="E13" s="377"/>
      <c r="F13" s="406" t="s">
        <v>172</v>
      </c>
      <c r="G13" s="406" t="s">
        <v>173</v>
      </c>
      <c r="H13" s="377"/>
      <c r="I13" s="377"/>
      <c r="J13" s="377"/>
      <c r="K13" s="377"/>
      <c r="L13" s="377"/>
      <c r="M13" s="377"/>
      <c r="N13" s="377"/>
      <c r="O13" s="376"/>
      <c r="P13" s="376"/>
      <c r="Q13" s="376"/>
      <c r="R13" s="376"/>
      <c r="S13" s="376"/>
      <c r="T13" s="376"/>
      <c r="U13" s="376"/>
      <c r="V13" s="263"/>
      <c r="W13" s="377">
        <f t="shared" si="0"/>
        <v>0</v>
      </c>
      <c r="X13" s="378"/>
      <c r="Y13" s="378"/>
      <c r="Z13" s="407"/>
      <c r="AA13" s="306"/>
    </row>
    <row r="14" spans="1:27">
      <c r="A14" s="33"/>
      <c r="B14" s="95"/>
      <c r="C14" s="16"/>
      <c r="D14" s="16"/>
      <c r="E14" s="39"/>
      <c r="F14" s="165"/>
      <c r="G14" s="165"/>
      <c r="H14" s="39"/>
      <c r="I14" s="39"/>
      <c r="J14" s="39"/>
      <c r="K14" s="353"/>
      <c r="L14" s="39"/>
      <c r="M14" s="39"/>
      <c r="N14" s="39"/>
      <c r="O14" s="21"/>
      <c r="P14" s="21"/>
      <c r="Q14" s="21"/>
      <c r="R14" s="21"/>
      <c r="S14" s="21"/>
      <c r="T14" s="21"/>
      <c r="U14" s="21"/>
      <c r="V14" s="263"/>
      <c r="W14" s="39"/>
      <c r="X14" s="152"/>
      <c r="Y14" s="152"/>
      <c r="Z14" s="179"/>
      <c r="AA14" s="85"/>
    </row>
    <row r="15" spans="1:27" s="5" customFormat="1">
      <c r="A15" s="405" t="str">
        <f>'1-συμβολαια'!A15</f>
        <v>6ο</v>
      </c>
      <c r="B15" s="403" t="str">
        <f>'1-συμβολαια'!C15</f>
        <v>υποθήκης 2ου   κύρου ;;;???;;;δρχ …..ΕΞΑΛΕΙΨΗ</v>
      </c>
      <c r="C15" s="303" t="str">
        <f>'4-πολλυπρ'!D15</f>
        <v>…??? τραπεζα [= …????</v>
      </c>
      <c r="D15" s="303" t="str">
        <f>'4-πολλυπρ'!I15</f>
        <v>219-1 = …???</v>
      </c>
      <c r="E15" s="377"/>
      <c r="F15" s="406" t="s">
        <v>172</v>
      </c>
      <c r="G15" s="406" t="s">
        <v>173</v>
      </c>
      <c r="H15" s="377"/>
      <c r="I15" s="377"/>
      <c r="J15" s="377"/>
      <c r="K15" s="377"/>
      <c r="L15" s="377"/>
      <c r="M15" s="377"/>
      <c r="N15" s="377"/>
      <c r="O15" s="376"/>
      <c r="P15" s="376"/>
      <c r="Q15" s="376"/>
      <c r="R15" s="376"/>
      <c r="S15" s="376"/>
      <c r="T15" s="376"/>
      <c r="U15" s="376"/>
      <c r="V15" s="263"/>
      <c r="W15" s="377">
        <f t="shared" si="0"/>
        <v>0</v>
      </c>
      <c r="X15" s="378"/>
      <c r="Y15" s="378"/>
      <c r="Z15" s="407"/>
      <c r="AA15" s="306"/>
    </row>
    <row r="16" spans="1:27" s="5" customFormat="1">
      <c r="A16" s="405">
        <f>'1-συμβολαια'!A16</f>
        <v>0</v>
      </c>
      <c r="B16" s="403" t="str">
        <f>'1-συμβολαια'!C16</f>
        <v>δανείου 2ου   κύρου 7000.000δρχ …..ΕΞΟΦΛΗΣΗ</v>
      </c>
      <c r="C16" s="303" t="str">
        <f>'4-πολλυπρ'!D16</f>
        <v>…??? τραπεζα [= …????</v>
      </c>
      <c r="D16" s="303" t="str">
        <f>'4-πολλυπρ'!I16</f>
        <v>219-1 = …???</v>
      </c>
      <c r="E16" s="377"/>
      <c r="F16" s="406" t="s">
        <v>172</v>
      </c>
      <c r="G16" s="406" t="s">
        <v>173</v>
      </c>
      <c r="H16" s="377"/>
      <c r="I16" s="377"/>
      <c r="J16" s="377"/>
      <c r="K16" s="377"/>
      <c r="L16" s="377"/>
      <c r="M16" s="377"/>
      <c r="N16" s="377"/>
      <c r="O16" s="376"/>
      <c r="P16" s="376"/>
      <c r="Q16" s="376"/>
      <c r="R16" s="376"/>
      <c r="S16" s="376"/>
      <c r="T16" s="376"/>
      <c r="U16" s="376"/>
      <c r="V16" s="263"/>
      <c r="W16" s="377">
        <f t="shared" si="0"/>
        <v>0</v>
      </c>
      <c r="X16" s="378"/>
      <c r="Y16" s="378"/>
      <c r="Z16" s="407"/>
      <c r="AA16" s="306"/>
    </row>
    <row r="17" spans="1:27" s="5" customFormat="1" ht="22.5">
      <c r="A17" s="405">
        <f>'1-συμβολαια'!A17</f>
        <v>0</v>
      </c>
      <c r="B17" s="403" t="str">
        <f>'1-συμβολαια'!C17</f>
        <v>δανείου 2ου    κύρου …. ΤΟΚΟΙ {προπληρωθέντες VS υπερβάλλοντες}</v>
      </c>
      <c r="C17" s="303" t="str">
        <f>'4-πολλυπρ'!D17</f>
        <v>…??? τραπεζα [= …????</v>
      </c>
      <c r="D17" s="303" t="str">
        <f>'4-πολλυπρ'!I17</f>
        <v>219-1 = …???</v>
      </c>
      <c r="E17" s="377"/>
      <c r="F17" s="406" t="s">
        <v>172</v>
      </c>
      <c r="G17" s="406" t="s">
        <v>173</v>
      </c>
      <c r="H17" s="377"/>
      <c r="I17" s="377"/>
      <c r="J17" s="377"/>
      <c r="K17" s="377"/>
      <c r="L17" s="377"/>
      <c r="M17" s="377"/>
      <c r="N17" s="377"/>
      <c r="O17" s="376"/>
      <c r="P17" s="376"/>
      <c r="Q17" s="376"/>
      <c r="R17" s="376"/>
      <c r="S17" s="376"/>
      <c r="T17" s="376"/>
      <c r="U17" s="376"/>
      <c r="V17" s="263"/>
      <c r="W17" s="377">
        <f t="shared" si="0"/>
        <v>0</v>
      </c>
      <c r="X17" s="378"/>
      <c r="Y17" s="378"/>
      <c r="Z17" s="407"/>
      <c r="AA17" s="306"/>
    </row>
    <row r="18" spans="1:27">
      <c r="A18" s="33"/>
      <c r="B18" s="95"/>
      <c r="C18" s="16"/>
      <c r="D18" s="16"/>
      <c r="E18" s="39"/>
      <c r="F18" s="165"/>
      <c r="G18" s="165"/>
      <c r="H18" s="39"/>
      <c r="I18" s="39"/>
      <c r="J18" s="39"/>
      <c r="K18" s="353"/>
      <c r="L18" s="39"/>
      <c r="M18" s="39"/>
      <c r="N18" s="39"/>
      <c r="O18" s="21"/>
      <c r="P18" s="21"/>
      <c r="Q18" s="21"/>
      <c r="R18" s="21"/>
      <c r="S18" s="21"/>
      <c r="T18" s="21"/>
      <c r="U18" s="21"/>
      <c r="V18" s="263"/>
      <c r="W18" s="39"/>
      <c r="X18" s="152"/>
      <c r="Y18" s="152"/>
      <c r="Z18" s="179"/>
      <c r="AA18" s="85"/>
    </row>
    <row r="19" spans="1:27" s="5" customFormat="1">
      <c r="A19" s="405" t="str">
        <f>'1-συμβολαια'!A19</f>
        <v>7ο</v>
      </c>
      <c r="B19" s="403" t="str">
        <f>'1-συμβολαια'!C19</f>
        <v>υποθήκης ???? 2.168.354δρχ …. ΕΞΑΛΕΙΨΗ</v>
      </c>
      <c r="C19" s="303" t="str">
        <f>'4-πολλυπρ'!D19</f>
        <v>…??? τραπεζα [= …????</v>
      </c>
      <c r="D19" s="303" t="str">
        <f>'4-πολλυπρ'!I19</f>
        <v>219-1 = …???</v>
      </c>
      <c r="E19" s="377"/>
      <c r="F19" s="406" t="s">
        <v>172</v>
      </c>
      <c r="G19" s="406" t="s">
        <v>173</v>
      </c>
      <c r="H19" s="377"/>
      <c r="I19" s="377"/>
      <c r="J19" s="377"/>
      <c r="K19" s="377"/>
      <c r="L19" s="377"/>
      <c r="M19" s="377"/>
      <c r="N19" s="377"/>
      <c r="O19" s="376"/>
      <c r="P19" s="376"/>
      <c r="Q19" s="376"/>
      <c r="R19" s="376"/>
      <c r="S19" s="376"/>
      <c r="T19" s="376"/>
      <c r="U19" s="376"/>
      <c r="V19" s="263"/>
      <c r="W19" s="377">
        <f t="shared" si="0"/>
        <v>0</v>
      </c>
      <c r="X19" s="378"/>
      <c r="Y19" s="378"/>
      <c r="Z19" s="407"/>
      <c r="AA19" s="306"/>
    </row>
    <row r="20" spans="1:27" s="5" customFormat="1">
      <c r="A20" s="405">
        <f>'1-συμβολαια'!A20</f>
        <v>0</v>
      </c>
      <c r="B20" s="403" t="str">
        <f>'1-συμβολαια'!C20</f>
        <v>δανείου ??? 2.168.354δρχ ….. ΕΞΟΦΛΗΣΗ</v>
      </c>
      <c r="C20" s="303" t="str">
        <f>'4-πολλυπρ'!D20</f>
        <v>…??? τραπεζα [= …????</v>
      </c>
      <c r="D20" s="303" t="str">
        <f>'4-πολλυπρ'!I20</f>
        <v>219-1 = …???</v>
      </c>
      <c r="E20" s="377"/>
      <c r="F20" s="406" t="s">
        <v>172</v>
      </c>
      <c r="G20" s="406" t="s">
        <v>173</v>
      </c>
      <c r="H20" s="377"/>
      <c r="I20" s="377"/>
      <c r="J20" s="377"/>
      <c r="K20" s="377"/>
      <c r="L20" s="377"/>
      <c r="M20" s="377"/>
      <c r="N20" s="377"/>
      <c r="O20" s="376"/>
      <c r="P20" s="376"/>
      <c r="Q20" s="376"/>
      <c r="R20" s="376"/>
      <c r="S20" s="376"/>
      <c r="T20" s="376"/>
      <c r="U20" s="376"/>
      <c r="V20" s="263"/>
      <c r="W20" s="377">
        <f t="shared" si="0"/>
        <v>0</v>
      </c>
      <c r="X20" s="378"/>
      <c r="Y20" s="378"/>
      <c r="Z20" s="407"/>
      <c r="AA20" s="306"/>
    </row>
    <row r="21" spans="1:27" s="5" customFormat="1">
      <c r="A21" s="405">
        <f>'1-συμβολαια'!A21</f>
        <v>0</v>
      </c>
      <c r="B21" s="403" t="str">
        <f>'1-συμβολαια'!C21</f>
        <v>δανείου ???? ΤΟΚΟΙ</v>
      </c>
      <c r="C21" s="303" t="str">
        <f>'4-πολλυπρ'!D21</f>
        <v>…??? τραπεζα [= …????</v>
      </c>
      <c r="D21" s="303" t="str">
        <f>'4-πολλυπρ'!I21</f>
        <v>219-1 = …???</v>
      </c>
      <c r="E21" s="377"/>
      <c r="F21" s="406" t="s">
        <v>172</v>
      </c>
      <c r="G21" s="406" t="s">
        <v>173</v>
      </c>
      <c r="H21" s="377"/>
      <c r="I21" s="377"/>
      <c r="J21" s="377"/>
      <c r="K21" s="377"/>
      <c r="L21" s="377"/>
      <c r="M21" s="377"/>
      <c r="N21" s="377"/>
      <c r="O21" s="376"/>
      <c r="P21" s="376"/>
      <c r="Q21" s="376"/>
      <c r="R21" s="376"/>
      <c r="S21" s="376"/>
      <c r="T21" s="376"/>
      <c r="U21" s="376"/>
      <c r="V21" s="263"/>
      <c r="W21" s="377">
        <f t="shared" si="0"/>
        <v>0</v>
      </c>
      <c r="X21" s="378"/>
      <c r="Y21" s="378"/>
      <c r="Z21" s="407"/>
      <c r="AA21" s="306"/>
    </row>
    <row r="22" spans="1:27">
      <c r="A22" s="33"/>
      <c r="B22" s="95"/>
      <c r="C22" s="16"/>
      <c r="D22" s="16"/>
      <c r="E22" s="39"/>
      <c r="F22" s="165"/>
      <c r="G22" s="165"/>
      <c r="H22" s="39"/>
      <c r="I22" s="39"/>
      <c r="J22" s="39"/>
      <c r="K22" s="353"/>
      <c r="L22" s="39"/>
      <c r="M22" s="39"/>
      <c r="N22" s="39"/>
      <c r="O22" s="21"/>
      <c r="P22" s="21"/>
      <c r="Q22" s="21"/>
      <c r="R22" s="21"/>
      <c r="S22" s="21"/>
      <c r="T22" s="21"/>
      <c r="U22" s="21"/>
      <c r="V22" s="263"/>
      <c r="W22" s="39"/>
      <c r="X22" s="152"/>
      <c r="Y22" s="152"/>
      <c r="Z22" s="179"/>
      <c r="AA22" s="85"/>
    </row>
    <row r="23" spans="1:27" s="5" customFormat="1">
      <c r="A23" s="450">
        <f>'1-συμβολαια'!A23</f>
        <v>0</v>
      </c>
      <c r="B23" s="403" t="str">
        <f>'1-συμβολαια'!C23</f>
        <v>'του πλήρωσα ΚΑΙ τους φόρους''</v>
      </c>
      <c r="C23" s="303"/>
      <c r="D23" s="303"/>
      <c r="E23" s="377"/>
      <c r="F23" s="406"/>
      <c r="G23" s="406"/>
      <c r="H23" s="377"/>
      <c r="I23" s="377"/>
      <c r="J23" s="377"/>
      <c r="K23" s="377"/>
      <c r="L23" s="377"/>
      <c r="M23" s="377"/>
      <c r="N23" s="377"/>
      <c r="O23" s="377"/>
      <c r="P23" s="377"/>
      <c r="Q23" s="377"/>
      <c r="R23" s="377"/>
      <c r="S23" s="377"/>
      <c r="T23" s="377"/>
      <c r="U23" s="376"/>
      <c r="V23" s="376"/>
      <c r="W23" s="377"/>
      <c r="X23" s="378"/>
      <c r="Y23" s="378"/>
      <c r="Z23" s="407"/>
      <c r="AA23" s="306"/>
    </row>
    <row r="24" spans="1:27">
      <c r="A24" s="591" t="s">
        <v>35</v>
      </c>
      <c r="B24" s="592"/>
      <c r="C24" s="592"/>
      <c r="D24" s="593"/>
      <c r="E24" s="71">
        <f>SUM(E3:E23)</f>
        <v>0</v>
      </c>
      <c r="F24" s="71"/>
      <c r="G24" s="71"/>
      <c r="H24" s="71"/>
      <c r="I24" s="71">
        <f t="shared" ref="I24:X24" si="1">SUM(I3:I23)</f>
        <v>0</v>
      </c>
      <c r="J24" s="71">
        <f t="shared" si="1"/>
        <v>0</v>
      </c>
      <c r="K24" s="71">
        <f t="shared" si="1"/>
        <v>0</v>
      </c>
      <c r="L24" s="71">
        <f t="shared" si="1"/>
        <v>0</v>
      </c>
      <c r="M24" s="71">
        <f t="shared" si="1"/>
        <v>0</v>
      </c>
      <c r="N24" s="71">
        <f t="shared" si="1"/>
        <v>0</v>
      </c>
      <c r="O24" s="71">
        <f t="shared" si="1"/>
        <v>0</v>
      </c>
      <c r="P24" s="71">
        <f t="shared" si="1"/>
        <v>0</v>
      </c>
      <c r="Q24" s="71">
        <f t="shared" si="1"/>
        <v>0</v>
      </c>
      <c r="R24" s="71">
        <f t="shared" si="1"/>
        <v>0</v>
      </c>
      <c r="S24" s="71">
        <f t="shared" si="1"/>
        <v>0</v>
      </c>
      <c r="T24" s="71">
        <f t="shared" si="1"/>
        <v>0</v>
      </c>
      <c r="U24" s="71">
        <f t="shared" si="1"/>
        <v>0</v>
      </c>
      <c r="V24" s="71">
        <f t="shared" si="1"/>
        <v>0</v>
      </c>
      <c r="W24" s="71">
        <f t="shared" si="1"/>
        <v>0</v>
      </c>
      <c r="X24" s="87">
        <f t="shared" si="1"/>
        <v>0</v>
      </c>
      <c r="Y24" s="166"/>
      <c r="Z24" s="3"/>
      <c r="AA24" s="3"/>
    </row>
    <row r="26" spans="1:27" ht="15.75" customHeight="1">
      <c r="I26" s="161" t="s">
        <v>459</v>
      </c>
      <c r="L26" s="157" t="s">
        <v>472</v>
      </c>
      <c r="Y26" s="180"/>
      <c r="Z26" s="91"/>
      <c r="AA26" s="180"/>
    </row>
    <row r="27" spans="1:27" ht="12.75">
      <c r="F27" s="186" t="s">
        <v>169</v>
      </c>
      <c r="G27" s="142"/>
      <c r="H27" s="86"/>
      <c r="L27" s="481" t="s">
        <v>211</v>
      </c>
      <c r="M27" s="482"/>
      <c r="N27" s="482"/>
      <c r="O27" s="482"/>
      <c r="P27" s="482"/>
      <c r="Q27" s="482"/>
      <c r="R27" s="482"/>
      <c r="S27" s="482"/>
      <c r="T27" s="482"/>
      <c r="Y27" s="2"/>
    </row>
    <row r="28" spans="1:27" ht="12.75">
      <c r="F28" s="86"/>
      <c r="G28" s="142" t="s">
        <v>170</v>
      </c>
      <c r="L28" s="482"/>
      <c r="M28" s="483"/>
      <c r="N28" s="482"/>
      <c r="O28" s="482"/>
      <c r="P28" s="482"/>
      <c r="Q28" s="482"/>
      <c r="R28" s="482"/>
      <c r="S28" s="482"/>
      <c r="T28" s="482"/>
      <c r="V28" s="186" t="s">
        <v>129</v>
      </c>
      <c r="X28" s="2"/>
      <c r="Y28" s="2"/>
    </row>
    <row r="29" spans="1:27" ht="12.75">
      <c r="L29" s="482"/>
      <c r="M29" s="482"/>
      <c r="N29" s="484" t="s">
        <v>212</v>
      </c>
      <c r="O29" s="482"/>
      <c r="P29" s="482"/>
      <c r="Q29" s="482"/>
      <c r="R29" s="482"/>
      <c r="S29" s="482"/>
      <c r="T29" s="482"/>
      <c r="X29" s="2"/>
      <c r="Y29" s="2"/>
    </row>
    <row r="30" spans="1:27" ht="12.75">
      <c r="L30" s="482"/>
      <c r="M30" s="482"/>
      <c r="N30" s="482"/>
      <c r="O30" s="485" t="s">
        <v>533</v>
      </c>
      <c r="P30" s="482"/>
      <c r="Q30" s="482"/>
      <c r="R30" s="482"/>
      <c r="S30" s="482"/>
      <c r="T30" s="482"/>
      <c r="X30" s="2"/>
      <c r="Y30" s="2"/>
    </row>
    <row r="31" spans="1:27" ht="12.75">
      <c r="L31" s="482"/>
      <c r="M31" s="482"/>
      <c r="N31" s="482"/>
      <c r="O31" s="482"/>
      <c r="P31" s="485" t="s">
        <v>534</v>
      </c>
      <c r="Q31" s="482"/>
      <c r="R31" s="482"/>
      <c r="S31" s="482"/>
      <c r="T31" s="482"/>
    </row>
    <row r="32" spans="1:27" ht="12.75">
      <c r="L32" s="482"/>
      <c r="M32" s="482"/>
      <c r="N32" s="482"/>
      <c r="O32" s="482"/>
      <c r="P32" s="482"/>
      <c r="Q32" s="485" t="s">
        <v>535</v>
      </c>
      <c r="R32" s="482"/>
      <c r="S32" s="482"/>
      <c r="T32" s="482"/>
    </row>
    <row r="33" spans="12:20" ht="12.75">
      <c r="L33" s="482"/>
      <c r="M33" s="482"/>
      <c r="N33" s="482"/>
      <c r="O33" s="482"/>
      <c r="P33" s="482"/>
      <c r="Q33" s="482"/>
      <c r="R33" s="482"/>
      <c r="S33" s="482" t="s">
        <v>536</v>
      </c>
      <c r="T33" s="482"/>
    </row>
    <row r="34" spans="12:20" ht="12.75">
      <c r="L34" s="482"/>
      <c r="M34" s="482"/>
      <c r="N34" s="482"/>
      <c r="O34" s="482"/>
      <c r="P34" s="482"/>
      <c r="Q34" s="482"/>
      <c r="R34" s="482"/>
      <c r="S34" s="482"/>
      <c r="T34" s="482" t="s">
        <v>537</v>
      </c>
    </row>
  </sheetData>
  <mergeCells count="6">
    <mergeCell ref="I1:W1"/>
    <mergeCell ref="X1:AA2"/>
    <mergeCell ref="A1:D1"/>
    <mergeCell ref="A24:D2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7"/>
  <sheetViews>
    <sheetView workbookViewId="0">
      <pane ySplit="2" topLeftCell="A3" activePane="bottomLeft" state="frozen"/>
      <selection pane="bottomLeft" activeCell="F42" sqref="F42"/>
    </sheetView>
  </sheetViews>
  <sheetFormatPr defaultRowHeight="11.25"/>
  <cols>
    <col min="1" max="1" width="9.42578125" style="8" bestFit="1" customWidth="1"/>
    <col min="2" max="2" width="36.140625" style="3" bestFit="1" customWidth="1"/>
    <col min="3" max="3" width="12.85546875" style="3" customWidth="1"/>
    <col min="4" max="4" width="9.140625" style="3"/>
    <col min="5" max="5" width="10" style="3" customWidth="1"/>
    <col min="6" max="10" width="9.140625" style="3" customWidth="1"/>
    <col min="11" max="11" width="16.5703125" style="3" bestFit="1" customWidth="1"/>
    <col min="12" max="12" width="9.1406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0" width="9.140625" style="3"/>
    <col min="21" max="21" width="4.85546875" style="3" customWidth="1"/>
    <col min="22" max="22" width="13.140625" style="3" customWidth="1"/>
    <col min="23" max="23" width="12" style="3" customWidth="1"/>
    <col min="24" max="29" width="9.140625" style="3"/>
    <col min="30" max="30" width="5.7109375" style="3" customWidth="1"/>
    <col min="31" max="33" width="9.140625" style="3"/>
    <col min="34" max="34" width="11.85546875" style="3" customWidth="1"/>
    <col min="35" max="16384" width="9.140625" style="3"/>
  </cols>
  <sheetData>
    <row r="1" spans="1:38" ht="15.75">
      <c r="A1" s="622" t="s">
        <v>330</v>
      </c>
      <c r="B1" s="623"/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  <c r="P1" s="623"/>
      <c r="Q1" s="623"/>
      <c r="R1" s="623"/>
      <c r="S1" s="623"/>
      <c r="T1" s="623"/>
      <c r="U1" s="623"/>
      <c r="V1" s="623"/>
      <c r="W1" s="623"/>
      <c r="X1" s="623"/>
      <c r="Y1" s="623"/>
      <c r="Z1" s="623"/>
      <c r="AA1" s="623"/>
      <c r="AB1" s="623"/>
      <c r="AC1" s="623"/>
      <c r="AD1" s="623"/>
      <c r="AE1" s="624" t="s">
        <v>47</v>
      </c>
      <c r="AF1" s="626" t="s">
        <v>9</v>
      </c>
      <c r="AG1" s="628" t="s">
        <v>33</v>
      </c>
      <c r="AH1" s="630" t="s">
        <v>340</v>
      </c>
      <c r="AI1" s="632" t="s">
        <v>84</v>
      </c>
      <c r="AJ1" s="633"/>
      <c r="AK1" s="633"/>
      <c r="AL1" s="634"/>
    </row>
    <row r="2" spans="1:38" ht="12" thickBot="1">
      <c r="A2" s="480"/>
      <c r="B2" s="228" t="s">
        <v>339</v>
      </c>
      <c r="C2" s="228" t="s">
        <v>85</v>
      </c>
      <c r="D2" s="229" t="s">
        <v>331</v>
      </c>
      <c r="E2" s="206" t="s">
        <v>31</v>
      </c>
      <c r="F2" s="206" t="s">
        <v>332</v>
      </c>
      <c r="G2" s="206" t="s">
        <v>333</v>
      </c>
      <c r="H2" s="206" t="s">
        <v>334</v>
      </c>
      <c r="I2" s="206" t="s">
        <v>335</v>
      </c>
      <c r="J2" s="206" t="s">
        <v>336</v>
      </c>
      <c r="K2" s="589" t="s">
        <v>29</v>
      </c>
      <c r="L2" s="590"/>
      <c r="M2" s="215" t="s">
        <v>337</v>
      </c>
      <c r="N2" s="215" t="s">
        <v>31</v>
      </c>
      <c r="O2" s="215" t="s">
        <v>332</v>
      </c>
      <c r="P2" s="215" t="s">
        <v>333</v>
      </c>
      <c r="Q2" s="215" t="s">
        <v>334</v>
      </c>
      <c r="R2" s="215" t="s">
        <v>335</v>
      </c>
      <c r="S2" s="215" t="s">
        <v>336</v>
      </c>
      <c r="T2" s="599" t="s">
        <v>29</v>
      </c>
      <c r="U2" s="600"/>
      <c r="V2" s="206" t="s">
        <v>338</v>
      </c>
      <c r="W2" s="206" t="s">
        <v>31</v>
      </c>
      <c r="X2" s="206" t="s">
        <v>332</v>
      </c>
      <c r="Y2" s="206" t="s">
        <v>333</v>
      </c>
      <c r="Z2" s="206" t="s">
        <v>334</v>
      </c>
      <c r="AA2" s="206" t="s">
        <v>335</v>
      </c>
      <c r="AB2" s="206" t="s">
        <v>336</v>
      </c>
      <c r="AC2" s="589" t="s">
        <v>29</v>
      </c>
      <c r="AD2" s="590"/>
      <c r="AE2" s="625"/>
      <c r="AF2" s="627"/>
      <c r="AG2" s="629"/>
      <c r="AH2" s="631"/>
      <c r="AI2" s="635"/>
      <c r="AJ2" s="636"/>
      <c r="AK2" s="636"/>
      <c r="AL2" s="637"/>
    </row>
    <row r="3" spans="1:38" s="5" customFormat="1">
      <c r="A3" s="476" t="str">
        <f>'1-συμβολαια'!A3</f>
        <v>3ο</v>
      </c>
      <c r="B3" s="77" t="str">
        <f>'1-συμβολαια'!C3</f>
        <v>υποθήκης ????  5.495.705δρχ ΕΞΑΛΕΙΨΗ</v>
      </c>
      <c r="C3" s="385">
        <f>'1-συμβολαια'!D3</f>
        <v>16128.26</v>
      </c>
      <c r="D3" s="385">
        <f t="shared" ref="D3:D21" si="0">C3*1.3%</f>
        <v>209.66738000000001</v>
      </c>
      <c r="E3" s="77"/>
      <c r="F3" s="77"/>
      <c r="G3" s="77">
        <v>209.67</v>
      </c>
      <c r="H3" s="77"/>
      <c r="I3" s="77"/>
      <c r="J3" s="77"/>
      <c r="K3" s="77"/>
      <c r="L3" s="77"/>
      <c r="M3" s="385"/>
      <c r="N3" s="77"/>
      <c r="O3" s="77"/>
      <c r="P3" s="77"/>
      <c r="Q3" s="77"/>
      <c r="R3" s="77"/>
      <c r="S3" s="77"/>
      <c r="T3" s="77"/>
      <c r="U3" s="77"/>
      <c r="V3" s="385"/>
      <c r="W3" s="77"/>
      <c r="X3" s="77"/>
      <c r="Y3" s="77"/>
      <c r="Z3" s="77"/>
      <c r="AA3" s="77"/>
      <c r="AB3" s="77"/>
      <c r="AC3" s="77"/>
      <c r="AD3" s="77"/>
      <c r="AE3" s="368">
        <f t="shared" ref="AE3:AE23" si="1">D3+M3+V3</f>
        <v>209.66738000000001</v>
      </c>
      <c r="AF3" s="368">
        <f t="shared" ref="AF3:AF23" si="2">E3+N3+W3</f>
        <v>0</v>
      </c>
      <c r="AG3" s="368">
        <f t="shared" ref="AG3:AG23" si="3">AE3-AF3</f>
        <v>209.66738000000001</v>
      </c>
      <c r="AH3" s="77"/>
      <c r="AI3" s="77"/>
      <c r="AJ3" s="77"/>
      <c r="AK3" s="77"/>
      <c r="AL3" s="77"/>
    </row>
    <row r="4" spans="1:38" s="5" customFormat="1">
      <c r="A4" s="476">
        <f>'1-συμβολαια'!A4</f>
        <v>0</v>
      </c>
      <c r="B4" s="77" t="str">
        <f>'1-συμβολαια'!C4</f>
        <v>δανείου ??? 5.495.700 δρχ …. ΕΞΟΦΛΗΣΗ</v>
      </c>
      <c r="C4" s="385">
        <f>'1-συμβολαια'!D4</f>
        <v>16128.26</v>
      </c>
      <c r="D4" s="385">
        <f t="shared" si="0"/>
        <v>209.66738000000001</v>
      </c>
      <c r="E4" s="77"/>
      <c r="F4" s="77"/>
      <c r="G4" s="494" t="s">
        <v>510</v>
      </c>
      <c r="H4" s="77"/>
      <c r="I4" s="77"/>
      <c r="J4" s="77"/>
      <c r="K4" s="77"/>
      <c r="L4" s="77"/>
      <c r="M4" s="385"/>
      <c r="N4" s="77"/>
      <c r="O4" s="77"/>
      <c r="P4" s="77"/>
      <c r="Q4" s="77"/>
      <c r="R4" s="77"/>
      <c r="S4" s="77"/>
      <c r="T4" s="77"/>
      <c r="U4" s="77"/>
      <c r="V4" s="385"/>
      <c r="W4" s="77"/>
      <c r="X4" s="77"/>
      <c r="Y4" s="77"/>
      <c r="Z4" s="77"/>
      <c r="AA4" s="77"/>
      <c r="AB4" s="77"/>
      <c r="AC4" s="77"/>
      <c r="AD4" s="77"/>
      <c r="AE4" s="368">
        <f t="shared" si="1"/>
        <v>209.66738000000001</v>
      </c>
      <c r="AF4" s="368">
        <f t="shared" si="2"/>
        <v>0</v>
      </c>
      <c r="AG4" s="368">
        <f t="shared" si="3"/>
        <v>209.66738000000001</v>
      </c>
      <c r="AH4" s="77"/>
      <c r="AI4" s="77"/>
      <c r="AJ4" s="77"/>
      <c r="AK4" s="77"/>
      <c r="AL4" s="77"/>
    </row>
    <row r="5" spans="1:38" s="5" customFormat="1">
      <c r="A5" s="476">
        <f>'1-συμβολαια'!A5</f>
        <v>0</v>
      </c>
      <c r="B5" s="77" t="str">
        <f>'1-συμβολαια'!C5</f>
        <v>δανείου ???? ΤΟΚΟΙ</v>
      </c>
      <c r="C5" s="385">
        <f>'1-συμβολαια'!D5</f>
        <v>33333.33</v>
      </c>
      <c r="D5" s="385">
        <f t="shared" si="0"/>
        <v>433.33329000000003</v>
      </c>
      <c r="E5" s="77"/>
      <c r="F5" s="77"/>
      <c r="G5" s="494" t="s">
        <v>510</v>
      </c>
      <c r="H5" s="77"/>
      <c r="I5" s="77"/>
      <c r="J5" s="77"/>
      <c r="K5" s="77"/>
      <c r="L5" s="77"/>
      <c r="M5" s="385"/>
      <c r="N5" s="77"/>
      <c r="O5" s="77"/>
      <c r="P5" s="77"/>
      <c r="Q5" s="77"/>
      <c r="R5" s="77"/>
      <c r="S5" s="77"/>
      <c r="T5" s="77"/>
      <c r="U5" s="77"/>
      <c r="V5" s="385"/>
      <c r="W5" s="77"/>
      <c r="X5" s="77"/>
      <c r="Y5" s="77"/>
      <c r="Z5" s="77"/>
      <c r="AA5" s="77"/>
      <c r="AB5" s="77"/>
      <c r="AC5" s="77"/>
      <c r="AD5" s="77"/>
      <c r="AE5" s="368">
        <f t="shared" si="1"/>
        <v>433.33329000000003</v>
      </c>
      <c r="AF5" s="368">
        <f t="shared" si="2"/>
        <v>0</v>
      </c>
      <c r="AG5" s="368">
        <f t="shared" si="3"/>
        <v>433.33329000000003</v>
      </c>
      <c r="AH5" s="77"/>
      <c r="AI5" s="77"/>
      <c r="AJ5" s="77"/>
      <c r="AK5" s="77"/>
      <c r="AL5" s="77"/>
    </row>
    <row r="6" spans="1:38" s="19" customFormat="1">
      <c r="A6" s="13"/>
      <c r="B6" s="26"/>
      <c r="C6" s="35"/>
      <c r="D6" s="35"/>
      <c r="E6" s="26"/>
      <c r="F6" s="26"/>
      <c r="G6" s="26"/>
      <c r="H6" s="26"/>
      <c r="I6" s="26"/>
      <c r="J6" s="26"/>
      <c r="K6" s="26"/>
      <c r="L6" s="26"/>
      <c r="M6" s="35"/>
      <c r="N6" s="26"/>
      <c r="O6" s="26"/>
      <c r="P6" s="26"/>
      <c r="Q6" s="26"/>
      <c r="R6" s="26"/>
      <c r="S6" s="26"/>
      <c r="T6" s="26"/>
      <c r="U6" s="26"/>
      <c r="V6" s="35"/>
      <c r="W6" s="26"/>
      <c r="X6" s="26"/>
      <c r="Y6" s="26"/>
      <c r="Z6" s="26"/>
      <c r="AA6" s="26"/>
      <c r="AB6" s="26"/>
      <c r="AC6" s="26"/>
      <c r="AD6" s="26"/>
      <c r="AE6" s="29"/>
      <c r="AF6" s="29"/>
      <c r="AG6" s="29"/>
      <c r="AH6" s="26"/>
      <c r="AI6" s="26"/>
      <c r="AJ6" s="26"/>
      <c r="AK6" s="26"/>
      <c r="AL6" s="26"/>
    </row>
    <row r="7" spans="1:38" s="5" customFormat="1">
      <c r="A7" s="476" t="str">
        <f>'1-συμβολαια'!A7</f>
        <v>4ο</v>
      </c>
      <c r="B7" s="77" t="str">
        <f>'1-συμβολαια'!C7</f>
        <v>υποθήκης ???? 12.000.000δρχ ΕΞΑΛΕΙΨΗ</v>
      </c>
      <c r="C7" s="385">
        <f>'1-συμβολαια'!D7</f>
        <v>35216.43</v>
      </c>
      <c r="D7" s="385">
        <f t="shared" si="0"/>
        <v>457.81359000000003</v>
      </c>
      <c r="E7" s="77"/>
      <c r="F7" s="77"/>
      <c r="G7" s="77">
        <v>457.81</v>
      </c>
      <c r="H7" s="77"/>
      <c r="I7" s="77"/>
      <c r="J7" s="77"/>
      <c r="K7" s="77"/>
      <c r="L7" s="77"/>
      <c r="M7" s="385"/>
      <c r="N7" s="77"/>
      <c r="O7" s="77"/>
      <c r="P7" s="77"/>
      <c r="Q7" s="77"/>
      <c r="R7" s="77"/>
      <c r="S7" s="77"/>
      <c r="T7" s="77"/>
      <c r="U7" s="77"/>
      <c r="V7" s="385"/>
      <c r="W7" s="77"/>
      <c r="X7" s="77"/>
      <c r="Y7" s="77"/>
      <c r="Z7" s="77"/>
      <c r="AA7" s="77"/>
      <c r="AB7" s="77"/>
      <c r="AC7" s="77"/>
      <c r="AD7" s="77"/>
      <c r="AE7" s="368">
        <f t="shared" si="1"/>
        <v>457.81359000000003</v>
      </c>
      <c r="AF7" s="368">
        <f t="shared" si="2"/>
        <v>0</v>
      </c>
      <c r="AG7" s="368">
        <f t="shared" si="3"/>
        <v>457.81359000000003</v>
      </c>
      <c r="AH7" s="77"/>
      <c r="AI7" s="77"/>
      <c r="AJ7" s="77"/>
      <c r="AK7" s="77"/>
      <c r="AL7" s="77"/>
    </row>
    <row r="8" spans="1:38" s="5" customFormat="1">
      <c r="A8" s="476">
        <f>'1-συμβολαια'!A8</f>
        <v>0</v>
      </c>
      <c r="B8" s="77" t="str">
        <f>'1-συμβολαια'!C8</f>
        <v>δανείου ??? 12.000.000δρχ …. ΕΞΟΦΛΗΣΗ</v>
      </c>
      <c r="C8" s="385">
        <f>'1-συμβολαια'!D8</f>
        <v>35216.43</v>
      </c>
      <c r="D8" s="385">
        <f t="shared" si="0"/>
        <v>457.81359000000003</v>
      </c>
      <c r="E8" s="77"/>
      <c r="F8" s="77"/>
      <c r="G8" s="494" t="s">
        <v>510</v>
      </c>
      <c r="H8" s="77"/>
      <c r="I8" s="77"/>
      <c r="J8" s="77"/>
      <c r="K8" s="77"/>
      <c r="L8" s="77"/>
      <c r="M8" s="385"/>
      <c r="N8" s="77"/>
      <c r="O8" s="77"/>
      <c r="P8" s="77"/>
      <c r="Q8" s="77"/>
      <c r="R8" s="77"/>
      <c r="S8" s="77"/>
      <c r="T8" s="77"/>
      <c r="U8" s="77"/>
      <c r="V8" s="385"/>
      <c r="W8" s="77"/>
      <c r="X8" s="77"/>
      <c r="Y8" s="77"/>
      <c r="Z8" s="77"/>
      <c r="AA8" s="77"/>
      <c r="AB8" s="77"/>
      <c r="AC8" s="77"/>
      <c r="AD8" s="77"/>
      <c r="AE8" s="368">
        <f t="shared" si="1"/>
        <v>457.81359000000003</v>
      </c>
      <c r="AF8" s="368">
        <f t="shared" si="2"/>
        <v>0</v>
      </c>
      <c r="AG8" s="368">
        <f t="shared" si="3"/>
        <v>457.81359000000003</v>
      </c>
      <c r="AH8" s="77"/>
      <c r="AI8" s="77"/>
      <c r="AJ8" s="77"/>
      <c r="AK8" s="77"/>
      <c r="AL8" s="77"/>
    </row>
    <row r="9" spans="1:38" s="5" customFormat="1">
      <c r="A9" s="476">
        <f>'1-συμβολαια'!A9</f>
        <v>0</v>
      </c>
      <c r="B9" s="77" t="str">
        <f>'1-συμβολαια'!C9</f>
        <v>δανείου ???? ΤΟΚΟΙ</v>
      </c>
      <c r="C9" s="385">
        <f>'1-συμβολαια'!D9</f>
        <v>77777.77</v>
      </c>
      <c r="D9" s="385">
        <f t="shared" si="0"/>
        <v>1011.1110100000002</v>
      </c>
      <c r="E9" s="77"/>
      <c r="F9" s="77"/>
      <c r="G9" s="494" t="s">
        <v>510</v>
      </c>
      <c r="H9" s="77"/>
      <c r="I9" s="77"/>
      <c r="J9" s="77"/>
      <c r="K9" s="77"/>
      <c r="L9" s="77"/>
      <c r="M9" s="385"/>
      <c r="N9" s="77"/>
      <c r="O9" s="77"/>
      <c r="P9" s="77"/>
      <c r="Q9" s="77"/>
      <c r="R9" s="77"/>
      <c r="S9" s="77"/>
      <c r="T9" s="77"/>
      <c r="U9" s="77"/>
      <c r="V9" s="385"/>
      <c r="W9" s="77"/>
      <c r="X9" s="77"/>
      <c r="Y9" s="77"/>
      <c r="Z9" s="77"/>
      <c r="AA9" s="77"/>
      <c r="AB9" s="77"/>
      <c r="AC9" s="77"/>
      <c r="AD9" s="77"/>
      <c r="AE9" s="368">
        <f t="shared" si="1"/>
        <v>1011.1110100000002</v>
      </c>
      <c r="AF9" s="368">
        <f t="shared" si="2"/>
        <v>0</v>
      </c>
      <c r="AG9" s="368">
        <f t="shared" si="3"/>
        <v>1011.1110100000002</v>
      </c>
      <c r="AH9" s="77"/>
      <c r="AI9" s="77"/>
      <c r="AJ9" s="77"/>
      <c r="AK9" s="77"/>
      <c r="AL9" s="77"/>
    </row>
    <row r="10" spans="1:38" s="19" customFormat="1">
      <c r="A10" s="13"/>
      <c r="B10" s="26"/>
      <c r="C10" s="35"/>
      <c r="D10" s="35"/>
      <c r="E10" s="26"/>
      <c r="F10" s="26"/>
      <c r="G10" s="26"/>
      <c r="H10" s="26"/>
      <c r="I10" s="26"/>
      <c r="J10" s="26"/>
      <c r="K10" s="26"/>
      <c r="L10" s="26"/>
      <c r="M10" s="35"/>
      <c r="N10" s="26"/>
      <c r="O10" s="26"/>
      <c r="P10" s="26"/>
      <c r="Q10" s="26"/>
      <c r="R10" s="26"/>
      <c r="S10" s="26"/>
      <c r="T10" s="26"/>
      <c r="U10" s="26"/>
      <c r="V10" s="35"/>
      <c r="W10" s="26"/>
      <c r="X10" s="26"/>
      <c r="Y10" s="26"/>
      <c r="Z10" s="26"/>
      <c r="AA10" s="26"/>
      <c r="AB10" s="26"/>
      <c r="AC10" s="26"/>
      <c r="AD10" s="26"/>
      <c r="AE10" s="29"/>
      <c r="AF10" s="29"/>
      <c r="AG10" s="29"/>
      <c r="AH10" s="26"/>
      <c r="AI10" s="26"/>
      <c r="AJ10" s="26"/>
      <c r="AK10" s="26"/>
      <c r="AL10" s="26"/>
    </row>
    <row r="11" spans="1:38" s="5" customFormat="1">
      <c r="A11" s="476" t="str">
        <f>'1-συμβολαια'!A11</f>
        <v>5ο</v>
      </c>
      <c r="B11" s="77" t="str">
        <f>'1-συμβολαια'!C11</f>
        <v>υποθήκης 1ου   κύρου ;;;???;;;δρχ ΕΞΑΛΕΙΨΗ</v>
      </c>
      <c r="C11" s="385">
        <f>'1-συμβολαια'!D11</f>
        <v>0</v>
      </c>
      <c r="D11" s="385"/>
      <c r="E11" s="77"/>
      <c r="F11" s="77"/>
      <c r="G11" s="495"/>
      <c r="H11" s="77"/>
      <c r="I11" s="77"/>
      <c r="J11" s="77"/>
      <c r="K11" s="77"/>
      <c r="L11" s="77"/>
      <c r="M11" s="385"/>
      <c r="N11" s="77"/>
      <c r="O11" s="77"/>
      <c r="P11" s="77"/>
      <c r="Q11" s="77"/>
      <c r="R11" s="77"/>
      <c r="S11" s="77"/>
      <c r="T11" s="77"/>
      <c r="U11" s="77"/>
      <c r="V11" s="385"/>
      <c r="W11" s="77"/>
      <c r="X11" s="77"/>
      <c r="Y11" s="77"/>
      <c r="Z11" s="77"/>
      <c r="AA11" s="77"/>
      <c r="AB11" s="77"/>
      <c r="AC11" s="77"/>
      <c r="AD11" s="77"/>
      <c r="AE11" s="368">
        <f t="shared" si="1"/>
        <v>0</v>
      </c>
      <c r="AF11" s="368">
        <f t="shared" si="2"/>
        <v>0</v>
      </c>
      <c r="AG11" s="368">
        <f t="shared" si="3"/>
        <v>0</v>
      </c>
      <c r="AH11" s="77"/>
      <c r="AI11" s="77"/>
      <c r="AJ11" s="77"/>
      <c r="AK11" s="77"/>
      <c r="AL11" s="77"/>
    </row>
    <row r="12" spans="1:38" s="5" customFormat="1">
      <c r="A12" s="476">
        <f>'1-συμβολαια'!A12</f>
        <v>0</v>
      </c>
      <c r="B12" s="77" t="str">
        <f>'1-συμβολαια'!C12</f>
        <v>δανείου 1ου   κύρου 1.050.000δρχ ...ΕΞΟΦΛΗΣΗ</v>
      </c>
      <c r="C12" s="385">
        <f>'1-συμβολαια'!D12</f>
        <v>0</v>
      </c>
      <c r="D12" s="496"/>
      <c r="E12" s="77"/>
      <c r="F12" s="77"/>
      <c r="G12" s="496"/>
      <c r="H12" s="77"/>
      <c r="I12" s="77"/>
      <c r="J12" s="77"/>
      <c r="K12" s="369"/>
      <c r="L12" s="77"/>
      <c r="M12" s="385"/>
      <c r="N12" s="77"/>
      <c r="O12" s="77"/>
      <c r="P12" s="77"/>
      <c r="Q12" s="77"/>
      <c r="R12" s="77"/>
      <c r="S12" s="77"/>
      <c r="T12" s="77"/>
      <c r="U12" s="77"/>
      <c r="V12" s="385"/>
      <c r="W12" s="77"/>
      <c r="X12" s="77"/>
      <c r="Y12" s="77"/>
      <c r="Z12" s="77"/>
      <c r="AA12" s="77"/>
      <c r="AB12" s="77"/>
      <c r="AC12" s="77"/>
      <c r="AD12" s="77"/>
      <c r="AE12" s="368">
        <f t="shared" si="1"/>
        <v>0</v>
      </c>
      <c r="AF12" s="368">
        <f t="shared" si="2"/>
        <v>0</v>
      </c>
      <c r="AG12" s="368">
        <f t="shared" si="3"/>
        <v>0</v>
      </c>
      <c r="AH12" s="77"/>
      <c r="AI12" s="77"/>
      <c r="AJ12" s="77"/>
      <c r="AK12" s="77"/>
      <c r="AL12" s="77"/>
    </row>
    <row r="13" spans="1:38" s="5" customFormat="1">
      <c r="A13" s="476">
        <f>'1-συμβολαια'!A13</f>
        <v>0</v>
      </c>
      <c r="B13" s="77" t="str">
        <f>'1-συμβολαια'!C13</f>
        <v>δανείου 1ου   κύρου ΤΟΚΟΙ {προπληρωθέντες VS υπερβάλλοντες}</v>
      </c>
      <c r="C13" s="385">
        <f>'1-συμβολαια'!D13</f>
        <v>666.66</v>
      </c>
      <c r="D13" s="385">
        <f t="shared" si="0"/>
        <v>8.6665799999999997</v>
      </c>
      <c r="E13" s="77"/>
      <c r="F13" s="77"/>
      <c r="G13" s="494" t="s">
        <v>510</v>
      </c>
      <c r="H13" s="77"/>
      <c r="I13" s="77"/>
      <c r="J13" s="77"/>
      <c r="K13" s="77"/>
      <c r="L13" s="77"/>
      <c r="M13" s="385"/>
      <c r="N13" s="77"/>
      <c r="O13" s="77"/>
      <c r="P13" s="77"/>
      <c r="Q13" s="77"/>
      <c r="R13" s="77"/>
      <c r="S13" s="77"/>
      <c r="T13" s="77"/>
      <c r="U13" s="77"/>
      <c r="V13" s="385"/>
      <c r="W13" s="77"/>
      <c r="X13" s="77"/>
      <c r="Y13" s="77"/>
      <c r="Z13" s="77"/>
      <c r="AA13" s="77"/>
      <c r="AB13" s="77"/>
      <c r="AC13" s="77"/>
      <c r="AD13" s="77"/>
      <c r="AE13" s="368">
        <f t="shared" si="1"/>
        <v>8.6665799999999997</v>
      </c>
      <c r="AF13" s="368">
        <f t="shared" si="2"/>
        <v>0</v>
      </c>
      <c r="AG13" s="368">
        <f t="shared" si="3"/>
        <v>8.6665799999999997</v>
      </c>
      <c r="AH13" s="77"/>
      <c r="AI13" s="77"/>
      <c r="AJ13" s="77"/>
      <c r="AK13" s="77"/>
      <c r="AL13" s="77"/>
    </row>
    <row r="14" spans="1:38" s="19" customFormat="1">
      <c r="A14" s="13"/>
      <c r="B14" s="26"/>
      <c r="C14" s="35"/>
      <c r="D14" s="35"/>
      <c r="E14" s="26"/>
      <c r="F14" s="26"/>
      <c r="G14" s="26"/>
      <c r="H14" s="26"/>
      <c r="I14" s="26"/>
      <c r="J14" s="26"/>
      <c r="K14" s="26"/>
      <c r="L14" s="26"/>
      <c r="M14" s="35"/>
      <c r="N14" s="26"/>
      <c r="O14" s="26"/>
      <c r="P14" s="26"/>
      <c r="Q14" s="26"/>
      <c r="R14" s="26"/>
      <c r="S14" s="26"/>
      <c r="T14" s="26"/>
      <c r="U14" s="26"/>
      <c r="V14" s="35"/>
      <c r="W14" s="26"/>
      <c r="X14" s="26"/>
      <c r="Y14" s="26"/>
      <c r="Z14" s="26"/>
      <c r="AA14" s="26"/>
      <c r="AB14" s="26"/>
      <c r="AC14" s="26"/>
      <c r="AD14" s="26"/>
      <c r="AE14" s="29"/>
      <c r="AF14" s="29"/>
      <c r="AG14" s="29"/>
      <c r="AH14" s="26"/>
      <c r="AI14" s="26"/>
      <c r="AJ14" s="26"/>
      <c r="AK14" s="26"/>
      <c r="AL14" s="26"/>
    </row>
    <row r="15" spans="1:38" s="5" customFormat="1">
      <c r="A15" s="476" t="str">
        <f>'1-συμβολαια'!A15</f>
        <v>6ο</v>
      </c>
      <c r="B15" s="77" t="str">
        <f>'1-συμβολαια'!C15</f>
        <v>υποθήκης 2ου   κύρου ;;;???;;;δρχ …..ΕΞΑΛΕΙΨΗ</v>
      </c>
      <c r="C15" s="385">
        <f>'1-συμβολαια'!D15</f>
        <v>0</v>
      </c>
      <c r="D15" s="385"/>
      <c r="E15" s="77"/>
      <c r="F15" s="77"/>
      <c r="G15" s="495"/>
      <c r="H15" s="77"/>
      <c r="I15" s="77"/>
      <c r="J15" s="77"/>
      <c r="K15" s="77"/>
      <c r="L15" s="77"/>
      <c r="M15" s="385"/>
      <c r="N15" s="77"/>
      <c r="O15" s="77"/>
      <c r="P15" s="77"/>
      <c r="Q15" s="77"/>
      <c r="R15" s="77"/>
      <c r="S15" s="77"/>
      <c r="T15" s="77"/>
      <c r="U15" s="77"/>
      <c r="V15" s="385"/>
      <c r="W15" s="77"/>
      <c r="X15" s="77"/>
      <c r="Y15" s="77"/>
      <c r="Z15" s="77"/>
      <c r="AA15" s="77"/>
      <c r="AB15" s="77"/>
      <c r="AC15" s="77"/>
      <c r="AD15" s="77"/>
      <c r="AE15" s="368">
        <f t="shared" si="1"/>
        <v>0</v>
      </c>
      <c r="AF15" s="368">
        <f t="shared" si="2"/>
        <v>0</v>
      </c>
      <c r="AG15" s="368">
        <f t="shared" si="3"/>
        <v>0</v>
      </c>
      <c r="AH15" s="77"/>
      <c r="AI15" s="77"/>
      <c r="AJ15" s="77"/>
      <c r="AK15" s="77"/>
      <c r="AL15" s="77"/>
    </row>
    <row r="16" spans="1:38" s="5" customFormat="1">
      <c r="A16" s="476">
        <f>'1-συμβολαια'!A16</f>
        <v>0</v>
      </c>
      <c r="B16" s="77" t="str">
        <f>'1-συμβολαια'!C16</f>
        <v>δανείου 2ου   κύρου 7000.000δρχ …..ΕΞΟΦΛΗΣΗ</v>
      </c>
      <c r="C16" s="385">
        <f>'1-συμβολαια'!D16</f>
        <v>0</v>
      </c>
      <c r="D16" s="496"/>
      <c r="E16" s="77"/>
      <c r="F16" s="77"/>
      <c r="G16" s="496"/>
      <c r="H16" s="77"/>
      <c r="I16" s="77"/>
      <c r="J16" s="77"/>
      <c r="K16" s="369"/>
      <c r="L16" s="77"/>
      <c r="M16" s="385"/>
      <c r="N16" s="77"/>
      <c r="O16" s="77"/>
      <c r="P16" s="77"/>
      <c r="Q16" s="77"/>
      <c r="R16" s="77"/>
      <c r="S16" s="77"/>
      <c r="T16" s="77"/>
      <c r="U16" s="77"/>
      <c r="V16" s="385"/>
      <c r="W16" s="77"/>
      <c r="X16" s="77"/>
      <c r="Y16" s="77"/>
      <c r="Z16" s="77"/>
      <c r="AA16" s="77"/>
      <c r="AB16" s="77"/>
      <c r="AC16" s="77"/>
      <c r="AD16" s="77"/>
      <c r="AE16" s="368">
        <f t="shared" si="1"/>
        <v>0</v>
      </c>
      <c r="AF16" s="368">
        <f t="shared" si="2"/>
        <v>0</v>
      </c>
      <c r="AG16" s="368">
        <f t="shared" si="3"/>
        <v>0</v>
      </c>
      <c r="AH16" s="77"/>
      <c r="AI16" s="77"/>
      <c r="AJ16" s="77"/>
      <c r="AK16" s="77"/>
      <c r="AL16" s="77"/>
    </row>
    <row r="17" spans="1:38" s="5" customFormat="1">
      <c r="A17" s="476">
        <f>'1-συμβολαια'!A17</f>
        <v>0</v>
      </c>
      <c r="B17" s="77" t="str">
        <f>'1-συμβολαια'!C17</f>
        <v>δανείου 2ου    κύρου …. ΤΟΚΟΙ {προπληρωθέντες VS υπερβάλλοντες}</v>
      </c>
      <c r="C17" s="385">
        <f>'1-συμβολαια'!D17</f>
        <v>444.44</v>
      </c>
      <c r="D17" s="385">
        <f t="shared" si="0"/>
        <v>5.7777200000000004</v>
      </c>
      <c r="E17" s="77"/>
      <c r="F17" s="77"/>
      <c r="G17" s="494" t="s">
        <v>510</v>
      </c>
      <c r="H17" s="77"/>
      <c r="I17" s="77"/>
      <c r="J17" s="77"/>
      <c r="K17" s="77"/>
      <c r="L17" s="77"/>
      <c r="M17" s="385"/>
      <c r="N17" s="77"/>
      <c r="O17" s="77"/>
      <c r="P17" s="77"/>
      <c r="Q17" s="77"/>
      <c r="R17" s="77"/>
      <c r="S17" s="77"/>
      <c r="T17" s="77"/>
      <c r="U17" s="77"/>
      <c r="V17" s="385"/>
      <c r="W17" s="77"/>
      <c r="X17" s="77"/>
      <c r="Y17" s="77"/>
      <c r="Z17" s="77"/>
      <c r="AA17" s="77"/>
      <c r="AB17" s="77"/>
      <c r="AC17" s="77"/>
      <c r="AD17" s="77"/>
      <c r="AE17" s="368">
        <f t="shared" si="1"/>
        <v>5.7777200000000004</v>
      </c>
      <c r="AF17" s="368">
        <f t="shared" si="2"/>
        <v>0</v>
      </c>
      <c r="AG17" s="368">
        <f t="shared" si="3"/>
        <v>5.7777200000000004</v>
      </c>
      <c r="AH17" s="77"/>
      <c r="AI17" s="77"/>
      <c r="AJ17" s="77"/>
      <c r="AK17" s="77"/>
      <c r="AL17" s="77"/>
    </row>
    <row r="18" spans="1:38" s="19" customFormat="1">
      <c r="A18" s="13"/>
      <c r="B18" s="26"/>
      <c r="C18" s="35"/>
      <c r="D18" s="35"/>
      <c r="E18" s="26"/>
      <c r="F18" s="26"/>
      <c r="G18" s="26"/>
      <c r="H18" s="26"/>
      <c r="I18" s="26"/>
      <c r="J18" s="26"/>
      <c r="K18" s="26"/>
      <c r="L18" s="26"/>
      <c r="M18" s="35"/>
      <c r="N18" s="26"/>
      <c r="O18" s="26"/>
      <c r="P18" s="26"/>
      <c r="Q18" s="26"/>
      <c r="R18" s="26"/>
      <c r="S18" s="26"/>
      <c r="T18" s="26"/>
      <c r="U18" s="26"/>
      <c r="V18" s="35"/>
      <c r="W18" s="26"/>
      <c r="X18" s="26"/>
      <c r="Y18" s="26"/>
      <c r="Z18" s="26"/>
      <c r="AA18" s="26"/>
      <c r="AB18" s="26"/>
      <c r="AC18" s="26"/>
      <c r="AD18" s="26"/>
      <c r="AE18" s="29"/>
      <c r="AF18" s="29"/>
      <c r="AG18" s="29"/>
      <c r="AH18" s="26"/>
      <c r="AI18" s="26"/>
      <c r="AJ18" s="26"/>
      <c r="AK18" s="26"/>
      <c r="AL18" s="26"/>
    </row>
    <row r="19" spans="1:38" s="5" customFormat="1">
      <c r="A19" s="476" t="str">
        <f>'1-συμβολαια'!A19</f>
        <v>7ο</v>
      </c>
      <c r="B19" s="77" t="str">
        <f>'1-συμβολαια'!C19</f>
        <v>υποθήκης ???? 2.168.354δρχ …. ΕΞΑΛΕΙΨΗ</v>
      </c>
      <c r="C19" s="385">
        <f>'1-συμβολαια'!D19</f>
        <v>6363.47</v>
      </c>
      <c r="D19" s="385">
        <f t="shared" si="0"/>
        <v>82.725110000000015</v>
      </c>
      <c r="E19" s="77"/>
      <c r="F19" s="77"/>
      <c r="G19" s="494" t="s">
        <v>510</v>
      </c>
      <c r="H19" s="77"/>
      <c r="I19" s="77"/>
      <c r="J19" s="77"/>
      <c r="K19" s="77"/>
      <c r="L19" s="77"/>
      <c r="M19" s="385"/>
      <c r="N19" s="77"/>
      <c r="O19" s="77"/>
      <c r="P19" s="77"/>
      <c r="Q19" s="77"/>
      <c r="R19" s="77"/>
      <c r="S19" s="77"/>
      <c r="T19" s="77"/>
      <c r="U19" s="77"/>
      <c r="V19" s="385"/>
      <c r="W19" s="77"/>
      <c r="X19" s="77"/>
      <c r="Y19" s="77"/>
      <c r="Z19" s="77"/>
      <c r="AA19" s="77"/>
      <c r="AB19" s="77"/>
      <c r="AC19" s="77"/>
      <c r="AD19" s="77"/>
      <c r="AE19" s="368">
        <f t="shared" si="1"/>
        <v>82.725110000000015</v>
      </c>
      <c r="AF19" s="368">
        <f t="shared" si="2"/>
        <v>0</v>
      </c>
      <c r="AG19" s="368">
        <f t="shared" si="3"/>
        <v>82.725110000000015</v>
      </c>
      <c r="AH19" s="77"/>
      <c r="AI19" s="77"/>
      <c r="AJ19" s="77"/>
      <c r="AK19" s="77"/>
      <c r="AL19" s="77"/>
    </row>
    <row r="20" spans="1:38" s="5" customFormat="1">
      <c r="A20" s="476">
        <f>'1-συμβολαια'!A20</f>
        <v>0</v>
      </c>
      <c r="B20" s="77" t="str">
        <f>'1-συμβολαια'!C20</f>
        <v>δανείου ??? 2.168.354δρχ ….. ΕΞΟΦΛΗΣΗ</v>
      </c>
      <c r="C20" s="385">
        <f>'1-συμβολαια'!D20</f>
        <v>6363.47</v>
      </c>
      <c r="D20" s="385">
        <f t="shared" si="0"/>
        <v>82.725110000000015</v>
      </c>
      <c r="E20" s="77"/>
      <c r="F20" s="77"/>
      <c r="G20" s="77">
        <v>82.72</v>
      </c>
      <c r="H20" s="77"/>
      <c r="I20" s="77"/>
      <c r="J20" s="77"/>
      <c r="K20" s="77"/>
      <c r="L20" s="77"/>
      <c r="M20" s="385"/>
      <c r="N20" s="77"/>
      <c r="O20" s="77"/>
      <c r="P20" s="77"/>
      <c r="Q20" s="77"/>
      <c r="R20" s="77"/>
      <c r="S20" s="77"/>
      <c r="T20" s="77"/>
      <c r="U20" s="77"/>
      <c r="V20" s="385"/>
      <c r="W20" s="77"/>
      <c r="X20" s="77"/>
      <c r="Y20" s="77"/>
      <c r="Z20" s="77"/>
      <c r="AA20" s="77"/>
      <c r="AB20" s="77"/>
      <c r="AC20" s="77"/>
      <c r="AD20" s="77"/>
      <c r="AE20" s="368">
        <f t="shared" si="1"/>
        <v>82.725110000000015</v>
      </c>
      <c r="AF20" s="368">
        <f t="shared" si="2"/>
        <v>0</v>
      </c>
      <c r="AG20" s="368">
        <f t="shared" si="3"/>
        <v>82.725110000000015</v>
      </c>
      <c r="AH20" s="77"/>
      <c r="AI20" s="77"/>
      <c r="AJ20" s="77"/>
      <c r="AK20" s="77"/>
      <c r="AL20" s="77"/>
    </row>
    <row r="21" spans="1:38" s="5" customFormat="1">
      <c r="A21" s="476">
        <f>'1-συμβολαια'!A21</f>
        <v>0</v>
      </c>
      <c r="B21" s="77" t="str">
        <f>'1-συμβολαια'!C21</f>
        <v>δανείου ???? ΤΟΚΟΙ</v>
      </c>
      <c r="C21" s="385">
        <f>'1-συμβολαια'!D21</f>
        <v>14444.44</v>
      </c>
      <c r="D21" s="385">
        <f t="shared" si="0"/>
        <v>187.77772000000002</v>
      </c>
      <c r="E21" s="77"/>
      <c r="F21" s="77"/>
      <c r="G21" s="494" t="s">
        <v>510</v>
      </c>
      <c r="H21" s="77"/>
      <c r="I21" s="77"/>
      <c r="J21" s="77"/>
      <c r="K21" s="77"/>
      <c r="L21" s="77"/>
      <c r="M21" s="385"/>
      <c r="N21" s="77"/>
      <c r="O21" s="77"/>
      <c r="P21" s="77"/>
      <c r="Q21" s="77"/>
      <c r="R21" s="77"/>
      <c r="S21" s="77"/>
      <c r="T21" s="77"/>
      <c r="U21" s="77"/>
      <c r="V21" s="385"/>
      <c r="W21" s="77"/>
      <c r="X21" s="77"/>
      <c r="Y21" s="77"/>
      <c r="Z21" s="77"/>
      <c r="AA21" s="77"/>
      <c r="AB21" s="77"/>
      <c r="AC21" s="77"/>
      <c r="AD21" s="77"/>
      <c r="AE21" s="368">
        <f t="shared" si="1"/>
        <v>187.77772000000002</v>
      </c>
      <c r="AF21" s="368">
        <f t="shared" si="2"/>
        <v>0</v>
      </c>
      <c r="AG21" s="368">
        <f t="shared" si="3"/>
        <v>187.77772000000002</v>
      </c>
      <c r="AH21" s="77"/>
      <c r="AI21" s="77"/>
      <c r="AJ21" s="77"/>
      <c r="AK21" s="77"/>
      <c r="AL21" s="77"/>
    </row>
    <row r="22" spans="1:38" s="19" customFormat="1">
      <c r="A22" s="13"/>
      <c r="B22" s="26"/>
      <c r="C22" s="35"/>
      <c r="D22" s="35"/>
      <c r="E22" s="26"/>
      <c r="F22" s="26"/>
      <c r="G22" s="26"/>
      <c r="H22" s="26"/>
      <c r="I22" s="26"/>
      <c r="J22" s="26"/>
      <c r="K22" s="26"/>
      <c r="L22" s="26"/>
      <c r="M22" s="35"/>
      <c r="N22" s="26"/>
      <c r="O22" s="26"/>
      <c r="P22" s="26"/>
      <c r="Q22" s="26"/>
      <c r="R22" s="26"/>
      <c r="S22" s="26"/>
      <c r="T22" s="26"/>
      <c r="U22" s="26"/>
      <c r="V22" s="35"/>
      <c r="W22" s="26"/>
      <c r="X22" s="26"/>
      <c r="Y22" s="26"/>
      <c r="Z22" s="26"/>
      <c r="AA22" s="26"/>
      <c r="AB22" s="26"/>
      <c r="AC22" s="26"/>
      <c r="AD22" s="26"/>
      <c r="AE22" s="29"/>
      <c r="AF22" s="29"/>
      <c r="AG22" s="29"/>
      <c r="AH22" s="26"/>
      <c r="AI22" s="26"/>
      <c r="AJ22" s="26"/>
      <c r="AK22" s="26"/>
      <c r="AL22" s="26"/>
    </row>
    <row r="23" spans="1:38" s="5" customFormat="1">
      <c r="A23" s="308">
        <f>'1-συμβολαια'!A23</f>
        <v>0</v>
      </c>
      <c r="B23" s="77" t="str">
        <f>'1-συμβολαια'!C23</f>
        <v>'του πλήρωσα ΚΑΙ τους φόρους''</v>
      </c>
      <c r="C23" s="385">
        <f>'1-συμβολαια'!D23</f>
        <v>111</v>
      </c>
      <c r="D23" s="385"/>
      <c r="E23" s="77"/>
      <c r="F23" s="77"/>
      <c r="G23" s="77"/>
      <c r="H23" s="77"/>
      <c r="I23" s="77"/>
      <c r="J23" s="77"/>
      <c r="K23" s="77"/>
      <c r="L23" s="77"/>
      <c r="M23" s="385"/>
      <c r="N23" s="77"/>
      <c r="O23" s="77"/>
      <c r="P23" s="77"/>
      <c r="Q23" s="77"/>
      <c r="R23" s="77"/>
      <c r="S23" s="77"/>
      <c r="T23" s="77"/>
      <c r="U23" s="77"/>
      <c r="V23" s="385"/>
      <c r="W23" s="77"/>
      <c r="X23" s="77"/>
      <c r="Y23" s="77"/>
      <c r="Z23" s="77"/>
      <c r="AA23" s="77"/>
      <c r="AB23" s="77"/>
      <c r="AC23" s="77"/>
      <c r="AD23" s="77"/>
      <c r="AE23" s="368">
        <f t="shared" si="1"/>
        <v>0</v>
      </c>
      <c r="AF23" s="368">
        <f t="shared" si="2"/>
        <v>0</v>
      </c>
      <c r="AG23" s="368">
        <f t="shared" si="3"/>
        <v>0</v>
      </c>
      <c r="AH23" s="77"/>
      <c r="AI23" s="77"/>
      <c r="AJ23" s="77"/>
      <c r="AK23" s="77"/>
      <c r="AL23" s="77"/>
    </row>
    <row r="24" spans="1:38">
      <c r="A24" s="619" t="str">
        <f>'1-συμβολαια'!A24</f>
        <v>σύνολο</v>
      </c>
      <c r="B24" s="620"/>
      <c r="C24" s="621"/>
      <c r="D24" s="346">
        <f>SUM(D3:D23)</f>
        <v>3147.0784800000001</v>
      </c>
      <c r="E24" s="227"/>
      <c r="F24" s="227"/>
      <c r="G24" s="227"/>
      <c r="H24" s="227"/>
      <c r="I24" s="227"/>
      <c r="J24" s="227"/>
      <c r="K24" s="227"/>
      <c r="L24" s="227"/>
      <c r="M24" s="346">
        <f>SUM(M3:M23)</f>
        <v>0</v>
      </c>
      <c r="N24" s="346"/>
      <c r="O24" s="227"/>
      <c r="P24" s="346"/>
      <c r="Q24" s="227"/>
      <c r="R24" s="227"/>
      <c r="S24" s="227"/>
      <c r="T24" s="227"/>
      <c r="U24" s="227"/>
      <c r="V24" s="346">
        <f>SUM(V3:V23)</f>
        <v>0</v>
      </c>
      <c r="W24" s="346"/>
      <c r="X24" s="227"/>
      <c r="Y24" s="227"/>
      <c r="Z24" s="227"/>
      <c r="AA24" s="227"/>
      <c r="AB24" s="227"/>
      <c r="AC24" s="227"/>
      <c r="AD24" s="227"/>
      <c r="AE24" s="346">
        <f>SUM(AE3:AE23)</f>
        <v>3147.0784800000001</v>
      </c>
      <c r="AF24" s="346">
        <f>SUM(AF3:AF23)</f>
        <v>0</v>
      </c>
      <c r="AG24" s="346">
        <f>SUM(AG3:AG23)</f>
        <v>3147.0784800000001</v>
      </c>
      <c r="AH24" s="227">
        <f>SUM(AH3:AH23)</f>
        <v>0</v>
      </c>
      <c r="AI24" s="227"/>
      <c r="AJ24" s="227"/>
      <c r="AK24" s="227"/>
      <c r="AL24" s="227"/>
    </row>
    <row r="26" spans="1:38">
      <c r="E26" s="2"/>
      <c r="F26" s="2"/>
      <c r="G26" s="2"/>
      <c r="H26" s="196" t="s">
        <v>341</v>
      </c>
      <c r="I26" s="2"/>
      <c r="J26" s="2"/>
      <c r="K26" s="2"/>
      <c r="L26" s="2"/>
      <c r="M26" s="2"/>
      <c r="N26" s="2"/>
      <c r="O26" s="2"/>
      <c r="P26" s="2"/>
      <c r="Q26" s="196" t="s">
        <v>341</v>
      </c>
      <c r="R26" s="2"/>
      <c r="S26" s="2"/>
      <c r="T26" s="2"/>
      <c r="U26" s="2"/>
      <c r="V26" s="2"/>
      <c r="W26" s="2"/>
      <c r="X26" s="2"/>
      <c r="Y26" s="2"/>
      <c r="Z26" s="196" t="s">
        <v>341</v>
      </c>
      <c r="AA26" s="2"/>
      <c r="AB26" s="2"/>
      <c r="AC26" s="2"/>
      <c r="AD26" s="2"/>
      <c r="AE26" s="2"/>
    </row>
    <row r="27" spans="1:38">
      <c r="E27" s="2"/>
      <c r="F27" s="230" t="s">
        <v>342</v>
      </c>
      <c r="G27" s="230"/>
      <c r="H27" s="230"/>
      <c r="I27" s="230"/>
      <c r="J27" s="230"/>
      <c r="K27" s="230"/>
      <c r="L27" s="230"/>
      <c r="M27" s="230"/>
      <c r="N27" s="230"/>
      <c r="O27" s="230" t="s">
        <v>342</v>
      </c>
      <c r="P27" s="2"/>
      <c r="Q27" s="2"/>
      <c r="R27" s="2"/>
      <c r="S27" s="2"/>
      <c r="T27" s="2"/>
      <c r="U27" s="2"/>
      <c r="V27" s="2"/>
      <c r="W27" s="2"/>
      <c r="X27" s="230" t="s">
        <v>342</v>
      </c>
      <c r="Y27" s="2"/>
      <c r="Z27" s="2"/>
      <c r="AA27" s="2"/>
      <c r="AB27" s="2"/>
      <c r="AC27" s="2"/>
      <c r="AD27" s="2"/>
      <c r="AE27" s="2"/>
    </row>
    <row r="28" spans="1:38">
      <c r="E28" s="2"/>
      <c r="F28" s="2"/>
      <c r="G28" s="2"/>
      <c r="H28" s="2"/>
      <c r="I28" s="4"/>
      <c r="J28" s="200" t="s">
        <v>343</v>
      </c>
      <c r="K28" s="196"/>
      <c r="L28" s="2"/>
      <c r="M28" s="2"/>
      <c r="N28" s="2"/>
      <c r="O28" s="2"/>
      <c r="P28" s="2"/>
      <c r="Q28" s="4"/>
      <c r="R28" s="200" t="s">
        <v>344</v>
      </c>
      <c r="S28" s="200"/>
      <c r="T28" s="200"/>
      <c r="U28" s="200"/>
      <c r="V28" s="4"/>
      <c r="W28" s="4"/>
      <c r="X28" s="4"/>
      <c r="Y28" s="4"/>
      <c r="Z28" s="4"/>
      <c r="AA28" s="200" t="s">
        <v>344</v>
      </c>
      <c r="AB28" s="200"/>
      <c r="AC28" s="200"/>
      <c r="AD28" s="196"/>
      <c r="AE28" s="2"/>
    </row>
    <row r="29" spans="1:38">
      <c r="E29" s="2"/>
      <c r="F29" s="2"/>
      <c r="G29" s="2"/>
      <c r="H29" s="2"/>
      <c r="I29" s="200" t="s">
        <v>344</v>
      </c>
      <c r="J29" s="4"/>
      <c r="K29" s="2"/>
      <c r="L29" s="2"/>
      <c r="M29" s="2"/>
      <c r="N29" s="2"/>
      <c r="O29" s="2"/>
      <c r="P29" s="2"/>
      <c r="Q29" s="4"/>
      <c r="R29" s="4"/>
      <c r="S29" s="200" t="s">
        <v>343</v>
      </c>
      <c r="T29" s="200"/>
      <c r="U29" s="4"/>
      <c r="V29" s="4"/>
      <c r="W29" s="4"/>
      <c r="X29" s="4"/>
      <c r="Y29" s="4"/>
      <c r="Z29" s="4"/>
      <c r="AA29" s="4"/>
      <c r="AB29" s="200" t="s">
        <v>343</v>
      </c>
      <c r="AC29" s="200"/>
      <c r="AD29" s="2"/>
      <c r="AE29" s="2"/>
    </row>
    <row r="30" spans="1:38">
      <c r="E30" s="2"/>
      <c r="F30" s="2"/>
      <c r="G30" s="2"/>
      <c r="H30" s="2"/>
      <c r="I30" s="4"/>
      <c r="J30" s="4"/>
      <c r="K30" s="2"/>
      <c r="L30" s="2"/>
      <c r="M30" s="2"/>
      <c r="N30" s="2"/>
      <c r="O30" s="2"/>
      <c r="P30" s="2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2"/>
      <c r="AE30" s="2"/>
    </row>
    <row r="31" spans="1:38">
      <c r="E31" s="231" t="s">
        <v>345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32" t="s">
        <v>346</v>
      </c>
      <c r="R31" s="2"/>
      <c r="S31" s="2"/>
      <c r="T31" s="2"/>
      <c r="U31" s="2"/>
      <c r="V31" s="2"/>
      <c r="W31" s="2"/>
      <c r="X31" s="2"/>
      <c r="Y31" s="2"/>
      <c r="Z31" s="233" t="s">
        <v>347</v>
      </c>
      <c r="AA31" s="2"/>
      <c r="AB31" s="2"/>
      <c r="AC31" s="2"/>
      <c r="AD31" s="2"/>
      <c r="AE31" s="2"/>
    </row>
    <row r="32" spans="1:38">
      <c r="E32" s="234" t="s">
        <v>348</v>
      </c>
      <c r="F32" s="2"/>
      <c r="G32" s="2"/>
      <c r="H32" s="2"/>
      <c r="I32" s="2"/>
      <c r="J32" s="2"/>
      <c r="K32" s="2"/>
      <c r="L32" s="2"/>
      <c r="M32" s="8"/>
      <c r="N32" s="2"/>
      <c r="O32" s="196"/>
      <c r="P32" s="196"/>
      <c r="Q32" s="196"/>
      <c r="R32" s="196"/>
      <c r="S32" s="235" t="s">
        <v>349</v>
      </c>
      <c r="T32" s="196"/>
      <c r="U32" s="196"/>
      <c r="V32" s="196"/>
      <c r="W32" s="2"/>
      <c r="X32" s="2"/>
      <c r="Y32" s="2"/>
      <c r="Z32" s="2"/>
      <c r="AA32" s="236" t="s">
        <v>350</v>
      </c>
      <c r="AB32" s="2"/>
      <c r="AC32" s="2"/>
      <c r="AD32" s="2"/>
      <c r="AE32" s="2"/>
    </row>
    <row r="33" spans="3:31">
      <c r="E33" s="2"/>
      <c r="F33" s="234" t="s">
        <v>351</v>
      </c>
      <c r="G33" s="2"/>
      <c r="H33" s="2"/>
      <c r="I33" s="2"/>
      <c r="J33" s="2"/>
      <c r="K33" s="2"/>
      <c r="L33" s="2"/>
      <c r="M33" s="8"/>
      <c r="N33" s="2"/>
      <c r="O33" s="2"/>
      <c r="P33" s="2"/>
      <c r="Q33" s="2"/>
      <c r="R33" s="2"/>
      <c r="S33" s="237" t="s">
        <v>352</v>
      </c>
      <c r="T33" s="2"/>
      <c r="U33" s="2"/>
      <c r="V33" s="2"/>
      <c r="W33" s="2"/>
      <c r="X33" s="2"/>
      <c r="Y33" s="2"/>
      <c r="Z33" s="2"/>
      <c r="AA33" s="2"/>
      <c r="AB33" s="237" t="s">
        <v>352</v>
      </c>
      <c r="AC33" s="2"/>
      <c r="AD33" s="2"/>
      <c r="AE33" s="2"/>
    </row>
    <row r="34" spans="3:31">
      <c r="E34" s="2"/>
      <c r="F34" s="2"/>
      <c r="G34" s="2"/>
      <c r="H34" s="2"/>
      <c r="I34" s="2"/>
      <c r="J34" s="2"/>
      <c r="K34" s="2"/>
      <c r="L34" s="2"/>
      <c r="M34" s="8"/>
      <c r="N34" s="2"/>
      <c r="O34" s="2"/>
      <c r="P34" s="196"/>
      <c r="Q34" s="196"/>
      <c r="R34" s="196"/>
      <c r="S34" s="196"/>
      <c r="T34" s="196"/>
      <c r="U34" s="196"/>
      <c r="V34" s="196"/>
      <c r="W34" s="196"/>
      <c r="X34" s="196"/>
      <c r="Y34" s="2"/>
      <c r="Z34" s="2"/>
      <c r="AA34" s="2"/>
      <c r="AB34" s="235" t="s">
        <v>349</v>
      </c>
      <c r="AC34" s="2"/>
      <c r="AD34" s="2"/>
      <c r="AE34" s="2"/>
    </row>
    <row r="35" spans="3:31">
      <c r="E35" s="2"/>
      <c r="F35" s="2"/>
      <c r="G35" s="2"/>
      <c r="H35" s="2"/>
      <c r="I35" s="2"/>
      <c r="J35" s="2"/>
      <c r="K35" s="2"/>
      <c r="L35" s="2"/>
      <c r="M35" s="8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3:31">
      <c r="C36" s="256"/>
    </row>
    <row r="37" spans="3:31">
      <c r="C37" s="255"/>
    </row>
  </sheetData>
  <mergeCells count="10">
    <mergeCell ref="AH1:AH2"/>
    <mergeCell ref="AI1:AL2"/>
    <mergeCell ref="K2:L2"/>
    <mergeCell ref="T2:U2"/>
    <mergeCell ref="AC2:AD2"/>
    <mergeCell ref="A24:C24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2025-11-07T12:44:15Z</dcterms:modified>
</cp:coreProperties>
</file>