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4β-βιβλΕσΕκτ" sheetId="18" r:id="rId16"/>
    <sheet name="15-φάκελ" sheetId="8" r:id="rId17"/>
    <sheet name="16-bSymb" sheetId="22" r:id="rId18"/>
    <sheet name="17-βιβλΣυμβ" sheetId="10" r:id="rId19"/>
    <sheet name="18-εθνΠλ" sheetId="28" r:id="rId20"/>
    <sheet name="19-πολ200" sheetId="5" r:id="rId21"/>
  </sheets>
  <calcPr calcId="125725"/>
</workbook>
</file>

<file path=xl/calcChain.xml><?xml version="1.0" encoding="utf-8"?>
<calcChain xmlns="http://schemas.openxmlformats.org/spreadsheetml/2006/main">
  <c r="AA66" i="9"/>
  <c r="AA65"/>
  <c r="P66"/>
  <c r="Q66"/>
  <c r="P65"/>
  <c r="Q65"/>
  <c r="O66"/>
  <c r="O65"/>
  <c r="L34"/>
  <c r="CA83" i="24"/>
  <c r="BS59"/>
  <c r="BT59"/>
  <c r="BU59"/>
  <c r="BV59"/>
  <c r="BW59"/>
  <c r="BW83" s="1"/>
  <c r="BX59"/>
  <c r="BX83" s="1"/>
  <c r="BY59"/>
  <c r="BY83" s="1"/>
  <c r="BR83"/>
  <c r="BS83"/>
  <c r="BT83"/>
  <c r="BU83"/>
  <c r="BV83"/>
  <c r="W59" i="26"/>
  <c r="N59"/>
  <c r="P66" i="14" l="1"/>
  <c r="F66" i="12"/>
  <c r="E81" i="13"/>
  <c r="K69" i="1"/>
  <c r="AF56" i="24"/>
  <c r="K56" i="15"/>
  <c r="R56" i="16"/>
  <c r="G56" i="12"/>
  <c r="AN54" i="24"/>
  <c r="AJ54"/>
  <c r="K54" i="15"/>
  <c r="G54" i="12"/>
  <c r="BN51" i="24"/>
  <c r="AW51"/>
  <c r="AQ51"/>
  <c r="AP51"/>
  <c r="AO51"/>
  <c r="AI51"/>
  <c r="AJ51"/>
  <c r="AH51"/>
  <c r="Z51"/>
  <c r="X51"/>
  <c r="K51" i="15"/>
  <c r="N51" i="20"/>
  <c r="M51"/>
  <c r="AH51" i="16"/>
  <c r="AD51"/>
  <c r="AC51"/>
  <c r="S51"/>
  <c r="G51" i="12"/>
  <c r="BR50" i="24"/>
  <c r="K50" i="15"/>
  <c r="G50" i="12"/>
  <c r="BV44" i="24"/>
  <c r="BU44"/>
  <c r="BT44"/>
  <c r="BS44"/>
  <c r="O24" i="25"/>
  <c r="L44" i="20"/>
  <c r="AJ49" i="24"/>
  <c r="K47" i="15"/>
  <c r="N49" i="20"/>
  <c r="M49"/>
  <c r="AE49" i="16"/>
  <c r="AE47"/>
  <c r="AB49"/>
  <c r="AC44"/>
  <c r="R49"/>
  <c r="R47"/>
  <c r="G47" i="12"/>
  <c r="M47" i="1"/>
  <c r="X47" i="5" s="1"/>
  <c r="AJ44" i="24"/>
  <c r="K44" i="15"/>
  <c r="G44" i="12"/>
  <c r="M44" i="1"/>
  <c r="BN42" i="24"/>
  <c r="AJ42"/>
  <c r="K42" i="15"/>
  <c r="AC42" i="16"/>
  <c r="G42" i="12"/>
  <c r="M42" i="1"/>
  <c r="BN39" i="24"/>
  <c r="AJ39"/>
  <c r="K39" i="15"/>
  <c r="AC39" i="16"/>
  <c r="AB39"/>
  <c r="G39" i="12"/>
  <c r="B40" i="13"/>
  <c r="C40"/>
  <c r="A41"/>
  <c r="B41"/>
  <c r="A42"/>
  <c r="B42"/>
  <c r="A43"/>
  <c r="B43"/>
  <c r="A44"/>
  <c r="B44"/>
  <c r="A45"/>
  <c r="B45"/>
  <c r="A46"/>
  <c r="B46"/>
  <c r="A47"/>
  <c r="B47"/>
  <c r="A48"/>
  <c r="B48"/>
  <c r="A49"/>
  <c r="B49"/>
  <c r="M39" i="1"/>
  <c r="X39" i="5" s="1"/>
  <c r="K38" i="15"/>
  <c r="K37"/>
  <c r="G38" i="12"/>
  <c r="G37"/>
  <c r="M38" i="1"/>
  <c r="AJ35" i="24"/>
  <c r="AJ32"/>
  <c r="K35" i="15"/>
  <c r="M35" i="20"/>
  <c r="G35" i="12"/>
  <c r="K32" i="15"/>
  <c r="M32" i="20"/>
  <c r="AC32" i="16"/>
  <c r="G32" i="12"/>
  <c r="AN30" i="24"/>
  <c r="AJ30"/>
  <c r="K30" i="15"/>
  <c r="AC30" i="16"/>
  <c r="AB30"/>
  <c r="G30" i="12"/>
  <c r="K29" i="15"/>
  <c r="BN28" i="24"/>
  <c r="K28" i="15"/>
  <c r="K27"/>
  <c r="AC27" i="16"/>
  <c r="AB27"/>
  <c r="G27" i="12"/>
  <c r="M28" i="1"/>
  <c r="I29"/>
  <c r="J29"/>
  <c r="I30"/>
  <c r="J30"/>
  <c r="I31"/>
  <c r="J31"/>
  <c r="J32"/>
  <c r="I33"/>
  <c r="J33"/>
  <c r="I34"/>
  <c r="J34"/>
  <c r="J35"/>
  <c r="J36"/>
  <c r="I37"/>
  <c r="J37"/>
  <c r="I38"/>
  <c r="J38"/>
  <c r="J39"/>
  <c r="J40"/>
  <c r="J41"/>
  <c r="J42"/>
  <c r="I43"/>
  <c r="J43"/>
  <c r="J44"/>
  <c r="I45"/>
  <c r="J45"/>
  <c r="K24" i="15"/>
  <c r="M24" i="20"/>
  <c r="AC24" i="16"/>
  <c r="AB24"/>
  <c r="G24" i="12"/>
  <c r="K22" i="15"/>
  <c r="M22" i="20"/>
  <c r="L22"/>
  <c r="AH22" i="16"/>
  <c r="AC22"/>
  <c r="G22" i="12"/>
  <c r="K22" i="1"/>
  <c r="K21" i="15"/>
  <c r="G21" i="12"/>
  <c r="K20" i="15"/>
  <c r="M20" i="20"/>
  <c r="L20"/>
  <c r="AF20" i="16"/>
  <c r="AE20"/>
  <c r="AC20"/>
  <c r="G20" i="12"/>
  <c r="BN19" i="24"/>
  <c r="K19" i="15"/>
  <c r="L19" i="20"/>
  <c r="M19"/>
  <c r="AC19" i="16"/>
  <c r="AB19"/>
  <c r="G19" i="12"/>
  <c r="AH16" i="24"/>
  <c r="K16" i="15"/>
  <c r="AC16" i="16"/>
  <c r="AB16"/>
  <c r="G16" i="12"/>
  <c r="K15" i="15"/>
  <c r="G3" i="12"/>
  <c r="G8"/>
  <c r="G6"/>
  <c r="G11"/>
  <c r="G10"/>
  <c r="G9"/>
  <c r="G15"/>
  <c r="K14" i="15"/>
  <c r="AC14" i="16"/>
  <c r="G14" i="12"/>
  <c r="K13" i="15"/>
  <c r="AC13" i="16"/>
  <c r="AB13"/>
  <c r="K12" i="15"/>
  <c r="K11"/>
  <c r="S12" i="16"/>
  <c r="R12"/>
  <c r="AP10" i="24"/>
  <c r="AH10"/>
  <c r="AB10" i="16"/>
  <c r="K10" i="15"/>
  <c r="K9"/>
  <c r="AC9" i="16"/>
  <c r="AB9"/>
  <c r="AC8"/>
  <c r="AB8"/>
  <c r="AW6" i="24"/>
  <c r="AQ6"/>
  <c r="AO6"/>
  <c r="AH6"/>
  <c r="AK6"/>
  <c r="AJ6"/>
  <c r="AB6" i="16"/>
  <c r="AW5" i="24"/>
  <c r="AJ5"/>
  <c r="AN5"/>
  <c r="AC5" i="16"/>
  <c r="AB5"/>
  <c r="S5"/>
  <c r="R5"/>
  <c r="AA3" i="5"/>
  <c r="AA4"/>
  <c r="AA5"/>
  <c r="AA6"/>
  <c r="AA7"/>
  <c r="AA8"/>
  <c r="AA9"/>
  <c r="AA10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48"/>
  <c r="AA49"/>
  <c r="AA50"/>
  <c r="AA51"/>
  <c r="AA52"/>
  <c r="AA53"/>
  <c r="AA54"/>
  <c r="AA55"/>
  <c r="AA56"/>
  <c r="X4"/>
  <c r="X5"/>
  <c r="X6"/>
  <c r="X7"/>
  <c r="X8"/>
  <c r="X9"/>
  <c r="X10"/>
  <c r="X11"/>
  <c r="X12"/>
  <c r="X13"/>
  <c r="X14"/>
  <c r="X15"/>
  <c r="X16"/>
  <c r="X17"/>
  <c r="X18"/>
  <c r="X19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40"/>
  <c r="X41"/>
  <c r="X42"/>
  <c r="X43"/>
  <c r="X45"/>
  <c r="X46"/>
  <c r="X48"/>
  <c r="X49"/>
  <c r="X50"/>
  <c r="X51"/>
  <c r="X52"/>
  <c r="X53"/>
  <c r="X54"/>
  <c r="X55"/>
  <c r="X56"/>
  <c r="X3"/>
  <c r="AC3" i="16"/>
  <c r="AB3"/>
  <c r="I5" i="13"/>
  <c r="I6"/>
  <c r="I50"/>
  <c r="I51"/>
  <c r="X44" i="5" l="1"/>
  <c r="AP59" i="26"/>
  <c r="AM59"/>
  <c r="AO3"/>
  <c r="BY3" i="24" s="1"/>
  <c r="AO4" i="26"/>
  <c r="BY4" i="24" s="1"/>
  <c r="AO5" i="26"/>
  <c r="BY5" i="24" s="1"/>
  <c r="AO6" i="26"/>
  <c r="BY6" i="24" s="1"/>
  <c r="BY7"/>
  <c r="AO8" i="26"/>
  <c r="BY8" i="24" s="1"/>
  <c r="AO9" i="26"/>
  <c r="BY9" i="24" s="1"/>
  <c r="AO10" i="26"/>
  <c r="BY10" i="24" s="1"/>
  <c r="AO11" i="26"/>
  <c r="BY11" i="24" s="1"/>
  <c r="AO12" i="26"/>
  <c r="BY12" i="24" s="1"/>
  <c r="AO13" i="26"/>
  <c r="BY13" i="24" s="1"/>
  <c r="AO14" i="26"/>
  <c r="BY14" i="24" s="1"/>
  <c r="AO15" i="26"/>
  <c r="BY15" i="24" s="1"/>
  <c r="AO16" i="26"/>
  <c r="BY16" i="24" s="1"/>
  <c r="AO17" i="26"/>
  <c r="BY17" i="24" s="1"/>
  <c r="AO18" i="26"/>
  <c r="BY18" i="24" s="1"/>
  <c r="AO19" i="26"/>
  <c r="BY19" i="24" s="1"/>
  <c r="AO20" i="26"/>
  <c r="BY20" i="24" s="1"/>
  <c r="AO21" i="26"/>
  <c r="BY21" i="24" s="1"/>
  <c r="AO22" i="26"/>
  <c r="BY22" i="24" s="1"/>
  <c r="AO23" i="26"/>
  <c r="AO24"/>
  <c r="BY24" i="24" s="1"/>
  <c r="AO25" i="26"/>
  <c r="AO26"/>
  <c r="AO27"/>
  <c r="AO28"/>
  <c r="BY28" i="24" s="1"/>
  <c r="AO29" i="26"/>
  <c r="BY29" i="24" s="1"/>
  <c r="AO30" i="26"/>
  <c r="BY30" i="24" s="1"/>
  <c r="AO31" i="26"/>
  <c r="BY31" i="24" s="1"/>
  <c r="AO32" i="26"/>
  <c r="BY32" i="24" s="1"/>
  <c r="AO33" i="26"/>
  <c r="BY33" i="24" s="1"/>
  <c r="AO34" i="26"/>
  <c r="BY34" i="24" s="1"/>
  <c r="AO35" i="26"/>
  <c r="BY35" i="24" s="1"/>
  <c r="AO36" i="26"/>
  <c r="BY36" i="24" s="1"/>
  <c r="AO37" i="26"/>
  <c r="BY37" i="24" s="1"/>
  <c r="AO38" i="26"/>
  <c r="BY38" i="24" s="1"/>
  <c r="AO39" i="26"/>
  <c r="BY39" i="24" s="1"/>
  <c r="AO40" i="26"/>
  <c r="BY40" i="24" s="1"/>
  <c r="AO41" i="26"/>
  <c r="BY41" i="24" s="1"/>
  <c r="AO42" i="26"/>
  <c r="BY42" i="24" s="1"/>
  <c r="AO43" i="26"/>
  <c r="BY43" i="24" s="1"/>
  <c r="AO44" i="26"/>
  <c r="BY44" i="24" s="1"/>
  <c r="AO45" i="26"/>
  <c r="BY45" i="24" s="1"/>
  <c r="AO46" i="26"/>
  <c r="BY46" i="24" s="1"/>
  <c r="AO47" i="26"/>
  <c r="BY47" i="24" s="1"/>
  <c r="AO48" i="26"/>
  <c r="BY48" i="24" s="1"/>
  <c r="AO49" i="26"/>
  <c r="BY49" i="24" s="1"/>
  <c r="AO50" i="26"/>
  <c r="BY50" i="24" s="1"/>
  <c r="AO51" i="26"/>
  <c r="BY51" i="24" s="1"/>
  <c r="AO52" i="26"/>
  <c r="BY52" i="24" s="1"/>
  <c r="AO53" i="26"/>
  <c r="BY53" i="24" s="1"/>
  <c r="AO54" i="26"/>
  <c r="BY54" i="24" s="1"/>
  <c r="AO55" i="26"/>
  <c r="BY55" i="24" s="1"/>
  <c r="AO56" i="26"/>
  <c r="BY56" i="24" s="1"/>
  <c r="AN59" i="26"/>
  <c r="AO59" l="1"/>
  <c r="BX3" i="24"/>
  <c r="BX4"/>
  <c r="BX5"/>
  <c r="BX6"/>
  <c r="BX7"/>
  <c r="BX8"/>
  <c r="BX9"/>
  <c r="BX10"/>
  <c r="BX11"/>
  <c r="BX12"/>
  <c r="BX13"/>
  <c r="BX14"/>
  <c r="BX15"/>
  <c r="BX16"/>
  <c r="BX17"/>
  <c r="BX18"/>
  <c r="BX19"/>
  <c r="BX20"/>
  <c r="BX21"/>
  <c r="BX22"/>
  <c r="BX24"/>
  <c r="BX28"/>
  <c r="BX29"/>
  <c r="BX30"/>
  <c r="BX31"/>
  <c r="BX32"/>
  <c r="BX33"/>
  <c r="BX34"/>
  <c r="BX35"/>
  <c r="BX36"/>
  <c r="BX37"/>
  <c r="BX38"/>
  <c r="BX39"/>
  <c r="BX40"/>
  <c r="BX41"/>
  <c r="BX42"/>
  <c r="BX43"/>
  <c r="BX44"/>
  <c r="BX45"/>
  <c r="BX46"/>
  <c r="BX47"/>
  <c r="BX48"/>
  <c r="BX49"/>
  <c r="BX50"/>
  <c r="BX51"/>
  <c r="BX52"/>
  <c r="BX53"/>
  <c r="BX54"/>
  <c r="BX55"/>
  <c r="BX56"/>
  <c r="Z59" i="9" l="1"/>
  <c r="P59" i="20"/>
  <c r="P67" s="1"/>
  <c r="AT83" i="24"/>
  <c r="BO83"/>
  <c r="BP83"/>
  <c r="AG83" i="16"/>
  <c r="AJ83"/>
  <c r="AK83"/>
  <c r="P59" i="4"/>
  <c r="P70" s="1"/>
  <c r="BB4" i="24"/>
  <c r="BB5"/>
  <c r="BB6"/>
  <c r="BB7"/>
  <c r="BB8"/>
  <c r="BB9"/>
  <c r="BB10"/>
  <c r="BB12"/>
  <c r="BB13"/>
  <c r="BB14"/>
  <c r="BB15"/>
  <c r="BB16"/>
  <c r="BB18"/>
  <c r="BB19"/>
  <c r="BB20"/>
  <c r="BB22"/>
  <c r="BB24"/>
  <c r="BB28"/>
  <c r="BB29"/>
  <c r="BB30"/>
  <c r="BB32"/>
  <c r="BB35"/>
  <c r="BB37"/>
  <c r="BB38"/>
  <c r="BB39"/>
  <c r="BB40"/>
  <c r="BB41"/>
  <c r="BB42"/>
  <c r="BB44"/>
  <c r="BB47"/>
  <c r="BB49"/>
  <c r="BB51"/>
  <c r="BB54"/>
  <c r="BB55"/>
  <c r="BB56"/>
  <c r="BB3"/>
  <c r="AV4"/>
  <c r="AV5"/>
  <c r="AV6"/>
  <c r="AV7"/>
  <c r="AV8"/>
  <c r="AV9"/>
  <c r="AV10"/>
  <c r="AV12"/>
  <c r="AV13"/>
  <c r="AV14"/>
  <c r="AV15"/>
  <c r="AV16"/>
  <c r="AV18"/>
  <c r="AV19"/>
  <c r="AV20"/>
  <c r="AV22"/>
  <c r="AV24"/>
  <c r="AV28"/>
  <c r="AV29"/>
  <c r="AV30"/>
  <c r="AV32"/>
  <c r="AV35"/>
  <c r="AV37"/>
  <c r="AV38"/>
  <c r="AV39"/>
  <c r="AV40"/>
  <c r="AV41"/>
  <c r="AV42"/>
  <c r="AV44"/>
  <c r="AV47"/>
  <c r="AV49"/>
  <c r="AV51"/>
  <c r="AV54"/>
  <c r="AV55"/>
  <c r="AV56"/>
  <c r="AV3"/>
  <c r="R59"/>
  <c r="R83" s="1"/>
  <c r="Q59" l="1"/>
  <c r="Q83" s="1"/>
  <c r="Q3" i="20"/>
  <c r="Q4"/>
  <c r="Q5"/>
  <c r="Q6"/>
  <c r="Q7"/>
  <c r="Q8"/>
  <c r="Q9"/>
  <c r="Q10"/>
  <c r="Q11"/>
  <c r="Q12"/>
  <c r="Q13"/>
  <c r="Q14"/>
  <c r="Q15"/>
  <c r="Q16"/>
  <c r="Q17"/>
  <c r="Q18"/>
  <c r="Q19"/>
  <c r="Q20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48"/>
  <c r="Q49"/>
  <c r="Q50"/>
  <c r="Q51"/>
  <c r="Q52"/>
  <c r="Q53"/>
  <c r="Q54"/>
  <c r="Q55"/>
  <c r="Q4" i="4"/>
  <c r="Q5"/>
  <c r="Q6"/>
  <c r="Q8"/>
  <c r="Q9"/>
  <c r="Q10"/>
  <c r="Q12"/>
  <c r="Q13"/>
  <c r="Q14"/>
  <c r="Q16"/>
  <c r="Q18"/>
  <c r="Q19"/>
  <c r="Q20"/>
  <c r="Q22"/>
  <c r="Q23"/>
  <c r="Q24"/>
  <c r="Q25"/>
  <c r="Q26"/>
  <c r="Q32"/>
  <c r="Q35"/>
  <c r="Q36"/>
  <c r="Q39"/>
  <c r="Q40"/>
  <c r="Q41"/>
  <c r="Q42"/>
  <c r="Q43"/>
  <c r="Q44"/>
  <c r="Q45"/>
  <c r="Q46"/>
  <c r="Q47"/>
  <c r="Q48"/>
  <c r="Q49"/>
  <c r="Q51"/>
  <c r="Q52"/>
  <c r="Q53"/>
  <c r="Q54"/>
  <c r="Q55"/>
  <c r="Q3"/>
  <c r="D21" i="24"/>
  <c r="D25"/>
  <c r="D26"/>
  <c r="AN4" i="16"/>
  <c r="AN5"/>
  <c r="AN6"/>
  <c r="AN7"/>
  <c r="AN10"/>
  <c r="AN11"/>
  <c r="AN12"/>
  <c r="AN13"/>
  <c r="AN15"/>
  <c r="AN17"/>
  <c r="AN18"/>
  <c r="AN27"/>
  <c r="AN29"/>
  <c r="AN30"/>
  <c r="AN33"/>
  <c r="AN34"/>
  <c r="AN36"/>
  <c r="AN37"/>
  <c r="AN38"/>
  <c r="AN40"/>
  <c r="AN41"/>
  <c r="AN43"/>
  <c r="AN45"/>
  <c r="AN46"/>
  <c r="AN48"/>
  <c r="AN49"/>
  <c r="AN50"/>
  <c r="AN52"/>
  <c r="AN53"/>
  <c r="AN54"/>
  <c r="AN55"/>
  <c r="AN56"/>
  <c r="AN3"/>
  <c r="AM3"/>
  <c r="D3" i="24" s="1"/>
  <c r="AM4" i="16"/>
  <c r="D4" i="24" s="1"/>
  <c r="AM6" i="16"/>
  <c r="D6" i="24" s="1"/>
  <c r="AM7" i="16"/>
  <c r="D7" i="24" s="1"/>
  <c r="AM8" i="16"/>
  <c r="D8" i="24" s="1"/>
  <c r="AM9" i="16"/>
  <c r="D9" i="24" s="1"/>
  <c r="AM10" i="16"/>
  <c r="D10" i="24" s="1"/>
  <c r="AM11" i="16"/>
  <c r="D11" i="24" s="1"/>
  <c r="AM12" i="16"/>
  <c r="D12" i="24" s="1"/>
  <c r="AM13" i="16"/>
  <c r="D13" i="24" s="1"/>
  <c r="AM14" i="16"/>
  <c r="D14" i="24" s="1"/>
  <c r="AM15" i="16"/>
  <c r="D15" i="24" s="1"/>
  <c r="AM16" i="16"/>
  <c r="D16" i="24" s="1"/>
  <c r="AM17" i="16"/>
  <c r="D17" i="24" s="1"/>
  <c r="AM18" i="16"/>
  <c r="D18" i="24" s="1"/>
  <c r="AM19" i="16"/>
  <c r="D19" i="24" s="1"/>
  <c r="AM20" i="16"/>
  <c r="D20" i="24" s="1"/>
  <c r="AM22" i="16"/>
  <c r="D22" i="24" s="1"/>
  <c r="D23"/>
  <c r="AM24" i="16"/>
  <c r="D24" i="24" s="1"/>
  <c r="AM27" i="16"/>
  <c r="D27" i="24" s="1"/>
  <c r="D28"/>
  <c r="AM29" i="16"/>
  <c r="D29" i="24" s="1"/>
  <c r="AM30" i="16"/>
  <c r="D30" i="24" s="1"/>
  <c r="D31"/>
  <c r="AM32" i="16"/>
  <c r="D32" i="24" s="1"/>
  <c r="AM33" i="16"/>
  <c r="D33" i="24" s="1"/>
  <c r="AM34" i="16"/>
  <c r="D34" i="24" s="1"/>
  <c r="AM35" i="16"/>
  <c r="D35" i="24" s="1"/>
  <c r="AM36" i="16"/>
  <c r="D36" i="24" s="1"/>
  <c r="AM37" i="16"/>
  <c r="D37" i="24" s="1"/>
  <c r="AM38" i="16"/>
  <c r="D38" i="24" s="1"/>
  <c r="AM39" i="16"/>
  <c r="D39" i="24" s="1"/>
  <c r="AM40" i="16"/>
  <c r="D40" i="24" s="1"/>
  <c r="AM41" i="16"/>
  <c r="D41" i="24" s="1"/>
  <c r="AM42" i="16"/>
  <c r="D42" i="24" s="1"/>
  <c r="AM43" i="16"/>
  <c r="D43" i="24" s="1"/>
  <c r="AM44" i="16"/>
  <c r="D44" i="24" s="1"/>
  <c r="AM45" i="16"/>
  <c r="D45" i="24" s="1"/>
  <c r="AM46" i="16"/>
  <c r="D46" i="24" s="1"/>
  <c r="AM47" i="16"/>
  <c r="D47" i="24" s="1"/>
  <c r="AM48" i="16"/>
  <c r="D48" i="24" s="1"/>
  <c r="AM49" i="16"/>
  <c r="D49" i="24" s="1"/>
  <c r="AM50" i="16"/>
  <c r="D50" i="24" s="1"/>
  <c r="AM51" i="16"/>
  <c r="D51" i="24" s="1"/>
  <c r="AM52" i="16"/>
  <c r="D52" i="24" s="1"/>
  <c r="AM53" i="16"/>
  <c r="D53" i="24" s="1"/>
  <c r="AM54" i="16"/>
  <c r="D54" i="24" s="1"/>
  <c r="AM55" i="16"/>
  <c r="D55" i="24" s="1"/>
  <c r="AM56" i="16"/>
  <c r="D56" i="24" s="1"/>
  <c r="BR56"/>
  <c r="BR55"/>
  <c r="BR54"/>
  <c r="BR51"/>
  <c r="BR49"/>
  <c r="BR48"/>
  <c r="BR47"/>
  <c r="BR46"/>
  <c r="BR45"/>
  <c r="BR44"/>
  <c r="BR43"/>
  <c r="BR42"/>
  <c r="BR41"/>
  <c r="BR40"/>
  <c r="BR39"/>
  <c r="BR38"/>
  <c r="BR37"/>
  <c r="BR35"/>
  <c r="BR32"/>
  <c r="BR30"/>
  <c r="BR29"/>
  <c r="BR28"/>
  <c r="BR24"/>
  <c r="BR22"/>
  <c r="BR21"/>
  <c r="BR20"/>
  <c r="BR19"/>
  <c r="BR18"/>
  <c r="BR16"/>
  <c r="BR15"/>
  <c r="BR14"/>
  <c r="BR13"/>
  <c r="BR12"/>
  <c r="BR10"/>
  <c r="BR9"/>
  <c r="BR8"/>
  <c r="BR7"/>
  <c r="BR6"/>
  <c r="BR5"/>
  <c r="BR4"/>
  <c r="BR3"/>
  <c r="AF55"/>
  <c r="AF54"/>
  <c r="AF51"/>
  <c r="AF49"/>
  <c r="AF47"/>
  <c r="AF44"/>
  <c r="AF42"/>
  <c r="AF41"/>
  <c r="AF40"/>
  <c r="AF39"/>
  <c r="AF38"/>
  <c r="AF37"/>
  <c r="AF35"/>
  <c r="AF32"/>
  <c r="AF30"/>
  <c r="AF29"/>
  <c r="AF28"/>
  <c r="AF24"/>
  <c r="AF22"/>
  <c r="AF20"/>
  <c r="AF19"/>
  <c r="AF18"/>
  <c r="AF16"/>
  <c r="AF15"/>
  <c r="AF14"/>
  <c r="AF13"/>
  <c r="AF12"/>
  <c r="AF10"/>
  <c r="AF9"/>
  <c r="AF8"/>
  <c r="AF7"/>
  <c r="AF6"/>
  <c r="AF5"/>
  <c r="AF4"/>
  <c r="AF3"/>
  <c r="M64" i="27" l="1"/>
  <c r="M63"/>
  <c r="I4" i="4"/>
  <c r="F5"/>
  <c r="I5" s="1"/>
  <c r="F6"/>
  <c r="I6" s="1"/>
  <c r="F8"/>
  <c r="I8" s="1"/>
  <c r="F9"/>
  <c r="I9" s="1"/>
  <c r="F10"/>
  <c r="I10" s="1"/>
  <c r="F12"/>
  <c r="I12" s="1"/>
  <c r="F13"/>
  <c r="I13" s="1"/>
  <c r="F14"/>
  <c r="I14" s="1"/>
  <c r="F16"/>
  <c r="I16" s="1"/>
  <c r="F17"/>
  <c r="F18"/>
  <c r="I18" s="1"/>
  <c r="F19"/>
  <c r="I19" s="1"/>
  <c r="F20"/>
  <c r="I20" s="1"/>
  <c r="F22"/>
  <c r="I22" s="1"/>
  <c r="I23"/>
  <c r="F24"/>
  <c r="I24" s="1"/>
  <c r="F25"/>
  <c r="I25" s="1"/>
  <c r="F26"/>
  <c r="I26" s="1"/>
  <c r="F32"/>
  <c r="I32" s="1"/>
  <c r="I32" i="1" s="1"/>
  <c r="F33" i="4"/>
  <c r="F34"/>
  <c r="F35"/>
  <c r="I35" s="1"/>
  <c r="I35" i="1" s="1"/>
  <c r="F36" i="4"/>
  <c r="I36" s="1"/>
  <c r="I36" i="1" s="1"/>
  <c r="F39" i="4"/>
  <c r="I39" s="1"/>
  <c r="I39" i="1" s="1"/>
  <c r="I40" i="4"/>
  <c r="I40" i="1" s="1"/>
  <c r="I41" i="4"/>
  <c r="I41" i="1" s="1"/>
  <c r="F42" i="4"/>
  <c r="I42" s="1"/>
  <c r="I42" i="1" s="1"/>
  <c r="F43" i="4"/>
  <c r="F44"/>
  <c r="I44" s="1"/>
  <c r="I44" i="1" s="1"/>
  <c r="F45" i="4"/>
  <c r="F46"/>
  <c r="F47"/>
  <c r="I47" s="1"/>
  <c r="F48"/>
  <c r="I48" s="1"/>
  <c r="F49"/>
  <c r="I49" s="1"/>
  <c r="F51"/>
  <c r="I51" s="1"/>
  <c r="I52"/>
  <c r="I53"/>
  <c r="I54"/>
  <c r="I55"/>
  <c r="F3"/>
  <c r="F4" i="12" l="1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29" i="1" s="1"/>
  <c r="F30" i="12"/>
  <c r="F30" i="1" s="1"/>
  <c r="F31" i="12"/>
  <c r="F31" i="1" s="1"/>
  <c r="F32" i="12"/>
  <c r="F32" i="1" s="1"/>
  <c r="F33" i="12"/>
  <c r="F33" i="1" s="1"/>
  <c r="F34" i="12"/>
  <c r="F34" i="1" s="1"/>
  <c r="F35" i="12"/>
  <c r="F35" i="1" s="1"/>
  <c r="F36" i="12"/>
  <c r="F36" i="1" s="1"/>
  <c r="F37" i="12"/>
  <c r="F37" i="1" s="1"/>
  <c r="F38" i="12"/>
  <c r="F38" i="1" s="1"/>
  <c r="F39" i="12"/>
  <c r="F39" i="1" s="1"/>
  <c r="F40" i="12"/>
  <c r="F40" i="1" s="1"/>
  <c r="F41" i="12"/>
  <c r="F41" i="1" s="1"/>
  <c r="F42" i="12"/>
  <c r="F42" i="1" s="1"/>
  <c r="F43" i="12"/>
  <c r="F43" i="1" s="1"/>
  <c r="F44" i="12"/>
  <c r="F44" i="1" s="1"/>
  <c r="F45" i="12"/>
  <c r="F45" i="1" s="1"/>
  <c r="F46" i="12"/>
  <c r="F47"/>
  <c r="F48"/>
  <c r="F49"/>
  <c r="F50"/>
  <c r="F51"/>
  <c r="F52"/>
  <c r="F53"/>
  <c r="F54"/>
  <c r="F55"/>
  <c r="F56"/>
  <c r="F3"/>
  <c r="T68" i="13"/>
  <c r="T67"/>
  <c r="P59" i="24"/>
  <c r="P83" s="1"/>
  <c r="AR59"/>
  <c r="AR83" s="1"/>
  <c r="AS59"/>
  <c r="AS83" s="1"/>
  <c r="V59"/>
  <c r="V83" s="1"/>
  <c r="J4" i="1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46"/>
  <c r="J47"/>
  <c r="J48"/>
  <c r="J49"/>
  <c r="J50"/>
  <c r="J51"/>
  <c r="J52"/>
  <c r="J53"/>
  <c r="J54"/>
  <c r="J55"/>
  <c r="J56"/>
  <c r="J3"/>
  <c r="T59" i="23"/>
  <c r="T59" i="24"/>
  <c r="T83" s="1"/>
  <c r="U59"/>
  <c r="U83" s="1"/>
  <c r="X59" i="9"/>
  <c r="Y59"/>
  <c r="AA59"/>
  <c r="AB59"/>
  <c r="P59" i="5" l="1"/>
  <c r="Q59"/>
  <c r="AD59" i="16" l="1"/>
  <c r="AD83" s="1"/>
  <c r="AE59"/>
  <c r="AE83" s="1"/>
  <c r="AF59"/>
  <c r="AF83" s="1"/>
  <c r="AH59"/>
  <c r="AH83" s="1"/>
  <c r="AI59"/>
  <c r="AI83" s="1"/>
  <c r="AL59"/>
  <c r="AL83" s="1"/>
  <c r="M59" i="9"/>
  <c r="D59" i="15" l="1"/>
  <c r="E59"/>
  <c r="F59"/>
  <c r="G59"/>
  <c r="H59"/>
  <c r="I59"/>
  <c r="J59"/>
  <c r="K4"/>
  <c r="K5"/>
  <c r="K6"/>
  <c r="K7"/>
  <c r="K8"/>
  <c r="K17"/>
  <c r="K18"/>
  <c r="K23"/>
  <c r="K25"/>
  <c r="K26"/>
  <c r="K31"/>
  <c r="K33"/>
  <c r="K34"/>
  <c r="K36"/>
  <c r="K40"/>
  <c r="K41"/>
  <c r="K43"/>
  <c r="K45"/>
  <c r="K46"/>
  <c r="K48"/>
  <c r="K49"/>
  <c r="K52"/>
  <c r="K53"/>
  <c r="K55"/>
  <c r="K3"/>
  <c r="K59" l="1"/>
  <c r="I3" i="4"/>
  <c r="F4" i="1" l="1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46"/>
  <c r="F47"/>
  <c r="F48"/>
  <c r="F49"/>
  <c r="F50"/>
  <c r="F51"/>
  <c r="F52"/>
  <c r="F53"/>
  <c r="F54"/>
  <c r="F55"/>
  <c r="F56"/>
  <c r="F3"/>
  <c r="V59" i="5" l="1"/>
  <c r="T59"/>
  <c r="E56" l="1"/>
  <c r="D56"/>
  <c r="C56"/>
  <c r="B56"/>
  <c r="A56"/>
  <c r="E55"/>
  <c r="D55"/>
  <c r="C55"/>
  <c r="B55"/>
  <c r="A55"/>
  <c r="E54"/>
  <c r="D54"/>
  <c r="C54"/>
  <c r="B54"/>
  <c r="A54"/>
  <c r="E53"/>
  <c r="D53"/>
  <c r="C53"/>
  <c r="B53"/>
  <c r="A53"/>
  <c r="E52"/>
  <c r="D52"/>
  <c r="C52"/>
  <c r="B52"/>
  <c r="A52"/>
  <c r="E51"/>
  <c r="D51"/>
  <c r="C51"/>
  <c r="B51"/>
  <c r="A51"/>
  <c r="E50"/>
  <c r="D50"/>
  <c r="C50"/>
  <c r="B50"/>
  <c r="A50"/>
  <c r="E49"/>
  <c r="D49"/>
  <c r="C49"/>
  <c r="B49"/>
  <c r="A49"/>
  <c r="E48"/>
  <c r="D48"/>
  <c r="C48"/>
  <c r="B48"/>
  <c r="A48"/>
  <c r="E47"/>
  <c r="D47"/>
  <c r="C47"/>
  <c r="B47"/>
  <c r="A47"/>
  <c r="E46"/>
  <c r="D46"/>
  <c r="C46"/>
  <c r="B46"/>
  <c r="A46"/>
  <c r="E45"/>
  <c r="D45"/>
  <c r="C45"/>
  <c r="B45"/>
  <c r="A45"/>
  <c r="E44"/>
  <c r="D44"/>
  <c r="C44"/>
  <c r="B44"/>
  <c r="A44"/>
  <c r="E43"/>
  <c r="D43"/>
  <c r="C43"/>
  <c r="B43"/>
  <c r="A43"/>
  <c r="E42"/>
  <c r="D42"/>
  <c r="C42"/>
  <c r="B42"/>
  <c r="A42"/>
  <c r="E41"/>
  <c r="D41"/>
  <c r="C41"/>
  <c r="B41"/>
  <c r="A41"/>
  <c r="E40"/>
  <c r="D40"/>
  <c r="C40"/>
  <c r="B40"/>
  <c r="A40"/>
  <c r="E39"/>
  <c r="D39"/>
  <c r="C39"/>
  <c r="B39"/>
  <c r="A39"/>
  <c r="E38"/>
  <c r="D38"/>
  <c r="C38"/>
  <c r="B38"/>
  <c r="A38"/>
  <c r="E37"/>
  <c r="D37"/>
  <c r="C37"/>
  <c r="B37"/>
  <c r="A37"/>
  <c r="E36"/>
  <c r="D36"/>
  <c r="C36"/>
  <c r="B36"/>
  <c r="A36"/>
  <c r="E35"/>
  <c r="D35"/>
  <c r="C35"/>
  <c r="B35"/>
  <c r="A35"/>
  <c r="E34"/>
  <c r="D34"/>
  <c r="C34"/>
  <c r="B34"/>
  <c r="A34"/>
  <c r="E33"/>
  <c r="D33"/>
  <c r="C33"/>
  <c r="B33"/>
  <c r="A33"/>
  <c r="E32"/>
  <c r="D32"/>
  <c r="C32"/>
  <c r="B32"/>
  <c r="A32"/>
  <c r="E31"/>
  <c r="D31"/>
  <c r="C31"/>
  <c r="B31"/>
  <c r="A31"/>
  <c r="E30"/>
  <c r="D30"/>
  <c r="C30"/>
  <c r="B30"/>
  <c r="A30"/>
  <c r="E29"/>
  <c r="D29"/>
  <c r="C29"/>
  <c r="B29"/>
  <c r="A29"/>
  <c r="E28"/>
  <c r="D28"/>
  <c r="C28"/>
  <c r="B28"/>
  <c r="A28"/>
  <c r="E27" l="1"/>
  <c r="D27"/>
  <c r="C27"/>
  <c r="B27"/>
  <c r="A27"/>
  <c r="E26"/>
  <c r="D26"/>
  <c r="C26"/>
  <c r="B26"/>
  <c r="A26"/>
  <c r="E25"/>
  <c r="D25"/>
  <c r="C25"/>
  <c r="B25"/>
  <c r="A25"/>
  <c r="E24"/>
  <c r="D24"/>
  <c r="C24"/>
  <c r="B24"/>
  <c r="A24"/>
  <c r="E23"/>
  <c r="D23"/>
  <c r="C23"/>
  <c r="B23"/>
  <c r="A23"/>
  <c r="E22"/>
  <c r="D22"/>
  <c r="C22"/>
  <c r="B22"/>
  <c r="A22"/>
  <c r="E21"/>
  <c r="D21"/>
  <c r="C21"/>
  <c r="B21"/>
  <c r="A21"/>
  <c r="E20"/>
  <c r="D20"/>
  <c r="C20"/>
  <c r="B20"/>
  <c r="A20"/>
  <c r="E19"/>
  <c r="D19"/>
  <c r="C19"/>
  <c r="B19"/>
  <c r="A19"/>
  <c r="E18"/>
  <c r="D18"/>
  <c r="C18"/>
  <c r="B18"/>
  <c r="A18"/>
  <c r="E17"/>
  <c r="D17"/>
  <c r="C17"/>
  <c r="B17"/>
  <c r="A17"/>
  <c r="E16"/>
  <c r="D16"/>
  <c r="C16"/>
  <c r="B16"/>
  <c r="A16"/>
  <c r="E15"/>
  <c r="D15"/>
  <c r="C15"/>
  <c r="B15"/>
  <c r="A15"/>
  <c r="E14"/>
  <c r="D14"/>
  <c r="C14"/>
  <c r="B14"/>
  <c r="A14"/>
  <c r="E13"/>
  <c r="D13"/>
  <c r="C13"/>
  <c r="B13"/>
  <c r="A13"/>
  <c r="E12" l="1"/>
  <c r="D12"/>
  <c r="C12"/>
  <c r="B12"/>
  <c r="A12"/>
  <c r="E11" l="1"/>
  <c r="D11"/>
  <c r="C11"/>
  <c r="B11"/>
  <c r="A11"/>
  <c r="E10"/>
  <c r="D10"/>
  <c r="C10"/>
  <c r="B10"/>
  <c r="A10"/>
  <c r="E9"/>
  <c r="D9"/>
  <c r="C9"/>
  <c r="B9"/>
  <c r="A9"/>
  <c r="E8"/>
  <c r="D8"/>
  <c r="C8"/>
  <c r="B8"/>
  <c r="A8"/>
  <c r="E7"/>
  <c r="D7"/>
  <c r="C7"/>
  <c r="E6"/>
  <c r="D6"/>
  <c r="C6"/>
  <c r="B6"/>
  <c r="A6"/>
  <c r="E5" l="1"/>
  <c r="D5"/>
  <c r="C5"/>
  <c r="B5"/>
  <c r="A5"/>
  <c r="E4"/>
  <c r="D4"/>
  <c r="C4"/>
  <c r="AA59"/>
  <c r="E3" l="1"/>
  <c r="D3"/>
  <c r="C3"/>
  <c r="B3"/>
  <c r="A3"/>
  <c r="C58" i="28"/>
  <c r="B58"/>
  <c r="A58"/>
  <c r="C57"/>
  <c r="B57"/>
  <c r="A57"/>
  <c r="C56"/>
  <c r="B56"/>
  <c r="A56"/>
  <c r="C55"/>
  <c r="B55"/>
  <c r="A55"/>
  <c r="C54"/>
  <c r="B54"/>
  <c r="A54"/>
  <c r="C53"/>
  <c r="B53"/>
  <c r="A53"/>
  <c r="C52"/>
  <c r="B52"/>
  <c r="A52"/>
  <c r="C51"/>
  <c r="B51"/>
  <c r="A51"/>
  <c r="C50"/>
  <c r="B50"/>
  <c r="A50"/>
  <c r="C49"/>
  <c r="B49"/>
  <c r="A49"/>
  <c r="C48"/>
  <c r="B48"/>
  <c r="A48"/>
  <c r="C47"/>
  <c r="B47"/>
  <c r="A47"/>
  <c r="C46"/>
  <c r="B46"/>
  <c r="A46"/>
  <c r="C45"/>
  <c r="B45"/>
  <c r="A45"/>
  <c r="C44"/>
  <c r="B44"/>
  <c r="A44"/>
  <c r="C43"/>
  <c r="B43"/>
  <c r="A43"/>
  <c r="C42"/>
  <c r="B42"/>
  <c r="A42"/>
  <c r="C41"/>
  <c r="B41"/>
  <c r="A41"/>
  <c r="C40"/>
  <c r="B40"/>
  <c r="A40"/>
  <c r="C39"/>
  <c r="B39"/>
  <c r="A39"/>
  <c r="C38"/>
  <c r="B38"/>
  <c r="A38"/>
  <c r="C37"/>
  <c r="B37"/>
  <c r="A37"/>
  <c r="C36"/>
  <c r="B36"/>
  <c r="A36"/>
  <c r="C35"/>
  <c r="B35"/>
  <c r="A35"/>
  <c r="C34"/>
  <c r="B34"/>
  <c r="A34"/>
  <c r="C33"/>
  <c r="B33"/>
  <c r="A33"/>
  <c r="C32"/>
  <c r="B32"/>
  <c r="A32"/>
  <c r="C31"/>
  <c r="B31"/>
  <c r="A31"/>
  <c r="C30"/>
  <c r="B30"/>
  <c r="A30"/>
  <c r="C29"/>
  <c r="B29"/>
  <c r="A29"/>
  <c r="C28"/>
  <c r="B28"/>
  <c r="A28"/>
  <c r="C27"/>
  <c r="B27"/>
  <c r="A27"/>
  <c r="C26"/>
  <c r="B26"/>
  <c r="A26"/>
  <c r="C25"/>
  <c r="B25"/>
  <c r="A25"/>
  <c r="C24"/>
  <c r="B24"/>
  <c r="A24"/>
  <c r="C23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59" i="10"/>
  <c r="Q59" l="1"/>
  <c r="O59"/>
  <c r="L58"/>
  <c r="J58"/>
  <c r="H58"/>
  <c r="G58"/>
  <c r="E58"/>
  <c r="C58"/>
  <c r="A58"/>
  <c r="L57"/>
  <c r="J57"/>
  <c r="H57"/>
  <c r="G57"/>
  <c r="E57"/>
  <c r="C57"/>
  <c r="A57"/>
  <c r="L56"/>
  <c r="J56"/>
  <c r="H56"/>
  <c r="G56"/>
  <c r="E56"/>
  <c r="C56"/>
  <c r="A56"/>
  <c r="L55"/>
  <c r="J55"/>
  <c r="H55"/>
  <c r="G55"/>
  <c r="E55"/>
  <c r="C55"/>
  <c r="A55"/>
  <c r="L54"/>
  <c r="J54"/>
  <c r="H54"/>
  <c r="G54"/>
  <c r="E54"/>
  <c r="C54"/>
  <c r="A54"/>
  <c r="L53"/>
  <c r="J53"/>
  <c r="H53"/>
  <c r="G53"/>
  <c r="E53"/>
  <c r="C53"/>
  <c r="A53"/>
  <c r="L52"/>
  <c r="J52"/>
  <c r="H52"/>
  <c r="G52"/>
  <c r="E52"/>
  <c r="C52"/>
  <c r="A52"/>
  <c r="L51"/>
  <c r="J51"/>
  <c r="H51"/>
  <c r="G51"/>
  <c r="E51"/>
  <c r="C51"/>
  <c r="A51"/>
  <c r="L50"/>
  <c r="J50"/>
  <c r="H50"/>
  <c r="G50"/>
  <c r="E50"/>
  <c r="C50"/>
  <c r="A50"/>
  <c r="L49"/>
  <c r="J49"/>
  <c r="H49"/>
  <c r="G49"/>
  <c r="E49"/>
  <c r="C49"/>
  <c r="A49"/>
  <c r="L48"/>
  <c r="J48"/>
  <c r="H48"/>
  <c r="G48"/>
  <c r="E48"/>
  <c r="C48"/>
  <c r="A48"/>
  <c r="L47"/>
  <c r="J47"/>
  <c r="H47"/>
  <c r="G47"/>
  <c r="E47"/>
  <c r="C47"/>
  <c r="A47"/>
  <c r="L46"/>
  <c r="J46"/>
  <c r="H46"/>
  <c r="G46"/>
  <c r="E46"/>
  <c r="C46"/>
  <c r="A46"/>
  <c r="L45"/>
  <c r="J45"/>
  <c r="H45"/>
  <c r="G45"/>
  <c r="E45"/>
  <c r="C45"/>
  <c r="A45"/>
  <c r="L44"/>
  <c r="J44"/>
  <c r="H44"/>
  <c r="G44"/>
  <c r="E44"/>
  <c r="C44"/>
  <c r="A44"/>
  <c r="L43"/>
  <c r="J43"/>
  <c r="H43"/>
  <c r="G43"/>
  <c r="E43"/>
  <c r="C43"/>
  <c r="A43"/>
  <c r="L42"/>
  <c r="J42"/>
  <c r="H42"/>
  <c r="G42"/>
  <c r="E42"/>
  <c r="C42"/>
  <c r="A42"/>
  <c r="L41"/>
  <c r="J41"/>
  <c r="H41"/>
  <c r="G41"/>
  <c r="E41"/>
  <c r="C41"/>
  <c r="A41"/>
  <c r="L40"/>
  <c r="J40"/>
  <c r="H40"/>
  <c r="G40"/>
  <c r="E40"/>
  <c r="C40"/>
  <c r="A40"/>
  <c r="L39"/>
  <c r="J39"/>
  <c r="H39"/>
  <c r="G39"/>
  <c r="E39"/>
  <c r="C39"/>
  <c r="A39"/>
  <c r="L38"/>
  <c r="J38"/>
  <c r="H38"/>
  <c r="G38"/>
  <c r="E38"/>
  <c r="C38"/>
  <c r="A38"/>
  <c r="L37"/>
  <c r="J37"/>
  <c r="H37"/>
  <c r="G37"/>
  <c r="E37"/>
  <c r="C37"/>
  <c r="A37"/>
  <c r="L36"/>
  <c r="J36"/>
  <c r="H36"/>
  <c r="G36"/>
  <c r="E36"/>
  <c r="C36"/>
  <c r="A36"/>
  <c r="L35"/>
  <c r="J35"/>
  <c r="H35"/>
  <c r="G35"/>
  <c r="E35"/>
  <c r="C35"/>
  <c r="A35"/>
  <c r="L34"/>
  <c r="J34"/>
  <c r="H34"/>
  <c r="G34"/>
  <c r="E34"/>
  <c r="C34"/>
  <c r="A34"/>
  <c r="L33"/>
  <c r="J33"/>
  <c r="H33"/>
  <c r="G33"/>
  <c r="E33"/>
  <c r="C33"/>
  <c r="A33"/>
  <c r="L32"/>
  <c r="J32"/>
  <c r="H32"/>
  <c r="G32"/>
  <c r="E32"/>
  <c r="C32"/>
  <c r="A32"/>
  <c r="L31"/>
  <c r="J31"/>
  <c r="H31"/>
  <c r="G31"/>
  <c r="E31"/>
  <c r="C31"/>
  <c r="A31"/>
  <c r="L30"/>
  <c r="J30"/>
  <c r="H30"/>
  <c r="G30"/>
  <c r="E30"/>
  <c r="C30"/>
  <c r="A30"/>
  <c r="L29"/>
  <c r="J29"/>
  <c r="H29"/>
  <c r="G29"/>
  <c r="E29"/>
  <c r="C29"/>
  <c r="A29"/>
  <c r="L28"/>
  <c r="J28"/>
  <c r="H28"/>
  <c r="G28"/>
  <c r="E28"/>
  <c r="C28"/>
  <c r="A28"/>
  <c r="L27"/>
  <c r="J27"/>
  <c r="H27"/>
  <c r="G27"/>
  <c r="E27"/>
  <c r="C27"/>
  <c r="A27"/>
  <c r="L26"/>
  <c r="J26"/>
  <c r="H26"/>
  <c r="G26"/>
  <c r="E26"/>
  <c r="C26"/>
  <c r="A26"/>
  <c r="L25"/>
  <c r="J25"/>
  <c r="H25"/>
  <c r="G25"/>
  <c r="E25"/>
  <c r="C25"/>
  <c r="A25"/>
  <c r="L24"/>
  <c r="J24"/>
  <c r="H24"/>
  <c r="G24"/>
  <c r="E24"/>
  <c r="C24"/>
  <c r="A24"/>
  <c r="L23"/>
  <c r="J23"/>
  <c r="H23"/>
  <c r="G23"/>
  <c r="E23"/>
  <c r="C23"/>
  <c r="A23"/>
  <c r="L22"/>
  <c r="J22"/>
  <c r="H22"/>
  <c r="G22"/>
  <c r="E22"/>
  <c r="C22"/>
  <c r="A22"/>
  <c r="L21"/>
  <c r="J21"/>
  <c r="H21"/>
  <c r="G21"/>
  <c r="E21"/>
  <c r="C21"/>
  <c r="A21"/>
  <c r="L20"/>
  <c r="J20"/>
  <c r="H20"/>
  <c r="G20"/>
  <c r="E20"/>
  <c r="C20"/>
  <c r="A20"/>
  <c r="L19"/>
  <c r="J19"/>
  <c r="H19"/>
  <c r="G19"/>
  <c r="E19"/>
  <c r="C19"/>
  <c r="A19"/>
  <c r="L18"/>
  <c r="J18"/>
  <c r="H18"/>
  <c r="G18"/>
  <c r="E18"/>
  <c r="C18"/>
  <c r="A18"/>
  <c r="L17"/>
  <c r="J17"/>
  <c r="H17"/>
  <c r="G17"/>
  <c r="E17"/>
  <c r="C17"/>
  <c r="A17"/>
  <c r="L16"/>
  <c r="J16"/>
  <c r="H16"/>
  <c r="G16"/>
  <c r="E16"/>
  <c r="C16"/>
  <c r="A16"/>
  <c r="L15"/>
  <c r="J15"/>
  <c r="H15"/>
  <c r="G15"/>
  <c r="E15"/>
  <c r="C15"/>
  <c r="A15"/>
  <c r="L14"/>
  <c r="J14"/>
  <c r="H14"/>
  <c r="G14"/>
  <c r="E14"/>
  <c r="C14"/>
  <c r="A14"/>
  <c r="L13"/>
  <c r="J13"/>
  <c r="H13"/>
  <c r="G13"/>
  <c r="E13"/>
  <c r="C13"/>
  <c r="A13"/>
  <c r="L12"/>
  <c r="J12"/>
  <c r="H12"/>
  <c r="G12"/>
  <c r="E12"/>
  <c r="C12"/>
  <c r="A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59" l="1"/>
  <c r="A58" i="22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A58" i="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J58" i="18"/>
  <c r="G58"/>
  <c r="F58"/>
  <c r="E58"/>
  <c r="D58"/>
  <c r="C58"/>
  <c r="B58"/>
  <c r="A58"/>
  <c r="J57"/>
  <c r="G57"/>
  <c r="F57"/>
  <c r="E57"/>
  <c r="D57"/>
  <c r="C57"/>
  <c r="B57"/>
  <c r="A57"/>
  <c r="J56"/>
  <c r="G56"/>
  <c r="F56"/>
  <c r="E56"/>
  <c r="D56"/>
  <c r="C56"/>
  <c r="B56"/>
  <c r="A56"/>
  <c r="J55"/>
  <c r="G55"/>
  <c r="F55"/>
  <c r="E55"/>
  <c r="D55"/>
  <c r="C55"/>
  <c r="B55"/>
  <c r="A55"/>
  <c r="J54"/>
  <c r="G54"/>
  <c r="F54"/>
  <c r="E54"/>
  <c r="D54"/>
  <c r="C54"/>
  <c r="B54"/>
  <c r="A54"/>
  <c r="J53"/>
  <c r="G53"/>
  <c r="F53"/>
  <c r="E53"/>
  <c r="D53"/>
  <c r="C53"/>
  <c r="B53"/>
  <c r="A53"/>
  <c r="J52"/>
  <c r="G52"/>
  <c r="F52"/>
  <c r="E52"/>
  <c r="D52"/>
  <c r="C52"/>
  <c r="B52"/>
  <c r="A52"/>
  <c r="J51"/>
  <c r="G51"/>
  <c r="F51"/>
  <c r="E51"/>
  <c r="D51"/>
  <c r="C51"/>
  <c r="B51"/>
  <c r="A51"/>
  <c r="J50"/>
  <c r="G50"/>
  <c r="F50"/>
  <c r="E50"/>
  <c r="D50"/>
  <c r="C50"/>
  <c r="B50"/>
  <c r="A50"/>
  <c r="J49"/>
  <c r="G49"/>
  <c r="F49"/>
  <c r="E49"/>
  <c r="D49"/>
  <c r="C49"/>
  <c r="B49"/>
  <c r="A49"/>
  <c r="J48"/>
  <c r="G48"/>
  <c r="F48"/>
  <c r="E48"/>
  <c r="D48"/>
  <c r="C48"/>
  <c r="B48"/>
  <c r="A48"/>
  <c r="J47"/>
  <c r="G47"/>
  <c r="F47"/>
  <c r="E47"/>
  <c r="D47"/>
  <c r="C47"/>
  <c r="B47"/>
  <c r="A47"/>
  <c r="J46"/>
  <c r="G46"/>
  <c r="F46"/>
  <c r="E46"/>
  <c r="D46"/>
  <c r="C46"/>
  <c r="B46"/>
  <c r="A46"/>
  <c r="J45"/>
  <c r="G45"/>
  <c r="F45"/>
  <c r="E45"/>
  <c r="D45"/>
  <c r="C45"/>
  <c r="B45"/>
  <c r="A45"/>
  <c r="J44"/>
  <c r="G44"/>
  <c r="F44"/>
  <c r="E44"/>
  <c r="D44"/>
  <c r="C44"/>
  <c r="B44"/>
  <c r="A44"/>
  <c r="J43"/>
  <c r="G43"/>
  <c r="F43"/>
  <c r="E43"/>
  <c r="D43"/>
  <c r="C43"/>
  <c r="B43"/>
  <c r="A43"/>
  <c r="J42"/>
  <c r="G42"/>
  <c r="F42"/>
  <c r="E42"/>
  <c r="D42"/>
  <c r="C42"/>
  <c r="B42"/>
  <c r="A42"/>
  <c r="J41"/>
  <c r="G41"/>
  <c r="F41"/>
  <c r="E41"/>
  <c r="D41"/>
  <c r="C41"/>
  <c r="B41"/>
  <c r="A41"/>
  <c r="J40"/>
  <c r="G40"/>
  <c r="F40"/>
  <c r="E40"/>
  <c r="D40"/>
  <c r="C40"/>
  <c r="B40"/>
  <c r="A40"/>
  <c r="J39"/>
  <c r="G39"/>
  <c r="F39"/>
  <c r="E39"/>
  <c r="D39"/>
  <c r="C39"/>
  <c r="B39"/>
  <c r="A39"/>
  <c r="J38"/>
  <c r="G38"/>
  <c r="F38"/>
  <c r="E38"/>
  <c r="D38"/>
  <c r="C38"/>
  <c r="B38"/>
  <c r="A38"/>
  <c r="J37"/>
  <c r="G37"/>
  <c r="F37"/>
  <c r="E37"/>
  <c r="D37"/>
  <c r="C37"/>
  <c r="B37"/>
  <c r="A37"/>
  <c r="J36"/>
  <c r="G36"/>
  <c r="F36"/>
  <c r="E36"/>
  <c r="D36"/>
  <c r="C36"/>
  <c r="B36"/>
  <c r="A36"/>
  <c r="J35"/>
  <c r="G35"/>
  <c r="F35"/>
  <c r="E35"/>
  <c r="D35"/>
  <c r="C35"/>
  <c r="B35"/>
  <c r="A35"/>
  <c r="J34"/>
  <c r="G34"/>
  <c r="F34"/>
  <c r="E34"/>
  <c r="D34"/>
  <c r="C34"/>
  <c r="B34"/>
  <c r="A34"/>
  <c r="J33"/>
  <c r="G33"/>
  <c r="F33"/>
  <c r="E33"/>
  <c r="D33"/>
  <c r="C33"/>
  <c r="B33"/>
  <c r="A33"/>
  <c r="J32"/>
  <c r="G32"/>
  <c r="F32"/>
  <c r="E32"/>
  <c r="D32"/>
  <c r="C32"/>
  <c r="B32"/>
  <c r="A32"/>
  <c r="J31"/>
  <c r="G31"/>
  <c r="F31"/>
  <c r="E31"/>
  <c r="D31"/>
  <c r="C31"/>
  <c r="B31"/>
  <c r="A31"/>
  <c r="J30"/>
  <c r="G30"/>
  <c r="F30"/>
  <c r="E30"/>
  <c r="D30"/>
  <c r="C30"/>
  <c r="B30"/>
  <c r="A30"/>
  <c r="J29"/>
  <c r="G29"/>
  <c r="F29"/>
  <c r="E29"/>
  <c r="D29"/>
  <c r="C29"/>
  <c r="B29"/>
  <c r="A29"/>
  <c r="J28"/>
  <c r="G28"/>
  <c r="F28"/>
  <c r="E28"/>
  <c r="D28"/>
  <c r="C28"/>
  <c r="B28"/>
  <c r="A28"/>
  <c r="J27"/>
  <c r="G27"/>
  <c r="F27"/>
  <c r="E27"/>
  <c r="D27"/>
  <c r="C27"/>
  <c r="B27"/>
  <c r="A27"/>
  <c r="J26"/>
  <c r="G26"/>
  <c r="F26"/>
  <c r="E26"/>
  <c r="D26"/>
  <c r="C26"/>
  <c r="B26"/>
  <c r="A26"/>
  <c r="J25"/>
  <c r="G25"/>
  <c r="F25"/>
  <c r="E25"/>
  <c r="D25"/>
  <c r="C25"/>
  <c r="B25"/>
  <c r="A25"/>
  <c r="J24"/>
  <c r="G24"/>
  <c r="F24"/>
  <c r="E24"/>
  <c r="D24"/>
  <c r="C24"/>
  <c r="B24"/>
  <c r="A24"/>
  <c r="J23"/>
  <c r="G23"/>
  <c r="F23"/>
  <c r="E23"/>
  <c r="D23"/>
  <c r="C23"/>
  <c r="B23"/>
  <c r="A23"/>
  <c r="J22"/>
  <c r="G22"/>
  <c r="F22"/>
  <c r="E22"/>
  <c r="D22"/>
  <c r="C22"/>
  <c r="B22"/>
  <c r="A22"/>
  <c r="J21"/>
  <c r="G21"/>
  <c r="F21"/>
  <c r="E21"/>
  <c r="D21"/>
  <c r="C21"/>
  <c r="B21"/>
  <c r="A21"/>
  <c r="J20"/>
  <c r="G20"/>
  <c r="F20"/>
  <c r="E20"/>
  <c r="D20"/>
  <c r="C20"/>
  <c r="B20"/>
  <c r="A20"/>
  <c r="J19"/>
  <c r="G19"/>
  <c r="F19"/>
  <c r="E19"/>
  <c r="D19"/>
  <c r="C19"/>
  <c r="B19"/>
  <c r="A19"/>
  <c r="J18"/>
  <c r="G18"/>
  <c r="F18"/>
  <c r="E18"/>
  <c r="D18"/>
  <c r="C18"/>
  <c r="B18"/>
  <c r="A18"/>
  <c r="J17"/>
  <c r="G17"/>
  <c r="F17"/>
  <c r="E17"/>
  <c r="D17"/>
  <c r="C17"/>
  <c r="B17"/>
  <c r="A17"/>
  <c r="J16"/>
  <c r="G16"/>
  <c r="F16"/>
  <c r="E16"/>
  <c r="D16"/>
  <c r="C16"/>
  <c r="B16"/>
  <c r="A16"/>
  <c r="J15"/>
  <c r="G15"/>
  <c r="F15"/>
  <c r="E15"/>
  <c r="D15"/>
  <c r="C15"/>
  <c r="B15"/>
  <c r="A15"/>
  <c r="J14"/>
  <c r="G14"/>
  <c r="F14"/>
  <c r="E14"/>
  <c r="D14"/>
  <c r="C14"/>
  <c r="B14"/>
  <c r="A14"/>
  <c r="J13"/>
  <c r="G13"/>
  <c r="F13"/>
  <c r="E13"/>
  <c r="D13"/>
  <c r="C13"/>
  <c r="B13"/>
  <c r="A13"/>
  <c r="J12"/>
  <c r="G12"/>
  <c r="F12"/>
  <c r="E12"/>
  <c r="D12"/>
  <c r="C12"/>
  <c r="B12"/>
  <c r="A12"/>
  <c r="J11"/>
  <c r="G11"/>
  <c r="F11"/>
  <c r="E11"/>
  <c r="D11"/>
  <c r="C11"/>
  <c r="B11"/>
  <c r="A11"/>
  <c r="J10"/>
  <c r="G10"/>
  <c r="F10"/>
  <c r="E10"/>
  <c r="D10"/>
  <c r="C10"/>
  <c r="B10"/>
  <c r="A10"/>
  <c r="J9"/>
  <c r="G9"/>
  <c r="F9"/>
  <c r="E9"/>
  <c r="D9"/>
  <c r="C9"/>
  <c r="B9"/>
  <c r="A9"/>
  <c r="J8"/>
  <c r="G8"/>
  <c r="F8"/>
  <c r="E8"/>
  <c r="D8"/>
  <c r="C8"/>
  <c r="B8"/>
  <c r="A8"/>
  <c r="J7"/>
  <c r="G7"/>
  <c r="F7"/>
  <c r="E7"/>
  <c r="D7"/>
  <c r="C7"/>
  <c r="B7"/>
  <c r="A7"/>
  <c r="J6"/>
  <c r="G6"/>
  <c r="F6"/>
  <c r="E6"/>
  <c r="D6"/>
  <c r="C6"/>
  <c r="B6"/>
  <c r="A6"/>
  <c r="J5"/>
  <c r="G5"/>
  <c r="F5"/>
  <c r="E5"/>
  <c r="D5"/>
  <c r="C5"/>
  <c r="B5"/>
  <c r="A5"/>
  <c r="J4"/>
  <c r="G4"/>
  <c r="F4"/>
  <c r="E4"/>
  <c r="D4"/>
  <c r="C4"/>
  <c r="B4"/>
  <c r="A4"/>
  <c r="J3"/>
  <c r="G3"/>
  <c r="F3"/>
  <c r="F59" s="1"/>
  <c r="E3"/>
  <c r="E59" s="1"/>
  <c r="D3"/>
  <c r="C3"/>
  <c r="B3"/>
  <c r="A3"/>
  <c r="G59" l="1"/>
  <c r="J59"/>
  <c r="W59" i="9"/>
  <c r="V59"/>
  <c r="N59" l="1"/>
  <c r="J59"/>
  <c r="I59"/>
  <c r="H59"/>
  <c r="G59"/>
  <c r="F59"/>
  <c r="E59"/>
  <c r="S58"/>
  <c r="S57"/>
  <c r="S56"/>
  <c r="D56"/>
  <c r="C56"/>
  <c r="B56"/>
  <c r="A56"/>
  <c r="S55"/>
  <c r="D55"/>
  <c r="C55"/>
  <c r="B55"/>
  <c r="A55"/>
  <c r="S54"/>
  <c r="D54"/>
  <c r="C54"/>
  <c r="B54"/>
  <c r="A54"/>
  <c r="S53"/>
  <c r="D53"/>
  <c r="C53"/>
  <c r="B53"/>
  <c r="A53"/>
  <c r="S52"/>
  <c r="D52"/>
  <c r="C52"/>
  <c r="B52"/>
  <c r="A52"/>
  <c r="S51"/>
  <c r="D51"/>
  <c r="C51"/>
  <c r="B51"/>
  <c r="A51"/>
  <c r="S50"/>
  <c r="D50"/>
  <c r="C50"/>
  <c r="B50"/>
  <c r="A50"/>
  <c r="S49"/>
  <c r="D49"/>
  <c r="C49"/>
  <c r="B49"/>
  <c r="A49"/>
  <c r="S48"/>
  <c r="D48"/>
  <c r="C48"/>
  <c r="B48"/>
  <c r="A48"/>
  <c r="S47"/>
  <c r="D47"/>
  <c r="C47"/>
  <c r="B47"/>
  <c r="A47"/>
  <c r="S46"/>
  <c r="D46"/>
  <c r="C46"/>
  <c r="B46"/>
  <c r="A46"/>
  <c r="S45"/>
  <c r="D45"/>
  <c r="C45"/>
  <c r="B45"/>
  <c r="A45"/>
  <c r="S44"/>
  <c r="D44"/>
  <c r="C44"/>
  <c r="B44"/>
  <c r="A44"/>
  <c r="S43"/>
  <c r="D43"/>
  <c r="C43"/>
  <c r="B43"/>
  <c r="A43"/>
  <c r="S42"/>
  <c r="D42"/>
  <c r="C42"/>
  <c r="B42"/>
  <c r="A42"/>
  <c r="S41"/>
  <c r="D41"/>
  <c r="C41"/>
  <c r="B41"/>
  <c r="A41"/>
  <c r="S40"/>
  <c r="D40"/>
  <c r="C40"/>
  <c r="B40"/>
  <c r="A40"/>
  <c r="S39"/>
  <c r="D39"/>
  <c r="C39"/>
  <c r="B39"/>
  <c r="A39"/>
  <c r="S38"/>
  <c r="D38"/>
  <c r="C38"/>
  <c r="B38"/>
  <c r="A38"/>
  <c r="S37"/>
  <c r="D37" l="1"/>
  <c r="C37"/>
  <c r="B37"/>
  <c r="A37"/>
  <c r="S36"/>
  <c r="D36"/>
  <c r="C36"/>
  <c r="B36"/>
  <c r="A36"/>
  <c r="S35"/>
  <c r="D35"/>
  <c r="C35"/>
  <c r="B35"/>
  <c r="A35"/>
  <c r="S34"/>
  <c r="D34"/>
  <c r="C34"/>
  <c r="B34"/>
  <c r="A34"/>
  <c r="S33"/>
  <c r="D33"/>
  <c r="C33"/>
  <c r="B33"/>
  <c r="A33"/>
  <c r="S32"/>
  <c r="D32"/>
  <c r="C32"/>
  <c r="B32"/>
  <c r="A32"/>
  <c r="S31"/>
  <c r="D31"/>
  <c r="C31"/>
  <c r="B31"/>
  <c r="A31"/>
  <c r="S30"/>
  <c r="D30"/>
  <c r="C30"/>
  <c r="B30"/>
  <c r="A30"/>
  <c r="S29"/>
  <c r="D29"/>
  <c r="C29"/>
  <c r="B29"/>
  <c r="A29"/>
  <c r="S28"/>
  <c r="D28"/>
  <c r="C28"/>
  <c r="B28"/>
  <c r="A28"/>
  <c r="S27"/>
  <c r="D27"/>
  <c r="C27"/>
  <c r="B27"/>
  <c r="A27"/>
  <c r="S26"/>
  <c r="D26"/>
  <c r="C26"/>
  <c r="B26"/>
  <c r="A26"/>
  <c r="S25"/>
  <c r="D25"/>
  <c r="C25"/>
  <c r="B25"/>
  <c r="A25"/>
  <c r="S24"/>
  <c r="D24"/>
  <c r="C24"/>
  <c r="B24"/>
  <c r="A24"/>
  <c r="S23"/>
  <c r="D23"/>
  <c r="C23"/>
  <c r="B23"/>
  <c r="A23"/>
  <c r="S22"/>
  <c r="D22"/>
  <c r="C22"/>
  <c r="B22"/>
  <c r="A22"/>
  <c r="S21"/>
  <c r="D21"/>
  <c r="C21"/>
  <c r="B21"/>
  <c r="A21"/>
  <c r="S20"/>
  <c r="D20"/>
  <c r="C20"/>
  <c r="B20"/>
  <c r="A20"/>
  <c r="S19"/>
  <c r="D19"/>
  <c r="C19"/>
  <c r="B19"/>
  <c r="A19"/>
  <c r="S18"/>
  <c r="D18"/>
  <c r="C18"/>
  <c r="B18"/>
  <c r="A18"/>
  <c r="S17"/>
  <c r="D17"/>
  <c r="C17"/>
  <c r="B17"/>
  <c r="A17"/>
  <c r="S16"/>
  <c r="D16"/>
  <c r="C16"/>
  <c r="B16"/>
  <c r="A16"/>
  <c r="S15"/>
  <c r="D15"/>
  <c r="C15"/>
  <c r="B15"/>
  <c r="A15"/>
  <c r="D14"/>
  <c r="C14"/>
  <c r="B14"/>
  <c r="A14"/>
  <c r="D13"/>
  <c r="C13"/>
  <c r="B13"/>
  <c r="A13"/>
  <c r="D12"/>
  <c r="C12"/>
  <c r="B12"/>
  <c r="A12"/>
  <c r="D11"/>
  <c r="C11"/>
  <c r="B11"/>
  <c r="A11"/>
  <c r="D10"/>
  <c r="C10"/>
  <c r="B10"/>
  <c r="A10"/>
  <c r="D9"/>
  <c r="C9"/>
  <c r="B9"/>
  <c r="A9"/>
  <c r="D8"/>
  <c r="C8"/>
  <c r="B8"/>
  <c r="A8"/>
  <c r="D7"/>
  <c r="C7"/>
  <c r="D6"/>
  <c r="C6"/>
  <c r="B6"/>
  <c r="A6"/>
  <c r="D5"/>
  <c r="C5"/>
  <c r="B5"/>
  <c r="A5"/>
  <c r="D4"/>
  <c r="C4"/>
  <c r="S59" l="1"/>
  <c r="D3" l="1"/>
  <c r="C3"/>
  <c r="B3"/>
  <c r="A3"/>
  <c r="BQ59" i="24"/>
  <c r="BQ83" s="1"/>
  <c r="BN59"/>
  <c r="BN83" s="1"/>
  <c r="BM59"/>
  <c r="BM83" s="1"/>
  <c r="BL59"/>
  <c r="BL83" s="1"/>
  <c r="BK59"/>
  <c r="BK83" s="1"/>
  <c r="BJ59"/>
  <c r="BJ83" s="1"/>
  <c r="BI59"/>
  <c r="BI83" s="1"/>
  <c r="BH59"/>
  <c r="BH83" s="1"/>
  <c r="BG59"/>
  <c r="BG83" s="1"/>
  <c r="BE59"/>
  <c r="BE83" s="1"/>
  <c r="BD59"/>
  <c r="BD83" s="1"/>
  <c r="BC59"/>
  <c r="BC83" s="1"/>
  <c r="BA59"/>
  <c r="BA83" s="1"/>
  <c r="AZ59"/>
  <c r="AZ83" s="1"/>
  <c r="AY59"/>
  <c r="AY82" s="1"/>
  <c r="AX59"/>
  <c r="AX83" s="1"/>
  <c r="AW59"/>
  <c r="AW82" s="1"/>
  <c r="AU59"/>
  <c r="AU83" s="1"/>
  <c r="AQ59"/>
  <c r="AQ83" s="1"/>
  <c r="AP59"/>
  <c r="AP83" s="1"/>
  <c r="AO59"/>
  <c r="AO83" s="1"/>
  <c r="AN59"/>
  <c r="AN83" s="1"/>
  <c r="AM59"/>
  <c r="AM83" s="1"/>
  <c r="AL59"/>
  <c r="AL83" s="1"/>
  <c r="AK59"/>
  <c r="AK83" s="1"/>
  <c r="AJ59"/>
  <c r="AJ83" s="1"/>
  <c r="AI59"/>
  <c r="AI83" s="1"/>
  <c r="AH59"/>
  <c r="AH83" s="1"/>
  <c r="AE59"/>
  <c r="AE83" s="1"/>
  <c r="AD59"/>
  <c r="AD83" s="1"/>
  <c r="AC59"/>
  <c r="AC83" s="1"/>
  <c r="AB59"/>
  <c r="AB82" s="1"/>
  <c r="AA59"/>
  <c r="Z59"/>
  <c r="Z83" s="1"/>
  <c r="Y59"/>
  <c r="Y83" s="1"/>
  <c r="X59"/>
  <c r="X83" s="1"/>
  <c r="W59"/>
  <c r="W83" s="1"/>
  <c r="S59"/>
  <c r="S83" s="1"/>
  <c r="O59"/>
  <c r="O83" s="1"/>
  <c r="N59"/>
  <c r="N83" s="1"/>
  <c r="M59"/>
  <c r="M83" s="1"/>
  <c r="L59"/>
  <c r="L83" s="1"/>
  <c r="K59"/>
  <c r="K83" s="1"/>
  <c r="BF56"/>
  <c r="I56"/>
  <c r="G56"/>
  <c r="F56"/>
  <c r="B56"/>
  <c r="A56"/>
  <c r="BF55"/>
  <c r="I55"/>
  <c r="G55"/>
  <c r="F55"/>
  <c r="B55"/>
  <c r="A55"/>
  <c r="BF54"/>
  <c r="I54"/>
  <c r="G54"/>
  <c r="F54"/>
  <c r="B54"/>
  <c r="A54"/>
  <c r="I53"/>
  <c r="G53"/>
  <c r="F53"/>
  <c r="B53"/>
  <c r="A53"/>
  <c r="I52"/>
  <c r="G52"/>
  <c r="F52"/>
  <c r="B52"/>
  <c r="A52"/>
  <c r="BF51"/>
  <c r="I51"/>
  <c r="G51"/>
  <c r="F51"/>
  <c r="B51"/>
  <c r="A51"/>
  <c r="I50"/>
  <c r="G50"/>
  <c r="F50"/>
  <c r="B50"/>
  <c r="A50"/>
  <c r="BF49"/>
  <c r="I49"/>
  <c r="G49"/>
  <c r="F49"/>
  <c r="B49"/>
  <c r="A49"/>
  <c r="I48"/>
  <c r="G48"/>
  <c r="F48"/>
  <c r="B48"/>
  <c r="A48"/>
  <c r="BF47"/>
  <c r="I47"/>
  <c r="G47"/>
  <c r="F47"/>
  <c r="B47"/>
  <c r="A47"/>
  <c r="I46"/>
  <c r="G46"/>
  <c r="F46"/>
  <c r="B46"/>
  <c r="A46"/>
  <c r="I45"/>
  <c r="G45"/>
  <c r="F45"/>
  <c r="B45"/>
  <c r="A45"/>
  <c r="BF44"/>
  <c r="I44"/>
  <c r="G44"/>
  <c r="F44"/>
  <c r="B44"/>
  <c r="A44"/>
  <c r="I43"/>
  <c r="G43"/>
  <c r="F43"/>
  <c r="B43"/>
  <c r="A43"/>
  <c r="BF42"/>
  <c r="I42"/>
  <c r="G42"/>
  <c r="F42"/>
  <c r="B42"/>
  <c r="A42"/>
  <c r="BF41"/>
  <c r="I41"/>
  <c r="G41"/>
  <c r="F41"/>
  <c r="B41"/>
  <c r="A41"/>
  <c r="BF40"/>
  <c r="I40"/>
  <c r="G40"/>
  <c r="F40"/>
  <c r="B40"/>
  <c r="A40"/>
  <c r="BF39"/>
  <c r="I39"/>
  <c r="G39"/>
  <c r="F39"/>
  <c r="B39"/>
  <c r="A39"/>
  <c r="BF38"/>
  <c r="I38"/>
  <c r="G38"/>
  <c r="F38"/>
  <c r="B38"/>
  <c r="A38"/>
  <c r="BF37"/>
  <c r="I37"/>
  <c r="G37"/>
  <c r="F37"/>
  <c r="B37"/>
  <c r="A37"/>
  <c r="I36"/>
  <c r="G36"/>
  <c r="F36"/>
  <c r="B36"/>
  <c r="A36"/>
  <c r="BF35"/>
  <c r="I35"/>
  <c r="G35"/>
  <c r="F35"/>
  <c r="B35"/>
  <c r="A35"/>
  <c r="I34"/>
  <c r="G34"/>
  <c r="F34"/>
  <c r="B34"/>
  <c r="A34"/>
  <c r="I33"/>
  <c r="G33"/>
  <c r="F33"/>
  <c r="B33"/>
  <c r="A33"/>
  <c r="BF32"/>
  <c r="I32"/>
  <c r="G32"/>
  <c r="F32"/>
  <c r="B32"/>
  <c r="A32"/>
  <c r="I31"/>
  <c r="G31"/>
  <c r="F31"/>
  <c r="B31"/>
  <c r="A31"/>
  <c r="BF30"/>
  <c r="I30"/>
  <c r="G30"/>
  <c r="F30"/>
  <c r="B30"/>
  <c r="A30"/>
  <c r="BF29"/>
  <c r="I29"/>
  <c r="G29"/>
  <c r="F29"/>
  <c r="B29"/>
  <c r="A29"/>
  <c r="BF28"/>
  <c r="I28"/>
  <c r="G28"/>
  <c r="F28"/>
  <c r="B28"/>
  <c r="A28"/>
  <c r="I27"/>
  <c r="G27"/>
  <c r="F27"/>
  <c r="B27"/>
  <c r="A27"/>
  <c r="I26"/>
  <c r="G26"/>
  <c r="F26"/>
  <c r="B26"/>
  <c r="A26"/>
  <c r="I25"/>
  <c r="G25"/>
  <c r="F25"/>
  <c r="B25"/>
  <c r="A25"/>
  <c r="BF24"/>
  <c r="I24"/>
  <c r="G24"/>
  <c r="F24"/>
  <c r="B24"/>
  <c r="A24"/>
  <c r="I23"/>
  <c r="G23"/>
  <c r="F23"/>
  <c r="B23"/>
  <c r="A23"/>
  <c r="BF22"/>
  <c r="I22"/>
  <c r="G22"/>
  <c r="F22"/>
  <c r="B22"/>
  <c r="A22"/>
  <c r="I21"/>
  <c r="G21"/>
  <c r="F21"/>
  <c r="B21"/>
  <c r="A21"/>
  <c r="BF20"/>
  <c r="I20"/>
  <c r="G20"/>
  <c r="F20"/>
  <c r="B20"/>
  <c r="A20"/>
  <c r="BF19"/>
  <c r="I19"/>
  <c r="G19"/>
  <c r="F19"/>
  <c r="B19"/>
  <c r="A19"/>
  <c r="BF18"/>
  <c r="I18"/>
  <c r="G18"/>
  <c r="F18"/>
  <c r="B18"/>
  <c r="A18"/>
  <c r="I17"/>
  <c r="G17"/>
  <c r="F17"/>
  <c r="B17"/>
  <c r="A17"/>
  <c r="BF16"/>
  <c r="I16"/>
  <c r="G16"/>
  <c r="F16"/>
  <c r="B16"/>
  <c r="A16"/>
  <c r="BF15"/>
  <c r="I15"/>
  <c r="G15"/>
  <c r="F15"/>
  <c r="B15"/>
  <c r="A15"/>
  <c r="BF14"/>
  <c r="I14"/>
  <c r="G14"/>
  <c r="F14"/>
  <c r="B14"/>
  <c r="A14"/>
  <c r="BF13"/>
  <c r="I13"/>
  <c r="G13"/>
  <c r="F13"/>
  <c r="B13"/>
  <c r="A13"/>
  <c r="BF12"/>
  <c r="I12"/>
  <c r="G12"/>
  <c r="F12"/>
  <c r="B12"/>
  <c r="A12"/>
  <c r="I11"/>
  <c r="G11"/>
  <c r="F11"/>
  <c r="B11"/>
  <c r="A11"/>
  <c r="BF10"/>
  <c r="I10"/>
  <c r="G10"/>
  <c r="F10"/>
  <c r="B10"/>
  <c r="A10"/>
  <c r="BF9"/>
  <c r="I9"/>
  <c r="G9"/>
  <c r="F9"/>
  <c r="B9"/>
  <c r="A9"/>
  <c r="BF8"/>
  <c r="I8"/>
  <c r="G8"/>
  <c r="F8"/>
  <c r="B8"/>
  <c r="A8"/>
  <c r="BF7"/>
  <c r="I7"/>
  <c r="G7"/>
  <c r="F7"/>
  <c r="B7"/>
  <c r="BF6"/>
  <c r="I6"/>
  <c r="G6"/>
  <c r="F6"/>
  <c r="B6"/>
  <c r="A6"/>
  <c r="BF5"/>
  <c r="I5"/>
  <c r="G5"/>
  <c r="F5"/>
  <c r="B5"/>
  <c r="A5"/>
  <c r="BF4"/>
  <c r="I4"/>
  <c r="G4"/>
  <c r="F4"/>
  <c r="B4"/>
  <c r="BF3"/>
  <c r="BB59"/>
  <c r="I3"/>
  <c r="G3"/>
  <c r="F3"/>
  <c r="B3"/>
  <c r="A3"/>
  <c r="C68" i="23"/>
  <c r="S59"/>
  <c r="R59"/>
  <c r="Q59"/>
  <c r="P59"/>
  <c r="O59"/>
  <c r="N59"/>
  <c r="M59"/>
  <c r="L59"/>
  <c r="K59"/>
  <c r="J59"/>
  <c r="I59"/>
  <c r="AA82" i="24" l="1"/>
  <c r="CA82" s="1"/>
  <c r="CA7"/>
  <c r="G7" i="5" s="1"/>
  <c r="CA11" i="24"/>
  <c r="G11" i="5" s="1"/>
  <c r="CA15" i="24"/>
  <c r="G15" i="5" s="1"/>
  <c r="CA19" i="24"/>
  <c r="G19" i="5" s="1"/>
  <c r="G23"/>
  <c r="G27"/>
  <c r="CA31" i="24"/>
  <c r="G31" i="5" s="1"/>
  <c r="CA35" i="24"/>
  <c r="G35" i="5" s="1"/>
  <c r="CA39" i="24"/>
  <c r="G39" i="5" s="1"/>
  <c r="CA43" i="24"/>
  <c r="G43" i="5" s="1"/>
  <c r="CA47" i="24"/>
  <c r="G47" i="5" s="1"/>
  <c r="CA51" i="24"/>
  <c r="G51" i="5" s="1"/>
  <c r="CA55" i="24"/>
  <c r="G55" i="5" s="1"/>
  <c r="BF59" i="24"/>
  <c r="CA3"/>
  <c r="G3" i="5" s="1"/>
  <c r="CA8" i="24"/>
  <c r="G8" i="5" s="1"/>
  <c r="CA16" i="24"/>
  <c r="G16" i="5" s="1"/>
  <c r="CA28" i="24"/>
  <c r="G28" i="5" s="1"/>
  <c r="CA32" i="24"/>
  <c r="G32" i="5" s="1"/>
  <c r="CA36" i="24"/>
  <c r="G36" i="5" s="1"/>
  <c r="CA44" i="24"/>
  <c r="G44" i="5" s="1"/>
  <c r="CA48" i="24"/>
  <c r="G48" i="5" s="1"/>
  <c r="CA52" i="24"/>
  <c r="G52" i="5" s="1"/>
  <c r="CA56" i="24"/>
  <c r="G56" i="5" s="1"/>
  <c r="CA4" i="24"/>
  <c r="G4" i="5" s="1"/>
  <c r="CA12" i="24"/>
  <c r="G12" i="5" s="1"/>
  <c r="CA20" i="24"/>
  <c r="G20" i="5" s="1"/>
  <c r="CA24" i="24"/>
  <c r="G24" i="5" s="1"/>
  <c r="CA40" i="24"/>
  <c r="G40" i="5" s="1"/>
  <c r="CA6" i="24"/>
  <c r="G6" i="5" s="1"/>
  <c r="CA10" i="24"/>
  <c r="G10" i="5" s="1"/>
  <c r="CA14" i="24"/>
  <c r="G14" i="5" s="1"/>
  <c r="CA18" i="24"/>
  <c r="G18" i="5" s="1"/>
  <c r="CA22" i="24"/>
  <c r="G22" i="5" s="1"/>
  <c r="G26"/>
  <c r="CA30" i="24"/>
  <c r="G30" i="5" s="1"/>
  <c r="CA34" i="24"/>
  <c r="G34" i="5" s="1"/>
  <c r="CA38" i="24"/>
  <c r="G38" i="5" s="1"/>
  <c r="CA42" i="24"/>
  <c r="G42" i="5" s="1"/>
  <c r="CA46" i="24"/>
  <c r="G46" i="5" s="1"/>
  <c r="CA50" i="24"/>
  <c r="G50" i="5" s="1"/>
  <c r="CA54" i="24"/>
  <c r="G54" i="5" s="1"/>
  <c r="CA9" i="24"/>
  <c r="G9" i="5" s="1"/>
  <c r="CA13" i="24"/>
  <c r="G13" i="5" s="1"/>
  <c r="CA17" i="24"/>
  <c r="G17" i="5" s="1"/>
  <c r="CA21" i="24"/>
  <c r="G25" i="5"/>
  <c r="CA29" i="24"/>
  <c r="G29" i="5" s="1"/>
  <c r="CA33" i="24"/>
  <c r="G33" i="5" s="1"/>
  <c r="CA37" i="24"/>
  <c r="G37" i="5" s="1"/>
  <c r="CA41" i="24"/>
  <c r="G41" i="5" s="1"/>
  <c r="CA45" i="24"/>
  <c r="G45" i="5" s="1"/>
  <c r="CA49" i="24"/>
  <c r="G49" i="5" s="1"/>
  <c r="CA53" i="24"/>
  <c r="G53" i="5" s="1"/>
  <c r="J59" i="24"/>
  <c r="BR59"/>
  <c r="AV59"/>
  <c r="AF59"/>
  <c r="G59"/>
  <c r="F59" s="1"/>
  <c r="I59"/>
  <c r="AA83" l="1"/>
  <c r="B56" i="23"/>
  <c r="A56"/>
  <c r="B55"/>
  <c r="A55"/>
  <c r="B54"/>
  <c r="A54"/>
  <c r="B53"/>
  <c r="A53"/>
  <c r="B52"/>
  <c r="A52"/>
  <c r="B51"/>
  <c r="A51"/>
  <c r="B50"/>
  <c r="A50"/>
  <c r="B49"/>
  <c r="A49"/>
  <c r="B48"/>
  <c r="A48"/>
  <c r="B47"/>
  <c r="A47"/>
  <c r="B46"/>
  <c r="A46"/>
  <c r="B45"/>
  <c r="A45"/>
  <c r="B44"/>
  <c r="A44"/>
  <c r="B43"/>
  <c r="A43"/>
  <c r="B42"/>
  <c r="A42"/>
  <c r="B41"/>
  <c r="A41"/>
  <c r="B40"/>
  <c r="A40"/>
  <c r="B39"/>
  <c r="A39"/>
  <c r="B38"/>
  <c r="A38"/>
  <c r="B37"/>
  <c r="A37"/>
  <c r="B36"/>
  <c r="A36"/>
  <c r="B35"/>
  <c r="A35"/>
  <c r="B34"/>
  <c r="A34"/>
  <c r="B33"/>
  <c r="A33"/>
  <c r="B32"/>
  <c r="A32"/>
  <c r="B31"/>
  <c r="A31"/>
  <c r="B30"/>
  <c r="A30"/>
  <c r="B29"/>
  <c r="A29"/>
  <c r="B28"/>
  <c r="A28"/>
  <c r="B27"/>
  <c r="A27"/>
  <c r="B26"/>
  <c r="A26"/>
  <c r="B25"/>
  <c r="A25"/>
  <c r="B24"/>
  <c r="A24"/>
  <c r="B23"/>
  <c r="A23"/>
  <c r="B22"/>
  <c r="A22"/>
  <c r="B21"/>
  <c r="A21"/>
  <c r="B20"/>
  <c r="A20"/>
  <c r="B19"/>
  <c r="A19"/>
  <c r="B18"/>
  <c r="A18"/>
  <c r="B17"/>
  <c r="A17"/>
  <c r="B16"/>
  <c r="A16"/>
  <c r="B15"/>
  <c r="A15"/>
  <c r="B14"/>
  <c r="A14"/>
  <c r="B13"/>
  <c r="A13"/>
  <c r="B12"/>
  <c r="A12"/>
  <c r="B11"/>
  <c r="A11"/>
  <c r="B10"/>
  <c r="A10"/>
  <c r="B9" l="1"/>
  <c r="A9"/>
  <c r="B8"/>
  <c r="A8"/>
  <c r="B7"/>
  <c r="B6"/>
  <c r="A6"/>
  <c r="B5"/>
  <c r="A5"/>
  <c r="B4"/>
  <c r="B3"/>
  <c r="A3"/>
  <c r="L59" i="15"/>
  <c r="C56"/>
  <c r="B56"/>
  <c r="A56"/>
  <c r="C55"/>
  <c r="B55"/>
  <c r="A55"/>
  <c r="C54"/>
  <c r="B54"/>
  <c r="A54"/>
  <c r="C53"/>
  <c r="B53"/>
  <c r="A53"/>
  <c r="C52"/>
  <c r="B52"/>
  <c r="A52"/>
  <c r="C51"/>
  <c r="B51"/>
  <c r="A51"/>
  <c r="C50"/>
  <c r="B50"/>
  <c r="A50"/>
  <c r="C49"/>
  <c r="B49"/>
  <c r="A49"/>
  <c r="C48"/>
  <c r="B48"/>
  <c r="A48"/>
  <c r="C47"/>
  <c r="B47"/>
  <c r="A47"/>
  <c r="C46"/>
  <c r="B46"/>
  <c r="A46"/>
  <c r="C45"/>
  <c r="B45"/>
  <c r="A45"/>
  <c r="C44"/>
  <c r="B44"/>
  <c r="A44"/>
  <c r="C43"/>
  <c r="B43"/>
  <c r="A43"/>
  <c r="C42"/>
  <c r="B42"/>
  <c r="A42"/>
  <c r="C41"/>
  <c r="B41"/>
  <c r="A41"/>
  <c r="C40"/>
  <c r="B40"/>
  <c r="A40"/>
  <c r="C39"/>
  <c r="B39"/>
  <c r="A39"/>
  <c r="C38"/>
  <c r="B38"/>
  <c r="A38"/>
  <c r="C37"/>
  <c r="B37"/>
  <c r="A37"/>
  <c r="C36"/>
  <c r="B36"/>
  <c r="A36"/>
  <c r="C35"/>
  <c r="B35"/>
  <c r="A35"/>
  <c r="C34"/>
  <c r="B34"/>
  <c r="A34"/>
  <c r="C33"/>
  <c r="B33"/>
  <c r="A33"/>
  <c r="C32"/>
  <c r="B32"/>
  <c r="A32"/>
  <c r="C31"/>
  <c r="B31"/>
  <c r="A31"/>
  <c r="C30"/>
  <c r="B30"/>
  <c r="A30"/>
  <c r="C29"/>
  <c r="B29"/>
  <c r="A29"/>
  <c r="C28"/>
  <c r="B28"/>
  <c r="A28"/>
  <c r="C27"/>
  <c r="B27"/>
  <c r="A27"/>
  <c r="C26"/>
  <c r="B26"/>
  <c r="A26"/>
  <c r="C25"/>
  <c r="B25"/>
  <c r="A25"/>
  <c r="C24"/>
  <c r="B24"/>
  <c r="A24"/>
  <c r="C23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 l="1"/>
  <c r="A13"/>
  <c r="C12"/>
  <c r="B12"/>
  <c r="A12"/>
  <c r="C11"/>
  <c r="B11"/>
  <c r="A11"/>
  <c r="C10"/>
  <c r="B10"/>
  <c r="A10"/>
  <c r="C9"/>
  <c r="B9"/>
  <c r="A9"/>
  <c r="C8"/>
  <c r="B8"/>
  <c r="A8"/>
  <c r="C7"/>
  <c r="B7"/>
  <c r="C6"/>
  <c r="B6"/>
  <c r="A6"/>
  <c r="C5"/>
  <c r="B5"/>
  <c r="A5"/>
  <c r="C4"/>
  <c r="B4"/>
  <c r="C3"/>
  <c r="B3"/>
  <c r="A3"/>
  <c r="C65" i="17"/>
  <c r="D59"/>
  <c r="B56"/>
  <c r="A56"/>
  <c r="B55"/>
  <c r="A55"/>
  <c r="B54"/>
  <c r="A54"/>
  <c r="B53"/>
  <c r="A53"/>
  <c r="B52"/>
  <c r="A52"/>
  <c r="B51"/>
  <c r="A51"/>
  <c r="B50"/>
  <c r="A50"/>
  <c r="B49"/>
  <c r="A49"/>
  <c r="B48"/>
  <c r="A48"/>
  <c r="B47"/>
  <c r="A47"/>
  <c r="B46"/>
  <c r="A46"/>
  <c r="B45"/>
  <c r="A45"/>
  <c r="B44"/>
  <c r="A44"/>
  <c r="B43"/>
  <c r="A43"/>
  <c r="B42"/>
  <c r="A42"/>
  <c r="B41"/>
  <c r="A41"/>
  <c r="B40"/>
  <c r="A40"/>
  <c r="B39"/>
  <c r="A39"/>
  <c r="B38"/>
  <c r="A38"/>
  <c r="B37"/>
  <c r="A37"/>
  <c r="B36"/>
  <c r="A36"/>
  <c r="B35"/>
  <c r="A35"/>
  <c r="B34"/>
  <c r="A34"/>
  <c r="B33"/>
  <c r="A33"/>
  <c r="B32"/>
  <c r="A32"/>
  <c r="B31"/>
  <c r="A31"/>
  <c r="B30"/>
  <c r="A30"/>
  <c r="B29"/>
  <c r="A29"/>
  <c r="B28"/>
  <c r="A28"/>
  <c r="B27" l="1"/>
  <c r="A27"/>
  <c r="B26"/>
  <c r="A26"/>
  <c r="B25"/>
  <c r="A25"/>
  <c r="B24"/>
  <c r="A24"/>
  <c r="B23"/>
  <c r="A23"/>
  <c r="B22"/>
  <c r="A22"/>
  <c r="B21"/>
  <c r="A21"/>
  <c r="B20"/>
  <c r="A20"/>
  <c r="B19"/>
  <c r="A19"/>
  <c r="B18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B3"/>
  <c r="A3"/>
  <c r="A59" i="27" l="1"/>
  <c r="D56"/>
  <c r="C56"/>
  <c r="B56"/>
  <c r="A56"/>
  <c r="D55"/>
  <c r="C55"/>
  <c r="B55"/>
  <c r="D54"/>
  <c r="C54"/>
  <c r="B54"/>
  <c r="A54"/>
  <c r="D53"/>
  <c r="C53"/>
  <c r="B53"/>
  <c r="D52"/>
  <c r="C52"/>
  <c r="B52"/>
  <c r="D51"/>
  <c r="C51"/>
  <c r="B51"/>
  <c r="A51"/>
  <c r="D50"/>
  <c r="C50"/>
  <c r="B50"/>
  <c r="A50"/>
  <c r="D49"/>
  <c r="C49"/>
  <c r="B49"/>
  <c r="D48"/>
  <c r="C48"/>
  <c r="B48"/>
  <c r="D47"/>
  <c r="C47"/>
  <c r="B47"/>
  <c r="A47"/>
  <c r="D46"/>
  <c r="C46"/>
  <c r="B46"/>
  <c r="D45"/>
  <c r="C45"/>
  <c r="B45"/>
  <c r="D44"/>
  <c r="C44"/>
  <c r="B44"/>
  <c r="A44"/>
  <c r="D43"/>
  <c r="C43"/>
  <c r="B43"/>
  <c r="D42"/>
  <c r="C42"/>
  <c r="B42"/>
  <c r="A42"/>
  <c r="D41"/>
  <c r="C41"/>
  <c r="B41"/>
  <c r="D40"/>
  <c r="C40"/>
  <c r="B40"/>
  <c r="D39"/>
  <c r="C39"/>
  <c r="B39"/>
  <c r="A39"/>
  <c r="D38"/>
  <c r="C38"/>
  <c r="B38"/>
  <c r="A38"/>
  <c r="D37"/>
  <c r="C37"/>
  <c r="B37"/>
  <c r="A37"/>
  <c r="D36"/>
  <c r="C36"/>
  <c r="B36"/>
  <c r="D35"/>
  <c r="C35"/>
  <c r="B35"/>
  <c r="A35"/>
  <c r="D34"/>
  <c r="C34"/>
  <c r="B34"/>
  <c r="D33"/>
  <c r="C33"/>
  <c r="B33"/>
  <c r="D32"/>
  <c r="C32"/>
  <c r="B32"/>
  <c r="A32"/>
  <c r="D31"/>
  <c r="C31"/>
  <c r="B31"/>
  <c r="D30"/>
  <c r="C30"/>
  <c r="B30"/>
  <c r="A30"/>
  <c r="D29"/>
  <c r="C29"/>
  <c r="B29"/>
  <c r="A29"/>
  <c r="D28"/>
  <c r="C28"/>
  <c r="B28"/>
  <c r="D27"/>
  <c r="C27"/>
  <c r="B27"/>
  <c r="A27"/>
  <c r="D26"/>
  <c r="C26"/>
  <c r="B26"/>
  <c r="D25"/>
  <c r="C25"/>
  <c r="B25"/>
  <c r="D24"/>
  <c r="C24"/>
  <c r="B24"/>
  <c r="A24"/>
  <c r="D23"/>
  <c r="C23"/>
  <c r="D22"/>
  <c r="C22"/>
  <c r="B22"/>
  <c r="A22"/>
  <c r="D21"/>
  <c r="C21"/>
  <c r="B21"/>
  <c r="A21"/>
  <c r="D20"/>
  <c r="C20"/>
  <c r="B20"/>
  <c r="A20"/>
  <c r="D19"/>
  <c r="C19"/>
  <c r="B19"/>
  <c r="A19"/>
  <c r="D18"/>
  <c r="C18"/>
  <c r="A18"/>
  <c r="D17"/>
  <c r="C17"/>
  <c r="A17"/>
  <c r="D16"/>
  <c r="C16"/>
  <c r="B16"/>
  <c r="A16"/>
  <c r="D15"/>
  <c r="C15"/>
  <c r="B15"/>
  <c r="A15"/>
  <c r="D14"/>
  <c r="C14"/>
  <c r="B14"/>
  <c r="A14"/>
  <c r="D13"/>
  <c r="C13"/>
  <c r="B13"/>
  <c r="A13"/>
  <c r="D12"/>
  <c r="C12"/>
  <c r="B12"/>
  <c r="A12"/>
  <c r="D11"/>
  <c r="C11"/>
  <c r="B11"/>
  <c r="A11"/>
  <c r="D10"/>
  <c r="C10"/>
  <c r="B10"/>
  <c r="A10"/>
  <c r="D9"/>
  <c r="C9"/>
  <c r="B9"/>
  <c r="A9"/>
  <c r="D8"/>
  <c r="C8"/>
  <c r="B8"/>
  <c r="A8"/>
  <c r="D7"/>
  <c r="C7"/>
  <c r="D6"/>
  <c r="C6"/>
  <c r="B6"/>
  <c r="A6"/>
  <c r="D5"/>
  <c r="C5"/>
  <c r="B5"/>
  <c r="A5"/>
  <c r="D4"/>
  <c r="C4"/>
  <c r="D3"/>
  <c r="C3"/>
  <c r="B3"/>
  <c r="A3"/>
  <c r="AH59" i="26"/>
  <c r="A59"/>
  <c r="AF56" l="1"/>
  <c r="C56"/>
  <c r="M56" s="1"/>
  <c r="B56"/>
  <c r="A56"/>
  <c r="AF55"/>
  <c r="C55"/>
  <c r="B55"/>
  <c r="AF54"/>
  <c r="C54"/>
  <c r="B54"/>
  <c r="A54"/>
  <c r="AF53"/>
  <c r="C53"/>
  <c r="M53" s="1"/>
  <c r="B53"/>
  <c r="AF52"/>
  <c r="C52"/>
  <c r="B52"/>
  <c r="AF51"/>
  <c r="C51"/>
  <c r="B51"/>
  <c r="A51"/>
  <c r="AF50"/>
  <c r="C50"/>
  <c r="V50" s="1"/>
  <c r="B50"/>
  <c r="A50"/>
  <c r="AF49"/>
  <c r="C49"/>
  <c r="B49"/>
  <c r="AF48"/>
  <c r="C48"/>
  <c r="E48" i="27" s="1"/>
  <c r="B48" i="26"/>
  <c r="AF47"/>
  <c r="C47"/>
  <c r="V47" s="1"/>
  <c r="G47" i="27" s="1"/>
  <c r="B47" i="26"/>
  <c r="A47"/>
  <c r="AF46"/>
  <c r="C46"/>
  <c r="B46"/>
  <c r="AF45"/>
  <c r="C45"/>
  <c r="M45" s="1"/>
  <c r="B45"/>
  <c r="AF44"/>
  <c r="C44"/>
  <c r="B44"/>
  <c r="A44"/>
  <c r="AF43"/>
  <c r="C43"/>
  <c r="V43" s="1"/>
  <c r="G43" i="27" s="1"/>
  <c r="B43" i="26"/>
  <c r="AF42"/>
  <c r="C42"/>
  <c r="M42" s="1"/>
  <c r="B42"/>
  <c r="A42"/>
  <c r="AF41"/>
  <c r="C41"/>
  <c r="B41"/>
  <c r="AF40"/>
  <c r="C40"/>
  <c r="M40" s="1"/>
  <c r="B40"/>
  <c r="AF39"/>
  <c r="C39"/>
  <c r="M39" s="1"/>
  <c r="B39"/>
  <c r="A39"/>
  <c r="AF38"/>
  <c r="C38"/>
  <c r="B38"/>
  <c r="A38"/>
  <c r="AF37"/>
  <c r="C37"/>
  <c r="M37" s="1"/>
  <c r="B37"/>
  <c r="A37"/>
  <c r="AF36"/>
  <c r="C36"/>
  <c r="B36"/>
  <c r="AF35"/>
  <c r="C35"/>
  <c r="B35"/>
  <c r="A35"/>
  <c r="AF34"/>
  <c r="C34"/>
  <c r="M34" s="1"/>
  <c r="B34"/>
  <c r="AF33"/>
  <c r="C33"/>
  <c r="B33"/>
  <c r="AF32"/>
  <c r="C32"/>
  <c r="M32" s="1"/>
  <c r="B32"/>
  <c r="A32"/>
  <c r="AF31"/>
  <c r="C31"/>
  <c r="M31" s="1"/>
  <c r="B31"/>
  <c r="AF30"/>
  <c r="C30"/>
  <c r="B30"/>
  <c r="A30"/>
  <c r="AF29"/>
  <c r="C29"/>
  <c r="M29" s="1"/>
  <c r="B29"/>
  <c r="A29"/>
  <c r="AF28"/>
  <c r="C28"/>
  <c r="D28" s="1"/>
  <c r="B28"/>
  <c r="AF27"/>
  <c r="C27"/>
  <c r="G27" i="27" s="1"/>
  <c r="B27" i="26"/>
  <c r="A27"/>
  <c r="AF26"/>
  <c r="C26"/>
  <c r="M26" s="1"/>
  <c r="B26"/>
  <c r="AF25"/>
  <c r="C25"/>
  <c r="B25"/>
  <c r="AF24"/>
  <c r="C24"/>
  <c r="M24" s="1"/>
  <c r="B24"/>
  <c r="A24"/>
  <c r="AF23"/>
  <c r="C23"/>
  <c r="M23" s="1"/>
  <c r="B23"/>
  <c r="AF22"/>
  <c r="C22"/>
  <c r="B22"/>
  <c r="A22"/>
  <c r="AF21"/>
  <c r="C21"/>
  <c r="M21" s="1"/>
  <c r="B21"/>
  <c r="A21"/>
  <c r="AF20"/>
  <c r="C20"/>
  <c r="B20"/>
  <c r="A20"/>
  <c r="AF19"/>
  <c r="C19"/>
  <c r="B19"/>
  <c r="A19"/>
  <c r="AF18"/>
  <c r="C18"/>
  <c r="V18" s="1"/>
  <c r="B18"/>
  <c r="AF17"/>
  <c r="C17"/>
  <c r="B17"/>
  <c r="AF16"/>
  <c r="C16"/>
  <c r="E16" i="27" s="1"/>
  <c r="B16" i="26"/>
  <c r="A16"/>
  <c r="AF15"/>
  <c r="C15"/>
  <c r="G15" i="27" s="1"/>
  <c r="B15" i="26"/>
  <c r="A15"/>
  <c r="AF14"/>
  <c r="C14"/>
  <c r="B14"/>
  <c r="A14"/>
  <c r="AF13"/>
  <c r="C13"/>
  <c r="B13"/>
  <c r="A13"/>
  <c r="AF12"/>
  <c r="C12"/>
  <c r="B12"/>
  <c r="A12"/>
  <c r="AF11"/>
  <c r="C11"/>
  <c r="G11" i="27" s="1"/>
  <c r="B11" i="26"/>
  <c r="A11"/>
  <c r="AF10"/>
  <c r="C10"/>
  <c r="M10" s="1"/>
  <c r="B10"/>
  <c r="A10"/>
  <c r="AF9"/>
  <c r="C9"/>
  <c r="B9"/>
  <c r="A9"/>
  <c r="AF8"/>
  <c r="C8"/>
  <c r="M8" s="1"/>
  <c r="B8"/>
  <c r="A8"/>
  <c r="AF7"/>
  <c r="C7"/>
  <c r="M7" s="1"/>
  <c r="B7"/>
  <c r="AF6"/>
  <c r="C6"/>
  <c r="B6"/>
  <c r="A6"/>
  <c r="AF5"/>
  <c r="C5"/>
  <c r="M5" s="1"/>
  <c r="B5"/>
  <c r="A5"/>
  <c r="V55" l="1"/>
  <c r="M55"/>
  <c r="F55" i="27" s="1"/>
  <c r="G6"/>
  <c r="E10"/>
  <c r="V38" i="26"/>
  <c r="G38" i="27" s="1"/>
  <c r="E26"/>
  <c r="E42"/>
  <c r="M17" i="26"/>
  <c r="E32" i="27"/>
  <c r="M49" i="26"/>
  <c r="D29"/>
  <c r="F15" i="27"/>
  <c r="M47" i="26"/>
  <c r="F47" i="27" s="1"/>
  <c r="E15"/>
  <c r="E24"/>
  <c r="E47"/>
  <c r="D56" i="26"/>
  <c r="E56" i="27" s="1"/>
  <c r="V7" i="26"/>
  <c r="G7" i="27" s="1"/>
  <c r="M16" i="26"/>
  <c r="M22"/>
  <c r="E34" i="27"/>
  <c r="V39" i="26"/>
  <c r="G39" i="27" s="1"/>
  <c r="M48" i="26"/>
  <c r="E7" i="27"/>
  <c r="F11"/>
  <c r="F27"/>
  <c r="E39"/>
  <c r="M43" i="26"/>
  <c r="F43" i="27" s="1"/>
  <c r="V31" i="26"/>
  <c r="G31" i="27" s="1"/>
  <c r="F31" s="1"/>
  <c r="E8"/>
  <c r="M18" i="26"/>
  <c r="E18" i="27" s="1"/>
  <c r="E23"/>
  <c r="E31"/>
  <c r="E40"/>
  <c r="M44" i="26"/>
  <c r="M50"/>
  <c r="E50" i="27" s="1"/>
  <c r="E55"/>
  <c r="V23" i="26"/>
  <c r="G23" i="27" s="1"/>
  <c r="G55"/>
  <c r="E6"/>
  <c r="E20"/>
  <c r="E52"/>
  <c r="E12"/>
  <c r="G18"/>
  <c r="E30"/>
  <c r="E44"/>
  <c r="G50"/>
  <c r="E19"/>
  <c r="E38"/>
  <c r="E51"/>
  <c r="E22"/>
  <c r="E35"/>
  <c r="E36"/>
  <c r="E54"/>
  <c r="E14"/>
  <c r="E28"/>
  <c r="E46"/>
  <c r="V19" i="26"/>
  <c r="G19" i="27" s="1"/>
  <c r="V35" i="26"/>
  <c r="G35" i="27" s="1"/>
  <c r="V51" i="26"/>
  <c r="G51" i="27" s="1"/>
  <c r="F23"/>
  <c r="F39"/>
  <c r="G14"/>
  <c r="F14" s="1"/>
  <c r="M19" i="26"/>
  <c r="M20"/>
  <c r="M25"/>
  <c r="G30" i="27"/>
  <c r="F30" s="1"/>
  <c r="M35" i="26"/>
  <c r="M36"/>
  <c r="M41"/>
  <c r="M46"/>
  <c r="M51"/>
  <c r="M52"/>
  <c r="M38"/>
  <c r="F7" i="27"/>
  <c r="M9" i="26"/>
  <c r="AF4"/>
  <c r="C4"/>
  <c r="B4"/>
  <c r="C3"/>
  <c r="M3" s="1"/>
  <c r="B3"/>
  <c r="A3"/>
  <c r="R59" i="20"/>
  <c r="O59"/>
  <c r="O67" s="1"/>
  <c r="N59"/>
  <c r="N67" s="1"/>
  <c r="M59"/>
  <c r="M67" s="1"/>
  <c r="L59"/>
  <c r="L67" s="1"/>
  <c r="K59"/>
  <c r="K67" s="1"/>
  <c r="J59"/>
  <c r="J67" s="1"/>
  <c r="I59"/>
  <c r="I67" s="1"/>
  <c r="E59"/>
  <c r="E67" s="1"/>
  <c r="H56" i="24"/>
  <c r="D56" i="20"/>
  <c r="C56"/>
  <c r="B56"/>
  <c r="A56"/>
  <c r="H55" i="24"/>
  <c r="D55" i="20"/>
  <c r="C55"/>
  <c r="B55"/>
  <c r="A55"/>
  <c r="H54" i="24"/>
  <c r="D54" i="20"/>
  <c r="C54"/>
  <c r="B54"/>
  <c r="A54"/>
  <c r="H53" i="24"/>
  <c r="D53" i="20"/>
  <c r="C53"/>
  <c r="B53"/>
  <c r="A53"/>
  <c r="H52" i="24"/>
  <c r="D52" i="20"/>
  <c r="C52"/>
  <c r="B52"/>
  <c r="A52"/>
  <c r="H51" i="24"/>
  <c r="D51" i="20"/>
  <c r="C51"/>
  <c r="B51"/>
  <c r="A51"/>
  <c r="H50" i="24"/>
  <c r="D50" i="20"/>
  <c r="C50"/>
  <c r="B50"/>
  <c r="A50"/>
  <c r="H49" i="24"/>
  <c r="D49" i="20"/>
  <c r="C49"/>
  <c r="B49"/>
  <c r="A49"/>
  <c r="H48" i="24"/>
  <c r="D48" i="20"/>
  <c r="C48"/>
  <c r="B48"/>
  <c r="A48"/>
  <c r="H47" i="24"/>
  <c r="D47" i="20"/>
  <c r="C47"/>
  <c r="B47"/>
  <c r="A47"/>
  <c r="H46" i="24"/>
  <c r="D46" i="20"/>
  <c r="C46"/>
  <c r="B46"/>
  <c r="A46"/>
  <c r="H45" i="24"/>
  <c r="D45" i="20"/>
  <c r="C45"/>
  <c r="B45"/>
  <c r="A45"/>
  <c r="H44" i="24"/>
  <c r="D44" i="20"/>
  <c r="C44"/>
  <c r="B44"/>
  <c r="A44"/>
  <c r="H43" i="24"/>
  <c r="D43" i="20"/>
  <c r="C43"/>
  <c r="B43"/>
  <c r="A43"/>
  <c r="H42" i="24"/>
  <c r="D42" i="20"/>
  <c r="C42"/>
  <c r="B42"/>
  <c r="A42"/>
  <c r="H41" i="24"/>
  <c r="D41" i="20"/>
  <c r="C41"/>
  <c r="B41"/>
  <c r="A41"/>
  <c r="H40" i="24"/>
  <c r="D40" i="20"/>
  <c r="C40"/>
  <c r="B40"/>
  <c r="A40"/>
  <c r="H39" i="24"/>
  <c r="D39" i="20"/>
  <c r="C39"/>
  <c r="B39"/>
  <c r="A39"/>
  <c r="H38" i="24"/>
  <c r="D38" i="20"/>
  <c r="C38"/>
  <c r="B38"/>
  <c r="A38"/>
  <c r="H37" i="24"/>
  <c r="D37" i="20"/>
  <c r="C37"/>
  <c r="B37"/>
  <c r="A37"/>
  <c r="H36" i="24"/>
  <c r="D36" i="20"/>
  <c r="C36"/>
  <c r="B36"/>
  <c r="A36"/>
  <c r="H35" i="24"/>
  <c r="D35" i="20"/>
  <c r="C35"/>
  <c r="B35"/>
  <c r="A35"/>
  <c r="H34" i="24"/>
  <c r="D34" i="20"/>
  <c r="C34"/>
  <c r="B34"/>
  <c r="A34"/>
  <c r="H33" i="24"/>
  <c r="D33" i="20"/>
  <c r="C33"/>
  <c r="B33"/>
  <c r="A33"/>
  <c r="H32" i="24"/>
  <c r="D32" i="20"/>
  <c r="C32"/>
  <c r="B32"/>
  <c r="A32"/>
  <c r="H31" i="24"/>
  <c r="D31" i="20"/>
  <c r="C31"/>
  <c r="B31"/>
  <c r="A31"/>
  <c r="H30" i="24"/>
  <c r="D30" i="20"/>
  <c r="C30"/>
  <c r="B30"/>
  <c r="A30"/>
  <c r="H29" i="24"/>
  <c r="D29" i="20"/>
  <c r="C29"/>
  <c r="B29"/>
  <c r="A29"/>
  <c r="H28" i="24"/>
  <c r="D28" i="20"/>
  <c r="C28"/>
  <c r="B28"/>
  <c r="A28"/>
  <c r="H27" i="24"/>
  <c r="D27" i="20"/>
  <c r="C27"/>
  <c r="B27"/>
  <c r="A27"/>
  <c r="H26" i="24"/>
  <c r="D26" i="20"/>
  <c r="C26"/>
  <c r="B26"/>
  <c r="A26"/>
  <c r="H25" i="24"/>
  <c r="D25" i="20"/>
  <c r="C25"/>
  <c r="B25"/>
  <c r="A25"/>
  <c r="H24" i="24"/>
  <c r="D24" i="20"/>
  <c r="C24"/>
  <c r="B24"/>
  <c r="A24"/>
  <c r="H23" i="24"/>
  <c r="D23" i="20"/>
  <c r="C23"/>
  <c r="B23"/>
  <c r="A23"/>
  <c r="H22" i="24"/>
  <c r="D22" i="20"/>
  <c r="C22"/>
  <c r="B22"/>
  <c r="A22"/>
  <c r="H21" i="24"/>
  <c r="D21" i="20"/>
  <c r="C21"/>
  <c r="B21"/>
  <c r="A21"/>
  <c r="H20" i="24"/>
  <c r="D20" i="20"/>
  <c r="C20"/>
  <c r="B20"/>
  <c r="A20"/>
  <c r="H19" i="24"/>
  <c r="D19" i="20"/>
  <c r="C19"/>
  <c r="B19"/>
  <c r="A19"/>
  <c r="H18" i="24"/>
  <c r="D18" i="20"/>
  <c r="C18"/>
  <c r="B18"/>
  <c r="A18"/>
  <c r="H17" i="24"/>
  <c r="D17" i="20"/>
  <c r="C17"/>
  <c r="B17"/>
  <c r="A17"/>
  <c r="H16" i="24"/>
  <c r="D16" i="20"/>
  <c r="C16"/>
  <c r="B16"/>
  <c r="A16"/>
  <c r="H15" i="24"/>
  <c r="D15" i="20"/>
  <c r="C15"/>
  <c r="B15"/>
  <c r="A15"/>
  <c r="H14" i="24"/>
  <c r="D14" i="20"/>
  <c r="C14"/>
  <c r="B14"/>
  <c r="A14"/>
  <c r="H13" i="24"/>
  <c r="D13" i="20"/>
  <c r="C13"/>
  <c r="B13"/>
  <c r="A13"/>
  <c r="H12" i="24"/>
  <c r="D12" i="20"/>
  <c r="C12"/>
  <c r="B12"/>
  <c r="A12"/>
  <c r="H11" i="24"/>
  <c r="D11" i="20"/>
  <c r="C11"/>
  <c r="B11"/>
  <c r="A11"/>
  <c r="H10" i="24"/>
  <c r="D10" i="20"/>
  <c r="C10"/>
  <c r="B10"/>
  <c r="A10"/>
  <c r="H9" i="24"/>
  <c r="D9" i="20"/>
  <c r="C9"/>
  <c r="B9"/>
  <c r="A9"/>
  <c r="H8" i="24"/>
  <c r="D8" i="20"/>
  <c r="C8"/>
  <c r="B8"/>
  <c r="A8"/>
  <c r="H7" i="24"/>
  <c r="D7" i="20"/>
  <c r="C7"/>
  <c r="B7"/>
  <c r="A7"/>
  <c r="H6" i="24"/>
  <c r="D6" i="20"/>
  <c r="C6"/>
  <c r="B6"/>
  <c r="A6"/>
  <c r="H5" i="24"/>
  <c r="D5" i="20"/>
  <c r="C5"/>
  <c r="B5"/>
  <c r="A5"/>
  <c r="H4" i="24"/>
  <c r="D4" i="20"/>
  <c r="C4"/>
  <c r="B4"/>
  <c r="A4"/>
  <c r="H3" i="24"/>
  <c r="D3" i="20"/>
  <c r="C3"/>
  <c r="B3"/>
  <c r="A3"/>
  <c r="BK59" i="4"/>
  <c r="BJ59"/>
  <c r="BI59"/>
  <c r="BH59"/>
  <c r="BG59"/>
  <c r="BF59"/>
  <c r="BE59"/>
  <c r="BD59"/>
  <c r="BC59"/>
  <c r="BB59"/>
  <c r="BA59"/>
  <c r="AZ59"/>
  <c r="AY59"/>
  <c r="AX59"/>
  <c r="AW59"/>
  <c r="AV59"/>
  <c r="AU59"/>
  <c r="AT59"/>
  <c r="AS59"/>
  <c r="AR59"/>
  <c r="AP59"/>
  <c r="AO59"/>
  <c r="AN59"/>
  <c r="AL59"/>
  <c r="AK59"/>
  <c r="AJ59"/>
  <c r="AI59"/>
  <c r="AH59"/>
  <c r="AG59"/>
  <c r="AF59"/>
  <c r="AE59"/>
  <c r="AD59"/>
  <c r="AC59"/>
  <c r="AB59"/>
  <c r="AA59"/>
  <c r="Y59"/>
  <c r="W59"/>
  <c r="T59"/>
  <c r="S59"/>
  <c r="R59"/>
  <c r="O59"/>
  <c r="O70" s="1"/>
  <c r="N59"/>
  <c r="N70" s="1"/>
  <c r="M59"/>
  <c r="M70" s="1"/>
  <c r="H59"/>
  <c r="H70" s="1"/>
  <c r="G59"/>
  <c r="G70" s="1"/>
  <c r="F59"/>
  <c r="E59"/>
  <c r="E56" i="24"/>
  <c r="D56" i="4"/>
  <c r="C56"/>
  <c r="B56"/>
  <c r="A56"/>
  <c r="E55" i="24"/>
  <c r="D55" i="4"/>
  <c r="C55"/>
  <c r="B55"/>
  <c r="A55"/>
  <c r="E54" i="24"/>
  <c r="D54" i="4"/>
  <c r="C54"/>
  <c r="B54"/>
  <c r="A54"/>
  <c r="E53" i="24"/>
  <c r="D53" i="4"/>
  <c r="C53"/>
  <c r="B53"/>
  <c r="A53"/>
  <c r="E52" i="24"/>
  <c r="D52" i="4"/>
  <c r="C52"/>
  <c r="B52"/>
  <c r="A52"/>
  <c r="E51" i="24"/>
  <c r="D51" i="4"/>
  <c r="C51"/>
  <c r="B51"/>
  <c r="A51"/>
  <c r="E50" i="24"/>
  <c r="D50" i="4"/>
  <c r="C50"/>
  <c r="B50"/>
  <c r="A50"/>
  <c r="E49" i="24"/>
  <c r="D49" i="4"/>
  <c r="C49"/>
  <c r="B49"/>
  <c r="A49"/>
  <c r="E48" i="24"/>
  <c r="D48" i="4"/>
  <c r="C48"/>
  <c r="B48"/>
  <c r="A48"/>
  <c r="E47" i="24"/>
  <c r="D47" i="4"/>
  <c r="C47"/>
  <c r="B47"/>
  <c r="A47"/>
  <c r="E46" i="24"/>
  <c r="D46" i="4"/>
  <c r="C46"/>
  <c r="B46"/>
  <c r="A46"/>
  <c r="E45" i="24"/>
  <c r="D45" i="4"/>
  <c r="C45"/>
  <c r="B45"/>
  <c r="A45"/>
  <c r="E44" i="24"/>
  <c r="D44" i="4"/>
  <c r="C44"/>
  <c r="B44"/>
  <c r="A44"/>
  <c r="E43" i="24"/>
  <c r="D43" i="4"/>
  <c r="C43"/>
  <c r="B43"/>
  <c r="A43"/>
  <c r="E42" i="24"/>
  <c r="D42" i="4"/>
  <c r="C42"/>
  <c r="B42"/>
  <c r="A42"/>
  <c r="E41" i="24"/>
  <c r="D41" i="4"/>
  <c r="C41"/>
  <c r="B41"/>
  <c r="A41"/>
  <c r="E40" i="24"/>
  <c r="D40" i="4"/>
  <c r="C40"/>
  <c r="B40"/>
  <c r="A40"/>
  <c r="E39" i="24"/>
  <c r="D39" i="4"/>
  <c r="C39"/>
  <c r="B39"/>
  <c r="A39"/>
  <c r="E38" i="24"/>
  <c r="D38" i="4"/>
  <c r="C38"/>
  <c r="B38"/>
  <c r="A38"/>
  <c r="E37" i="24"/>
  <c r="D37" i="4"/>
  <c r="C37"/>
  <c r="B37"/>
  <c r="A37"/>
  <c r="E36" i="24"/>
  <c r="D36" i="4"/>
  <c r="C36"/>
  <c r="B36"/>
  <c r="A36"/>
  <c r="E35" i="24"/>
  <c r="D35" i="4"/>
  <c r="C35"/>
  <c r="B35"/>
  <c r="A35"/>
  <c r="E34" i="24"/>
  <c r="D34" i="4"/>
  <c r="C34"/>
  <c r="B34"/>
  <c r="A34"/>
  <c r="E33" i="24"/>
  <c r="D33" i="4"/>
  <c r="C33"/>
  <c r="B33"/>
  <c r="A33"/>
  <c r="E32" i="24"/>
  <c r="D32" i="4"/>
  <c r="C32"/>
  <c r="B32"/>
  <c r="A32"/>
  <c r="E31" i="24"/>
  <c r="D31" i="4"/>
  <c r="C31"/>
  <c r="B31"/>
  <c r="A31"/>
  <c r="E30" i="24"/>
  <c r="D30" i="4"/>
  <c r="C30"/>
  <c r="B30"/>
  <c r="A30"/>
  <c r="E29" i="24"/>
  <c r="D29" i="4"/>
  <c r="C29"/>
  <c r="B29"/>
  <c r="A29"/>
  <c r="E28" i="24"/>
  <c r="D28" i="4"/>
  <c r="C28"/>
  <c r="B28"/>
  <c r="A28"/>
  <c r="E27" i="24"/>
  <c r="D27" i="4"/>
  <c r="C27"/>
  <c r="B27"/>
  <c r="A27"/>
  <c r="E26" i="24"/>
  <c r="D26" i="4"/>
  <c r="C26"/>
  <c r="B26"/>
  <c r="A26"/>
  <c r="E25" i="24"/>
  <c r="D25" i="4"/>
  <c r="C25"/>
  <c r="B25"/>
  <c r="A25"/>
  <c r="E24" i="24"/>
  <c r="D24" i="4"/>
  <c r="C24"/>
  <c r="B24"/>
  <c r="A24"/>
  <c r="E23" i="24"/>
  <c r="D23" i="4"/>
  <c r="C23"/>
  <c r="B23"/>
  <c r="A23"/>
  <c r="E22" i="24"/>
  <c r="D22" i="4"/>
  <c r="C22"/>
  <c r="B22"/>
  <c r="A22"/>
  <c r="E21" i="24"/>
  <c r="D21" i="4"/>
  <c r="C21"/>
  <c r="B21"/>
  <c r="A21"/>
  <c r="E20" i="24"/>
  <c r="D20" i="4"/>
  <c r="C20"/>
  <c r="B20"/>
  <c r="A20"/>
  <c r="E19" i="24"/>
  <c r="D19" i="4"/>
  <c r="C19"/>
  <c r="B19"/>
  <c r="A19"/>
  <c r="E18" i="24"/>
  <c r="D18" i="4"/>
  <c r="C18"/>
  <c r="B18"/>
  <c r="A18"/>
  <c r="E17" i="24"/>
  <c r="D17" i="4"/>
  <c r="C17"/>
  <c r="B17"/>
  <c r="A17"/>
  <c r="E16" i="24"/>
  <c r="D16" i="4"/>
  <c r="C16"/>
  <c r="B16"/>
  <c r="A16"/>
  <c r="E15" i="24"/>
  <c r="D15" i="4"/>
  <c r="C15"/>
  <c r="B15"/>
  <c r="A15"/>
  <c r="E14" i="24"/>
  <c r="D14" i="4"/>
  <c r="C14"/>
  <c r="B14"/>
  <c r="A14"/>
  <c r="E13" i="24"/>
  <c r="D13" i="4"/>
  <c r="C13"/>
  <c r="B13"/>
  <c r="A13"/>
  <c r="E12" i="24"/>
  <c r="D12" i="4"/>
  <c r="C12"/>
  <c r="B12"/>
  <c r="A12"/>
  <c r="E11" i="24"/>
  <c r="D11" i="4"/>
  <c r="C11"/>
  <c r="B11"/>
  <c r="A11"/>
  <c r="E10" i="24"/>
  <c r="D10" i="4"/>
  <c r="C10"/>
  <c r="B10"/>
  <c r="A10"/>
  <c r="E9" i="24"/>
  <c r="D9" i="4"/>
  <c r="C9"/>
  <c r="B9"/>
  <c r="A9"/>
  <c r="E8" i="24"/>
  <c r="D8" i="4"/>
  <c r="C8"/>
  <c r="B8"/>
  <c r="A8"/>
  <c r="E7" i="24"/>
  <c r="D7" i="4"/>
  <c r="C7"/>
  <c r="B7"/>
  <c r="A7"/>
  <c r="E6" i="24"/>
  <c r="D6" i="4"/>
  <c r="C6"/>
  <c r="B6"/>
  <c r="A6"/>
  <c r="E5" i="24"/>
  <c r="D5" i="4"/>
  <c r="C5"/>
  <c r="B5"/>
  <c r="A5"/>
  <c r="E4" i="24"/>
  <c r="D4" i="4"/>
  <c r="C4"/>
  <c r="B4"/>
  <c r="A4"/>
  <c r="E3" i="24"/>
  <c r="D3" i="4"/>
  <c r="C3"/>
  <c r="AE6" i="26" l="1"/>
  <c r="R67" i="20"/>
  <c r="F69" i="4"/>
  <c r="U69" s="1"/>
  <c r="F70"/>
  <c r="U70" s="1"/>
  <c r="AE23" i="26"/>
  <c r="AG23" s="1"/>
  <c r="Q23" i="9" s="1"/>
  <c r="AE38" i="26"/>
  <c r="AG38" s="1"/>
  <c r="AE19"/>
  <c r="AE31"/>
  <c r="AG31" s="1"/>
  <c r="AE35"/>
  <c r="AG35" s="1"/>
  <c r="AE18"/>
  <c r="AE15"/>
  <c r="V3"/>
  <c r="G3" i="27" s="1"/>
  <c r="AE55" i="26"/>
  <c r="AG55" s="1"/>
  <c r="AE47"/>
  <c r="AG47" s="1"/>
  <c r="AE39"/>
  <c r="AG39" s="1"/>
  <c r="AE7"/>
  <c r="AG7" s="1"/>
  <c r="M4"/>
  <c r="AE50"/>
  <c r="AG50" s="1"/>
  <c r="F35" i="27"/>
  <c r="F6"/>
  <c r="F50"/>
  <c r="F18"/>
  <c r="AE51" i="26"/>
  <c r="AG51" s="1"/>
  <c r="F19" i="27"/>
  <c r="H59" i="24"/>
  <c r="Q59" i="20"/>
  <c r="E59" i="24"/>
  <c r="Q59" i="4"/>
  <c r="I59"/>
  <c r="E4" i="27"/>
  <c r="F3"/>
  <c r="E11"/>
  <c r="AE11" i="26"/>
  <c r="AE14"/>
  <c r="AE30"/>
  <c r="AG30" s="1"/>
  <c r="E43" i="27"/>
  <c r="AE43" i="26"/>
  <c r="AG43" s="1"/>
  <c r="F51" i="27"/>
  <c r="E27"/>
  <c r="AE27" i="26"/>
  <c r="F38" i="27"/>
  <c r="B3" i="4"/>
  <c r="A3"/>
  <c r="AC59" i="16"/>
  <c r="AC83" s="1"/>
  <c r="AA59"/>
  <c r="AA83" s="1"/>
  <c r="Z59"/>
  <c r="X59"/>
  <c r="W59"/>
  <c r="W83" s="1"/>
  <c r="V59"/>
  <c r="V83" s="1"/>
  <c r="U59"/>
  <c r="U83" s="1"/>
  <c r="S59"/>
  <c r="S83" s="1"/>
  <c r="R59"/>
  <c r="R83" s="1"/>
  <c r="I23" i="5" l="1"/>
  <c r="Z83" i="16"/>
  <c r="Z82"/>
  <c r="X83"/>
  <c r="X82"/>
  <c r="Q50" i="9"/>
  <c r="I7" i="5"/>
  <c r="Q7" i="9"/>
  <c r="I55" i="5"/>
  <c r="Q27" i="9"/>
  <c r="Q18"/>
  <c r="I31" i="5"/>
  <c r="Q31" i="9"/>
  <c r="I43" i="5"/>
  <c r="Q43" i="9"/>
  <c r="Q30"/>
  <c r="Q15"/>
  <c r="E3" i="27"/>
  <c r="D59" i="26"/>
  <c r="D72" s="1"/>
  <c r="AE3"/>
  <c r="M59"/>
  <c r="M72" s="1"/>
  <c r="AN82" i="16" l="1"/>
  <c r="C56" i="24"/>
  <c r="BZ56" s="1"/>
  <c r="E56" i="16"/>
  <c r="I56" s="1"/>
  <c r="D56"/>
  <c r="H56" s="1"/>
  <c r="C56"/>
  <c r="B56"/>
  <c r="A56"/>
  <c r="C55" i="24"/>
  <c r="BZ55" s="1"/>
  <c r="E55" i="16"/>
  <c r="I55" s="1"/>
  <c r="D55"/>
  <c r="H55" s="1"/>
  <c r="C55"/>
  <c r="B55"/>
  <c r="A55"/>
  <c r="C54" i="24"/>
  <c r="BZ54" s="1"/>
  <c r="E54" i="16"/>
  <c r="I54" s="1"/>
  <c r="D54"/>
  <c r="H54" s="1"/>
  <c r="C54"/>
  <c r="B54"/>
  <c r="A54"/>
  <c r="C53" i="24"/>
  <c r="BZ53" s="1"/>
  <c r="E53" i="16"/>
  <c r="I53" s="1"/>
  <c r="D53"/>
  <c r="H53" s="1"/>
  <c r="C53"/>
  <c r="B53"/>
  <c r="A53"/>
  <c r="C52" i="24"/>
  <c r="BZ52" s="1"/>
  <c r="E52" i="16"/>
  <c r="I52" s="1"/>
  <c r="D52"/>
  <c r="H52" s="1"/>
  <c r="C52"/>
  <c r="B52"/>
  <c r="A52"/>
  <c r="E51"/>
  <c r="I51" s="1"/>
  <c r="D51"/>
  <c r="H51" s="1"/>
  <c r="T51" s="1"/>
  <c r="C51"/>
  <c r="B51"/>
  <c r="A51"/>
  <c r="C50" i="24"/>
  <c r="BZ50" s="1"/>
  <c r="E50" i="16"/>
  <c r="I50" s="1"/>
  <c r="D50"/>
  <c r="H50" s="1"/>
  <c r="C50"/>
  <c r="B50"/>
  <c r="A50"/>
  <c r="C49" i="24"/>
  <c r="BZ49" s="1"/>
  <c r="E49" i="16"/>
  <c r="I49" s="1"/>
  <c r="D49"/>
  <c r="H49" s="1"/>
  <c r="C49"/>
  <c r="B49"/>
  <c r="A49"/>
  <c r="C48" i="24"/>
  <c r="BZ48" s="1"/>
  <c r="E48" i="16"/>
  <c r="I48" s="1"/>
  <c r="D48"/>
  <c r="H48" s="1"/>
  <c r="C48"/>
  <c r="B48"/>
  <c r="A48"/>
  <c r="E47"/>
  <c r="I47" s="1"/>
  <c r="D47"/>
  <c r="H47" s="1"/>
  <c r="T47" s="1"/>
  <c r="C47"/>
  <c r="B47"/>
  <c r="A47"/>
  <c r="C46" i="24"/>
  <c r="BZ46" s="1"/>
  <c r="E46" i="16"/>
  <c r="I46" s="1"/>
  <c r="D46"/>
  <c r="H46" s="1"/>
  <c r="C46"/>
  <c r="B46"/>
  <c r="A46"/>
  <c r="C45" i="24"/>
  <c r="BZ45" s="1"/>
  <c r="E45" i="16"/>
  <c r="I45" s="1"/>
  <c r="D45"/>
  <c r="H45" s="1"/>
  <c r="C45"/>
  <c r="B45"/>
  <c r="A45"/>
  <c r="E44"/>
  <c r="I44" s="1"/>
  <c r="D44"/>
  <c r="H44" s="1"/>
  <c r="T44" s="1"/>
  <c r="C44"/>
  <c r="B44"/>
  <c r="A44"/>
  <c r="C43" i="24"/>
  <c r="BZ43" s="1"/>
  <c r="E43" i="16"/>
  <c r="I43" s="1"/>
  <c r="D43"/>
  <c r="H43" s="1"/>
  <c r="C43"/>
  <c r="B43"/>
  <c r="A43"/>
  <c r="E42"/>
  <c r="I42" s="1"/>
  <c r="D42"/>
  <c r="H42" s="1"/>
  <c r="T42" s="1"/>
  <c r="C42"/>
  <c r="B42"/>
  <c r="A42"/>
  <c r="C41" i="24"/>
  <c r="BZ41" s="1"/>
  <c r="E41" i="16"/>
  <c r="I41" s="1"/>
  <c r="D41"/>
  <c r="H41" s="1"/>
  <c r="C41"/>
  <c r="B41"/>
  <c r="A41"/>
  <c r="C40" i="24"/>
  <c r="BZ40" s="1"/>
  <c r="E40" i="16"/>
  <c r="I40" s="1"/>
  <c r="D40"/>
  <c r="H40" s="1"/>
  <c r="C40"/>
  <c r="B40"/>
  <c r="A40"/>
  <c r="E39"/>
  <c r="I39" s="1"/>
  <c r="D39"/>
  <c r="H39" s="1"/>
  <c r="T39" s="1"/>
  <c r="AN39" s="1"/>
  <c r="C39" i="24" s="1"/>
  <c r="BZ39" s="1"/>
  <c r="C39" i="16"/>
  <c r="B39"/>
  <c r="A39"/>
  <c r="C38" i="24"/>
  <c r="BZ38" s="1"/>
  <c r="E38" i="16"/>
  <c r="I38" s="1"/>
  <c r="D38"/>
  <c r="H38" s="1"/>
  <c r="C38"/>
  <c r="B38"/>
  <c r="A38"/>
  <c r="C37" i="24"/>
  <c r="BZ37" s="1"/>
  <c r="E37" i="16"/>
  <c r="I37" s="1"/>
  <c r="D37"/>
  <c r="H37" s="1"/>
  <c r="C37"/>
  <c r="B37"/>
  <c r="A37"/>
  <c r="C36" i="24"/>
  <c r="BZ36" s="1"/>
  <c r="E36" i="16"/>
  <c r="I36" s="1"/>
  <c r="D36"/>
  <c r="H36" s="1"/>
  <c r="C36"/>
  <c r="B36"/>
  <c r="A36"/>
  <c r="E35"/>
  <c r="I35" s="1"/>
  <c r="D35"/>
  <c r="H35" s="1"/>
  <c r="T35" s="1"/>
  <c r="C35"/>
  <c r="B35"/>
  <c r="A35"/>
  <c r="C34" i="24"/>
  <c r="BZ34" s="1"/>
  <c r="E34" i="16"/>
  <c r="I34" s="1"/>
  <c r="D34"/>
  <c r="H34" s="1"/>
  <c r="C34"/>
  <c r="B34"/>
  <c r="A34"/>
  <c r="C33" i="24"/>
  <c r="BZ33" s="1"/>
  <c r="E33" i="16"/>
  <c r="I33" s="1"/>
  <c r="D33"/>
  <c r="H33" s="1"/>
  <c r="C33"/>
  <c r="B33"/>
  <c r="A33"/>
  <c r="E32"/>
  <c r="I32" s="1"/>
  <c r="D32"/>
  <c r="H32" s="1"/>
  <c r="T32" s="1"/>
  <c r="C32"/>
  <c r="B32"/>
  <c r="A32"/>
  <c r="C31" i="24"/>
  <c r="BZ31" s="1"/>
  <c r="E31" i="16"/>
  <c r="I31" s="1"/>
  <c r="D31"/>
  <c r="H31" s="1"/>
  <c r="C31"/>
  <c r="B31"/>
  <c r="A31"/>
  <c r="C30" i="24"/>
  <c r="BZ30" s="1"/>
  <c r="E30" i="16"/>
  <c r="I30" s="1"/>
  <c r="D30"/>
  <c r="H30" s="1"/>
  <c r="C30"/>
  <c r="B30"/>
  <c r="A30"/>
  <c r="C29" i="24"/>
  <c r="BZ29" s="1"/>
  <c r="E29" i="16"/>
  <c r="I29" s="1"/>
  <c r="D29"/>
  <c r="H29" s="1"/>
  <c r="C29"/>
  <c r="B29"/>
  <c r="A29"/>
  <c r="C28" i="24"/>
  <c r="BZ28" s="1"/>
  <c r="E28" i="16"/>
  <c r="I28" s="1"/>
  <c r="D28"/>
  <c r="H28" s="1"/>
  <c r="C28"/>
  <c r="B28"/>
  <c r="A28"/>
  <c r="C27" i="24"/>
  <c r="AB32" i="16" l="1"/>
  <c r="AN32" s="1"/>
  <c r="C32" i="24" s="1"/>
  <c r="BZ32" s="1"/>
  <c r="T32" i="9" s="1"/>
  <c r="AB44" i="16"/>
  <c r="AN44"/>
  <c r="C44" i="24" s="1"/>
  <c r="BZ44" s="1"/>
  <c r="AB42" i="16"/>
  <c r="AN42" s="1"/>
  <c r="C42" i="24" s="1"/>
  <c r="BZ42" s="1"/>
  <c r="T42" i="9" s="1"/>
  <c r="AB35" i="16"/>
  <c r="AN35" s="1"/>
  <c r="C35" i="24" s="1"/>
  <c r="BZ35" s="1"/>
  <c r="T35" i="9" s="1"/>
  <c r="AB47" i="16"/>
  <c r="AN47" s="1"/>
  <c r="C47" i="24" s="1"/>
  <c r="BZ47" s="1"/>
  <c r="T47" i="9" s="1"/>
  <c r="AB51" i="16"/>
  <c r="AN51"/>
  <c r="C51" i="24" s="1"/>
  <c r="BZ51" s="1"/>
  <c r="T29" i="9"/>
  <c r="T33"/>
  <c r="T37"/>
  <c r="T41"/>
  <c r="T45"/>
  <c r="T49"/>
  <c r="T55"/>
  <c r="T57"/>
  <c r="T28"/>
  <c r="T30"/>
  <c r="T34"/>
  <c r="T36"/>
  <c r="T38"/>
  <c r="T40"/>
  <c r="T44"/>
  <c r="T46"/>
  <c r="T48"/>
  <c r="T50"/>
  <c r="T52"/>
  <c r="T54"/>
  <c r="T56"/>
  <c r="T58"/>
  <c r="T27"/>
  <c r="T31"/>
  <c r="T39"/>
  <c r="T43"/>
  <c r="T51"/>
  <c r="T53"/>
  <c r="P29" i="16"/>
  <c r="N29" s="1"/>
  <c r="P31"/>
  <c r="N31" s="1"/>
  <c r="P37"/>
  <c r="N37" s="1"/>
  <c r="P41"/>
  <c r="N41" s="1"/>
  <c r="P47"/>
  <c r="N47" s="1"/>
  <c r="P49"/>
  <c r="N49" s="1"/>
  <c r="L29"/>
  <c r="K29"/>
  <c r="J29"/>
  <c r="L31"/>
  <c r="K31"/>
  <c r="J31"/>
  <c r="J33"/>
  <c r="K33"/>
  <c r="L33"/>
  <c r="K37"/>
  <c r="L37"/>
  <c r="J37"/>
  <c r="L39"/>
  <c r="J39"/>
  <c r="K39"/>
  <c r="L43"/>
  <c r="J43"/>
  <c r="K43"/>
  <c r="P28"/>
  <c r="N28" s="1"/>
  <c r="P30"/>
  <c r="N30" s="1"/>
  <c r="P34"/>
  <c r="N34" s="1"/>
  <c r="P36"/>
  <c r="N36" s="1"/>
  <c r="P38"/>
  <c r="N38" s="1"/>
  <c r="P42"/>
  <c r="N42" s="1"/>
  <c r="P44"/>
  <c r="N44" s="1"/>
  <c r="P46"/>
  <c r="N46" s="1"/>
  <c r="P50"/>
  <c r="N50" s="1"/>
  <c r="P54"/>
  <c r="N54" s="1"/>
  <c r="P33"/>
  <c r="N33" s="1"/>
  <c r="P39"/>
  <c r="N39" s="1"/>
  <c r="P45"/>
  <c r="N45" s="1"/>
  <c r="P53"/>
  <c r="N53" s="1"/>
  <c r="P55"/>
  <c r="N55" s="1"/>
  <c r="L35"/>
  <c r="J35"/>
  <c r="K35"/>
  <c r="K41"/>
  <c r="L41"/>
  <c r="J41"/>
  <c r="K45"/>
  <c r="L45"/>
  <c r="J45"/>
  <c r="L47"/>
  <c r="K47"/>
  <c r="J47"/>
  <c r="L49"/>
  <c r="K49"/>
  <c r="J49"/>
  <c r="L51"/>
  <c r="J51"/>
  <c r="K51"/>
  <c r="K53"/>
  <c r="L53"/>
  <c r="J53"/>
  <c r="L55"/>
  <c r="J55"/>
  <c r="K55"/>
  <c r="L28"/>
  <c r="K28"/>
  <c r="J28"/>
  <c r="L30"/>
  <c r="K30"/>
  <c r="J30"/>
  <c r="L32"/>
  <c r="K32"/>
  <c r="J32"/>
  <c r="L34"/>
  <c r="K34"/>
  <c r="J34"/>
  <c r="L36"/>
  <c r="K36"/>
  <c r="J36"/>
  <c r="L38"/>
  <c r="J38"/>
  <c r="K38"/>
  <c r="L40"/>
  <c r="K40"/>
  <c r="J40"/>
  <c r="K42"/>
  <c r="J42"/>
  <c r="L42"/>
  <c r="L44"/>
  <c r="K44"/>
  <c r="J44"/>
  <c r="L46"/>
  <c r="K46"/>
  <c r="J46"/>
  <c r="L48"/>
  <c r="K48"/>
  <c r="J48"/>
  <c r="L50"/>
  <c r="J50"/>
  <c r="K50"/>
  <c r="L52"/>
  <c r="K52"/>
  <c r="J52"/>
  <c r="L54"/>
  <c r="J54"/>
  <c r="K54"/>
  <c r="L56"/>
  <c r="K56"/>
  <c r="J56"/>
  <c r="U27" i="9"/>
  <c r="U31"/>
  <c r="U33"/>
  <c r="U39"/>
  <c r="U41"/>
  <c r="U43"/>
  <c r="U47"/>
  <c r="U49"/>
  <c r="U51"/>
  <c r="U53"/>
  <c r="U57"/>
  <c r="U28"/>
  <c r="U30"/>
  <c r="U32"/>
  <c r="U34"/>
  <c r="U36"/>
  <c r="U38"/>
  <c r="U40"/>
  <c r="U42"/>
  <c r="U44"/>
  <c r="U46"/>
  <c r="U48"/>
  <c r="U50"/>
  <c r="U52"/>
  <c r="U54"/>
  <c r="U56"/>
  <c r="U58"/>
  <c r="U29"/>
  <c r="U35"/>
  <c r="U37"/>
  <c r="U45"/>
  <c r="U55"/>
  <c r="E27" i="16"/>
  <c r="I27" s="1"/>
  <c r="D27"/>
  <c r="H27" s="1"/>
  <c r="C27"/>
  <c r="B27"/>
  <c r="A27"/>
  <c r="C26" i="24"/>
  <c r="E26" i="16"/>
  <c r="I26" s="1"/>
  <c r="D26"/>
  <c r="H26" s="1"/>
  <c r="C26"/>
  <c r="B26"/>
  <c r="A26"/>
  <c r="C25" i="24"/>
  <c r="E25" i="16"/>
  <c r="I25" s="1"/>
  <c r="D25"/>
  <c r="H25" s="1"/>
  <c r="C25"/>
  <c r="B25"/>
  <c r="A25"/>
  <c r="E24"/>
  <c r="I24" s="1"/>
  <c r="D24"/>
  <c r="H24" s="1"/>
  <c r="T24" s="1"/>
  <c r="AN24" s="1"/>
  <c r="C24" i="24" s="1"/>
  <c r="BZ24" s="1"/>
  <c r="C24" i="16"/>
  <c r="B24"/>
  <c r="A24"/>
  <c r="C23" i="24"/>
  <c r="E23" i="16"/>
  <c r="D23"/>
  <c r="C23"/>
  <c r="B23"/>
  <c r="A23"/>
  <c r="E22"/>
  <c r="I22" s="1"/>
  <c r="D22"/>
  <c r="H22" s="1"/>
  <c r="T22" s="1"/>
  <c r="C22"/>
  <c r="B22"/>
  <c r="A22"/>
  <c r="C21" i="24"/>
  <c r="BZ21" s="1"/>
  <c r="C21" i="16"/>
  <c r="B21"/>
  <c r="A21"/>
  <c r="E20"/>
  <c r="I20" s="1"/>
  <c r="D20"/>
  <c r="H20" s="1"/>
  <c r="T20" s="1"/>
  <c r="C20"/>
  <c r="B20"/>
  <c r="A20"/>
  <c r="E19"/>
  <c r="I19" s="1"/>
  <c r="D19"/>
  <c r="H19" s="1"/>
  <c r="T19" s="1"/>
  <c r="AN19" s="1"/>
  <c r="C19" i="24" s="1"/>
  <c r="BZ19" s="1"/>
  <c r="C19" i="16"/>
  <c r="B19"/>
  <c r="A19"/>
  <c r="C18" i="24"/>
  <c r="BZ18" s="1"/>
  <c r="E18" i="16"/>
  <c r="I18" s="1"/>
  <c r="D18"/>
  <c r="H18" s="1"/>
  <c r="C18"/>
  <c r="B18"/>
  <c r="A18"/>
  <c r="C17" i="24"/>
  <c r="BZ17" s="1"/>
  <c r="E17" i="16"/>
  <c r="I17" s="1"/>
  <c r="D17"/>
  <c r="H17" s="1"/>
  <c r="C17"/>
  <c r="B17"/>
  <c r="A17"/>
  <c r="E16"/>
  <c r="I16" s="1"/>
  <c r="D16"/>
  <c r="H16" s="1"/>
  <c r="C16"/>
  <c r="B16"/>
  <c r="A16"/>
  <c r="C15" i="24"/>
  <c r="BZ15" s="1"/>
  <c r="E15" i="16"/>
  <c r="I15" s="1"/>
  <c r="D15"/>
  <c r="H15" s="1"/>
  <c r="C15"/>
  <c r="B15"/>
  <c r="A15"/>
  <c r="E14"/>
  <c r="I14" s="1"/>
  <c r="D14"/>
  <c r="H14" s="1"/>
  <c r="T14" s="1"/>
  <c r="C14"/>
  <c r="B14"/>
  <c r="A14"/>
  <c r="C13" i="24"/>
  <c r="BZ13" s="1"/>
  <c r="E13" i="16"/>
  <c r="I13" s="1"/>
  <c r="D13"/>
  <c r="H13" s="1"/>
  <c r="C13"/>
  <c r="B13"/>
  <c r="A13"/>
  <c r="C12" i="24"/>
  <c r="BZ12" s="1"/>
  <c r="E12" i="16"/>
  <c r="I12" s="1"/>
  <c r="D12"/>
  <c r="H12" s="1"/>
  <c r="Y5" s="1"/>
  <c r="C12"/>
  <c r="B12"/>
  <c r="A12"/>
  <c r="C11" i="24"/>
  <c r="BZ11" s="1"/>
  <c r="E11" i="16"/>
  <c r="I11" s="1"/>
  <c r="D11"/>
  <c r="H11" s="1"/>
  <c r="C11"/>
  <c r="B11"/>
  <c r="A11"/>
  <c r="C10" i="24"/>
  <c r="BZ10" s="1"/>
  <c r="E10" i="16"/>
  <c r="I10" s="1"/>
  <c r="D10"/>
  <c r="H10" s="1"/>
  <c r="C10"/>
  <c r="B10"/>
  <c r="A10"/>
  <c r="E9"/>
  <c r="I9" s="1"/>
  <c r="D9"/>
  <c r="H9" s="1"/>
  <c r="T9" s="1"/>
  <c r="AN9" s="1"/>
  <c r="C9" i="24" s="1"/>
  <c r="BZ9" s="1"/>
  <c r="C9" i="16"/>
  <c r="B9"/>
  <c r="A9"/>
  <c r="E8"/>
  <c r="I8" s="1"/>
  <c r="D8"/>
  <c r="H8" s="1"/>
  <c r="T8" s="1"/>
  <c r="C8"/>
  <c r="B8"/>
  <c r="A8"/>
  <c r="C7" i="24"/>
  <c r="BZ7" s="1"/>
  <c r="E7" i="16"/>
  <c r="I7" s="1"/>
  <c r="D7"/>
  <c r="H7" s="1"/>
  <c r="C7"/>
  <c r="B7"/>
  <c r="A7"/>
  <c r="C6" i="24"/>
  <c r="BZ6" s="1"/>
  <c r="E6" i="16"/>
  <c r="I6" s="1"/>
  <c r="D6"/>
  <c r="H6" s="1"/>
  <c r="C6"/>
  <c r="B6"/>
  <c r="A6"/>
  <c r="C5" i="24"/>
  <c r="BZ5" s="1"/>
  <c r="E5" i="16"/>
  <c r="D5"/>
  <c r="H5" s="1"/>
  <c r="C5"/>
  <c r="B5"/>
  <c r="A5"/>
  <c r="C4" i="24"/>
  <c r="BZ4" s="1"/>
  <c r="E4" i="16"/>
  <c r="I4" s="1"/>
  <c r="D4"/>
  <c r="C4"/>
  <c r="B4"/>
  <c r="A4"/>
  <c r="E3"/>
  <c r="I3" s="1"/>
  <c r="D3"/>
  <c r="H3" s="1"/>
  <c r="C3"/>
  <c r="B3"/>
  <c r="A3"/>
  <c r="B56" i="14"/>
  <c r="A56"/>
  <c r="B55"/>
  <c r="A55"/>
  <c r="B54"/>
  <c r="A54"/>
  <c r="B53"/>
  <c r="A53"/>
  <c r="B52"/>
  <c r="A52"/>
  <c r="B51"/>
  <c r="A51"/>
  <c r="B50"/>
  <c r="A50"/>
  <c r="B49"/>
  <c r="A49"/>
  <c r="B48"/>
  <c r="A48"/>
  <c r="B47"/>
  <c r="A47"/>
  <c r="B46"/>
  <c r="A46"/>
  <c r="B45"/>
  <c r="A45"/>
  <c r="B44"/>
  <c r="A44"/>
  <c r="B43"/>
  <c r="A43"/>
  <c r="B42"/>
  <c r="A42"/>
  <c r="B41"/>
  <c r="A41"/>
  <c r="B40"/>
  <c r="A40"/>
  <c r="B39"/>
  <c r="A39"/>
  <c r="B38"/>
  <c r="A38"/>
  <c r="B37"/>
  <c r="A37"/>
  <c r="B36"/>
  <c r="A36"/>
  <c r="B35"/>
  <c r="A35"/>
  <c r="B34"/>
  <c r="A34"/>
  <c r="B33"/>
  <c r="A33"/>
  <c r="B32"/>
  <c r="A32"/>
  <c r="B31"/>
  <c r="A31"/>
  <c r="B30"/>
  <c r="A30"/>
  <c r="B29"/>
  <c r="A29"/>
  <c r="B28"/>
  <c r="A28"/>
  <c r="B27"/>
  <c r="A27"/>
  <c r="B26"/>
  <c r="A26"/>
  <c r="B25"/>
  <c r="A25"/>
  <c r="B24"/>
  <c r="A24"/>
  <c r="B23"/>
  <c r="A23"/>
  <c r="B22"/>
  <c r="A22"/>
  <c r="B21"/>
  <c r="A21"/>
  <c r="B20"/>
  <c r="A20"/>
  <c r="B19"/>
  <c r="A19"/>
  <c r="B18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B3"/>
  <c r="A3"/>
  <c r="G59" i="12"/>
  <c r="AM5" i="16" l="1"/>
  <c r="Y59"/>
  <c r="Y83" s="1"/>
  <c r="AB14"/>
  <c r="AN14" s="1"/>
  <c r="C14" i="24" s="1"/>
  <c r="BZ14" s="1"/>
  <c r="T14" i="9" s="1"/>
  <c r="AB22" i="16"/>
  <c r="AN22" s="1"/>
  <c r="C22" i="24" s="1"/>
  <c r="BZ22" s="1"/>
  <c r="T22" i="9" s="1"/>
  <c r="AN8" i="16"/>
  <c r="C8" i="24" s="1"/>
  <c r="BZ8" s="1"/>
  <c r="T8" i="9" s="1"/>
  <c r="AB20" i="16"/>
  <c r="AN20" s="1"/>
  <c r="C20" i="24" s="1"/>
  <c r="BZ20" s="1"/>
  <c r="T20" i="9" s="1"/>
  <c r="T7"/>
  <c r="T11"/>
  <c r="T13"/>
  <c r="T17"/>
  <c r="T21"/>
  <c r="T23"/>
  <c r="T4"/>
  <c r="T6"/>
  <c r="T10"/>
  <c r="T12"/>
  <c r="T18"/>
  <c r="T24"/>
  <c r="T26"/>
  <c r="T9"/>
  <c r="T15"/>
  <c r="T19"/>
  <c r="T25"/>
  <c r="O46" i="16"/>
  <c r="M46" s="1"/>
  <c r="H46" i="1" s="1"/>
  <c r="O30" i="16"/>
  <c r="M30" s="1"/>
  <c r="H30" i="1" s="1"/>
  <c r="O33" i="16"/>
  <c r="R33" i="10" s="1"/>
  <c r="O44" i="16"/>
  <c r="Q44" s="1"/>
  <c r="R44" i="10" s="1"/>
  <c r="O28" i="16"/>
  <c r="R28" i="10" s="1"/>
  <c r="O53" i="16"/>
  <c r="M53" s="1"/>
  <c r="H53" i="1" s="1"/>
  <c r="O51" i="16"/>
  <c r="M51" s="1"/>
  <c r="H51" i="1" s="1"/>
  <c r="O39" i="16"/>
  <c r="Q39" s="1"/>
  <c r="R39" i="10" s="1"/>
  <c r="L3" i="16"/>
  <c r="J3"/>
  <c r="K3"/>
  <c r="K5"/>
  <c r="L5"/>
  <c r="J5"/>
  <c r="L7"/>
  <c r="J7"/>
  <c r="K7"/>
  <c r="K9"/>
  <c r="L9"/>
  <c r="J9"/>
  <c r="L15"/>
  <c r="K15"/>
  <c r="J15"/>
  <c r="L17"/>
  <c r="K17"/>
  <c r="J17"/>
  <c r="L19"/>
  <c r="J19"/>
  <c r="K19"/>
  <c r="K25"/>
  <c r="L25"/>
  <c r="J25"/>
  <c r="L27"/>
  <c r="J27"/>
  <c r="K27"/>
  <c r="P56"/>
  <c r="N56" s="1"/>
  <c r="M33"/>
  <c r="H33" i="1" s="1"/>
  <c r="P22" i="16"/>
  <c r="N22" s="1"/>
  <c r="P35"/>
  <c r="N35" s="1"/>
  <c r="P43"/>
  <c r="N43" s="1"/>
  <c r="P3"/>
  <c r="N3" s="1"/>
  <c r="P13"/>
  <c r="N13" s="1"/>
  <c r="P15"/>
  <c r="N15" s="1"/>
  <c r="P17"/>
  <c r="N17" s="1"/>
  <c r="P25"/>
  <c r="N25" s="1"/>
  <c r="P52"/>
  <c r="N52" s="1"/>
  <c r="P51"/>
  <c r="O54"/>
  <c r="O40"/>
  <c r="O49"/>
  <c r="O37"/>
  <c r="O48"/>
  <c r="O42"/>
  <c r="O34"/>
  <c r="O32"/>
  <c r="O55"/>
  <c r="O41"/>
  <c r="O35"/>
  <c r="O43"/>
  <c r="O31"/>
  <c r="O29"/>
  <c r="L11"/>
  <c r="J11"/>
  <c r="K11"/>
  <c r="K13"/>
  <c r="L13"/>
  <c r="J13"/>
  <c r="P40"/>
  <c r="N40" s="1"/>
  <c r="P14"/>
  <c r="N14" s="1"/>
  <c r="P18"/>
  <c r="N18" s="1"/>
  <c r="P20"/>
  <c r="N20" s="1"/>
  <c r="P26"/>
  <c r="N26" s="1"/>
  <c r="P48"/>
  <c r="N48" s="1"/>
  <c r="L4"/>
  <c r="K4"/>
  <c r="J4"/>
  <c r="L6"/>
  <c r="J6"/>
  <c r="K6"/>
  <c r="L8"/>
  <c r="K8"/>
  <c r="J8"/>
  <c r="K10"/>
  <c r="J10"/>
  <c r="L10"/>
  <c r="L12"/>
  <c r="K12"/>
  <c r="J12"/>
  <c r="L14"/>
  <c r="K14"/>
  <c r="J14"/>
  <c r="L16"/>
  <c r="K16"/>
  <c r="J16"/>
  <c r="L18"/>
  <c r="J18"/>
  <c r="K18"/>
  <c r="L20"/>
  <c r="K20"/>
  <c r="J20"/>
  <c r="L22"/>
  <c r="J22"/>
  <c r="K22"/>
  <c r="L24"/>
  <c r="K24"/>
  <c r="J24"/>
  <c r="K26"/>
  <c r="J26"/>
  <c r="L26"/>
  <c r="P32"/>
  <c r="N32" s="1"/>
  <c r="O56"/>
  <c r="O38"/>
  <c r="O52"/>
  <c r="O50"/>
  <c r="O36"/>
  <c r="O47"/>
  <c r="O45"/>
  <c r="U21" i="9"/>
  <c r="U23"/>
  <c r="U5"/>
  <c r="U9"/>
  <c r="U11"/>
  <c r="U15"/>
  <c r="U19"/>
  <c r="U22"/>
  <c r="U24"/>
  <c r="U26"/>
  <c r="U4"/>
  <c r="U6"/>
  <c r="U8"/>
  <c r="U10"/>
  <c r="U12"/>
  <c r="U14"/>
  <c r="U16"/>
  <c r="U18"/>
  <c r="U25"/>
  <c r="C3" i="24"/>
  <c r="BZ3" s="1"/>
  <c r="U7" i="9"/>
  <c r="U13"/>
  <c r="U17"/>
  <c r="U20"/>
  <c r="M39" i="16" l="1"/>
  <c r="H39" i="1" s="1"/>
  <c r="D5" i="24"/>
  <c r="AM59" i="16"/>
  <c r="AM83" s="1"/>
  <c r="AB59"/>
  <c r="AB83" s="1"/>
  <c r="M28"/>
  <c r="H28" i="1" s="1"/>
  <c r="Q51" i="16"/>
  <c r="R51" i="10" s="1"/>
  <c r="Q30" i="16"/>
  <c r="R30" i="10" s="1"/>
  <c r="M44" i="16"/>
  <c r="H44" i="1" s="1"/>
  <c r="O24" i="16"/>
  <c r="M24" s="1"/>
  <c r="H24" i="1" s="1"/>
  <c r="O22" i="16"/>
  <c r="R22" i="10" s="1"/>
  <c r="Q46" i="16"/>
  <c r="R46" i="10" s="1"/>
  <c r="N51" i="16"/>
  <c r="O18"/>
  <c r="M18" s="1"/>
  <c r="H18" i="1" s="1"/>
  <c r="O8" i="16"/>
  <c r="M8" s="1"/>
  <c r="H8" i="1" s="1"/>
  <c r="O6" i="16"/>
  <c r="M6" s="1"/>
  <c r="H6" i="1" s="1"/>
  <c r="Q53" i="16"/>
  <c r="R53" i="10" s="1"/>
  <c r="O9" i="16"/>
  <c r="M9" s="1"/>
  <c r="H9" i="1" s="1"/>
  <c r="O7" i="16"/>
  <c r="M7" s="1"/>
  <c r="H7" i="1" s="1"/>
  <c r="O4" i="16"/>
  <c r="M4" s="1"/>
  <c r="O13"/>
  <c r="R13" i="10" s="1"/>
  <c r="O15" i="16"/>
  <c r="R15" i="10" s="1"/>
  <c r="R34"/>
  <c r="M34" i="16"/>
  <c r="H34" i="1" s="1"/>
  <c r="M49" i="16"/>
  <c r="H49" i="1" s="1"/>
  <c r="Q49" i="16"/>
  <c r="R49" i="10" s="1"/>
  <c r="P12" i="16"/>
  <c r="N12" s="1"/>
  <c r="P27"/>
  <c r="N27" s="1"/>
  <c r="P5"/>
  <c r="N5" s="1"/>
  <c r="M36"/>
  <c r="H36" i="1" s="1"/>
  <c r="R36" i="10"/>
  <c r="M29" i="16"/>
  <c r="H29" i="1" s="1"/>
  <c r="R29" i="10"/>
  <c r="M32" i="16"/>
  <c r="H32" i="1" s="1"/>
  <c r="R32" i="10"/>
  <c r="O3" i="16"/>
  <c r="J59"/>
  <c r="P10"/>
  <c r="N10" s="1"/>
  <c r="P4"/>
  <c r="N4" s="1"/>
  <c r="P19"/>
  <c r="N19" s="1"/>
  <c r="P7"/>
  <c r="M45"/>
  <c r="H45" i="1" s="1"/>
  <c r="Q45" i="16"/>
  <c r="R45" i="10" s="1"/>
  <c r="M52" i="16"/>
  <c r="H52" i="1" s="1"/>
  <c r="Q52" i="16"/>
  <c r="R52" i="10" s="1"/>
  <c r="M56" i="16"/>
  <c r="H56" i="1" s="1"/>
  <c r="Q56" i="16"/>
  <c r="R56" i="10" s="1"/>
  <c r="Q43" i="16"/>
  <c r="R43" i="10" s="1"/>
  <c r="M43" i="16"/>
  <c r="H43" i="1" s="1"/>
  <c r="Q55" i="16"/>
  <c r="R55" i="10" s="1"/>
  <c r="M55" i="16"/>
  <c r="H55" i="1" s="1"/>
  <c r="Q42" i="16"/>
  <c r="R42" i="10" s="1"/>
  <c r="M42" i="16"/>
  <c r="H42" i="1" s="1"/>
  <c r="M37" i="16"/>
  <c r="H37" i="1" s="1"/>
  <c r="R37" i="10"/>
  <c r="M40" i="16"/>
  <c r="H40" i="1" s="1"/>
  <c r="Q40" i="16"/>
  <c r="R40" i="10" s="1"/>
  <c r="O20" i="16"/>
  <c r="O14"/>
  <c r="O12"/>
  <c r="O11"/>
  <c r="O27"/>
  <c r="O17"/>
  <c r="P24"/>
  <c r="N24" s="1"/>
  <c r="P6"/>
  <c r="P9"/>
  <c r="Q50"/>
  <c r="R50" i="10" s="1"/>
  <c r="M50" i="16"/>
  <c r="H50" i="1" s="1"/>
  <c r="R38" i="10"/>
  <c r="M38" i="16"/>
  <c r="H38" i="1" s="1"/>
  <c r="R31" i="10"/>
  <c r="M31" i="16"/>
  <c r="H31" i="1" s="1"/>
  <c r="R57" i="10"/>
  <c r="M41" i="16"/>
  <c r="H41" i="1" s="1"/>
  <c r="Q41" i="16"/>
  <c r="R41" i="10" s="1"/>
  <c r="R58"/>
  <c r="P16" i="16"/>
  <c r="N16" s="1"/>
  <c r="P8"/>
  <c r="N8" s="1"/>
  <c r="P11"/>
  <c r="N11" s="1"/>
  <c r="Q47"/>
  <c r="R47" i="10" s="1"/>
  <c r="M47" i="16"/>
  <c r="H47" i="1" s="1"/>
  <c r="R35" i="10"/>
  <c r="M35" i="16"/>
  <c r="H35" i="1" s="1"/>
  <c r="M48" i="16"/>
  <c r="H48" i="1" s="1"/>
  <c r="Q48" i="16"/>
  <c r="R48" i="10" s="1"/>
  <c r="Q54" i="16"/>
  <c r="R54" i="10" s="1"/>
  <c r="M54" i="16"/>
  <c r="H54" i="1" s="1"/>
  <c r="L59" i="16"/>
  <c r="O25"/>
  <c r="O5"/>
  <c r="O26"/>
  <c r="O16"/>
  <c r="O10"/>
  <c r="O19"/>
  <c r="K59"/>
  <c r="I59"/>
  <c r="T3" i="9"/>
  <c r="H59" i="16"/>
  <c r="C56" i="12"/>
  <c r="B56"/>
  <c r="A56"/>
  <c r="C55"/>
  <c r="B55"/>
  <c r="A55"/>
  <c r="C54"/>
  <c r="B54"/>
  <c r="A54"/>
  <c r="C53"/>
  <c r="B53"/>
  <c r="A53"/>
  <c r="C52"/>
  <c r="B52"/>
  <c r="A52"/>
  <c r="C51"/>
  <c r="B51"/>
  <c r="A51"/>
  <c r="C50"/>
  <c r="B50"/>
  <c r="A50"/>
  <c r="C49"/>
  <c r="B49"/>
  <c r="A49"/>
  <c r="C48"/>
  <c r="B48"/>
  <c r="A48"/>
  <c r="C47"/>
  <c r="B47"/>
  <c r="A47"/>
  <c r="C46"/>
  <c r="B46"/>
  <c r="A46"/>
  <c r="C45"/>
  <c r="B45"/>
  <c r="A45"/>
  <c r="C44"/>
  <c r="B44"/>
  <c r="A44"/>
  <c r="C43"/>
  <c r="B43"/>
  <c r="A43"/>
  <c r="C42"/>
  <c r="B42"/>
  <c r="A42"/>
  <c r="C41"/>
  <c r="B41"/>
  <c r="A41"/>
  <c r="C40"/>
  <c r="B40"/>
  <c r="A40"/>
  <c r="C39"/>
  <c r="B39"/>
  <c r="A39"/>
  <c r="C38"/>
  <c r="B38"/>
  <c r="A38"/>
  <c r="C37"/>
  <c r="B37"/>
  <c r="A37"/>
  <c r="C36"/>
  <c r="B36"/>
  <c r="A36"/>
  <c r="C35"/>
  <c r="B35"/>
  <c r="A35"/>
  <c r="C34"/>
  <c r="B34"/>
  <c r="A34"/>
  <c r="C33"/>
  <c r="B33"/>
  <c r="A33"/>
  <c r="C32"/>
  <c r="B32"/>
  <c r="A32"/>
  <c r="C31"/>
  <c r="B31"/>
  <c r="A31"/>
  <c r="C30"/>
  <c r="B30"/>
  <c r="A30"/>
  <c r="C29"/>
  <c r="B29"/>
  <c r="A29"/>
  <c r="C28"/>
  <c r="B28"/>
  <c r="A28"/>
  <c r="C27"/>
  <c r="B27"/>
  <c r="A27"/>
  <c r="C26"/>
  <c r="B26"/>
  <c r="A26"/>
  <c r="C25"/>
  <c r="B25"/>
  <c r="A25"/>
  <c r="C24"/>
  <c r="B24"/>
  <c r="A24"/>
  <c r="C23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F59"/>
  <c r="C3"/>
  <c r="B3"/>
  <c r="A3"/>
  <c r="CA5" i="24" l="1"/>
  <c r="D59"/>
  <c r="M13" i="16"/>
  <c r="H13" i="1" s="1"/>
  <c r="R4" i="10"/>
  <c r="M22" i="16"/>
  <c r="H22" i="1" s="1"/>
  <c r="H82" i="16"/>
  <c r="AP82" s="1"/>
  <c r="R18" i="10"/>
  <c r="R24"/>
  <c r="M15" i="16"/>
  <c r="H15" i="1" s="1"/>
  <c r="R6" i="10"/>
  <c r="R9"/>
  <c r="Q7" i="16"/>
  <c r="R7" i="10" s="1"/>
  <c r="R19"/>
  <c r="M19" i="16"/>
  <c r="H19" i="1" s="1"/>
  <c r="Q27" i="16"/>
  <c r="R27" i="10" s="1"/>
  <c r="M27" i="16"/>
  <c r="H27" i="1" s="1"/>
  <c r="M25" i="16"/>
  <c r="H25" i="1" s="1"/>
  <c r="R25" i="10"/>
  <c r="M12" i="16"/>
  <c r="H12" i="1" s="1"/>
  <c r="R12" i="10"/>
  <c r="M5" i="16"/>
  <c r="H5" i="1" s="1"/>
  <c r="R5" i="10"/>
  <c r="R11"/>
  <c r="M11" i="16"/>
  <c r="H11" i="1" s="1"/>
  <c r="R23" i="10"/>
  <c r="H23" i="1"/>
  <c r="M3" i="16"/>
  <c r="H3" i="1" s="1"/>
  <c r="Q8" i="16"/>
  <c r="R8" i="10" s="1"/>
  <c r="N7" i="16"/>
  <c r="P59"/>
  <c r="O59"/>
  <c r="N6"/>
  <c r="R10" i="10"/>
  <c r="M10" i="16"/>
  <c r="H10" i="1" s="1"/>
  <c r="H4"/>
  <c r="R14" i="10"/>
  <c r="M14" i="16"/>
  <c r="H14" i="1" s="1"/>
  <c r="R26" i="10"/>
  <c r="M26" i="16"/>
  <c r="H26" i="1" s="1"/>
  <c r="M17" i="16"/>
  <c r="H17" i="1" s="1"/>
  <c r="R17" i="10"/>
  <c r="H21" i="1"/>
  <c r="R21" i="10"/>
  <c r="M16" i="16"/>
  <c r="R16" i="10"/>
  <c r="M20" i="16"/>
  <c r="H20" i="1" s="1"/>
  <c r="R20" i="10"/>
  <c r="N9" i="16"/>
  <c r="U3" i="9"/>
  <c r="F59" i="13"/>
  <c r="E59"/>
  <c r="D59"/>
  <c r="G5" i="5" l="1"/>
  <c r="G59" s="1"/>
  <c r="CA59" i="24"/>
  <c r="T5" i="9"/>
  <c r="H16" i="1"/>
  <c r="T16" i="16"/>
  <c r="N59"/>
  <c r="Q59"/>
  <c r="R3" i="10"/>
  <c r="R59" s="1"/>
  <c r="M59" i="16"/>
  <c r="AN16" l="1"/>
  <c r="T59"/>
  <c r="T83" s="1"/>
  <c r="N5" i="5"/>
  <c r="C16" i="24" l="1"/>
  <c r="AN59" i="16"/>
  <c r="AN83" s="1"/>
  <c r="AP83" s="1"/>
  <c r="N56" i="13"/>
  <c r="P56" i="14" s="1"/>
  <c r="C56" i="13"/>
  <c r="I56" s="1"/>
  <c r="B56"/>
  <c r="A56"/>
  <c r="N55"/>
  <c r="P55" i="14" s="1"/>
  <c r="C55" i="13"/>
  <c r="G55" s="1"/>
  <c r="I55" s="1"/>
  <c r="B55"/>
  <c r="A55"/>
  <c r="N54"/>
  <c r="P54" i="14" s="1"/>
  <c r="C54" i="13"/>
  <c r="G54" s="1"/>
  <c r="I54" s="1"/>
  <c r="B54"/>
  <c r="A54"/>
  <c r="N53"/>
  <c r="P53" i="14" s="1"/>
  <c r="C53" i="13"/>
  <c r="I53" s="1"/>
  <c r="B53"/>
  <c r="A53"/>
  <c r="N52"/>
  <c r="P52" i="14" s="1"/>
  <c r="C52" i="13"/>
  <c r="G52" s="1"/>
  <c r="I52" s="1"/>
  <c r="B52"/>
  <c r="A52"/>
  <c r="N51"/>
  <c r="P51" i="14" s="1"/>
  <c r="C51" i="13"/>
  <c r="B51"/>
  <c r="A51"/>
  <c r="N50"/>
  <c r="P50" i="14" s="1"/>
  <c r="C50" i="13"/>
  <c r="B50"/>
  <c r="A50"/>
  <c r="N49"/>
  <c r="P49" i="14" s="1"/>
  <c r="C49" i="13"/>
  <c r="G49" s="1"/>
  <c r="I49" s="1"/>
  <c r="N48"/>
  <c r="P48" i="14" s="1"/>
  <c r="C48" i="13"/>
  <c r="G48" s="1"/>
  <c r="I48" s="1"/>
  <c r="N47"/>
  <c r="P47" i="14" s="1"/>
  <c r="C47" i="13"/>
  <c r="I47" s="1"/>
  <c r="N46"/>
  <c r="P46" i="14" s="1"/>
  <c r="C46" i="13"/>
  <c r="G46" s="1"/>
  <c r="I46" s="1"/>
  <c r="N45"/>
  <c r="P45" i="14" s="1"/>
  <c r="G45" i="1" s="1"/>
  <c r="C45" i="13"/>
  <c r="G45" s="1"/>
  <c r="I45" s="1"/>
  <c r="N44"/>
  <c r="P44" i="14" s="1"/>
  <c r="G44" i="1" s="1"/>
  <c r="C44" i="13"/>
  <c r="G44" s="1"/>
  <c r="I44" s="1"/>
  <c r="N43"/>
  <c r="P43" i="14" s="1"/>
  <c r="G43" i="1" s="1"/>
  <c r="C43" i="13"/>
  <c r="G43" s="1"/>
  <c r="I43" s="1"/>
  <c r="N42"/>
  <c r="P42" i="14" s="1"/>
  <c r="G42" i="1" s="1"/>
  <c r="C42" i="13"/>
  <c r="G42" s="1"/>
  <c r="I42" s="1"/>
  <c r="N41"/>
  <c r="P41" i="14" s="1"/>
  <c r="G41" i="1" s="1"/>
  <c r="C41" i="13"/>
  <c r="G41" s="1"/>
  <c r="I41" s="1"/>
  <c r="N40"/>
  <c r="P40" i="14" s="1"/>
  <c r="G40" i="1" s="1"/>
  <c r="G40" i="13"/>
  <c r="I40" s="1"/>
  <c r="N39"/>
  <c r="P39" i="14" s="1"/>
  <c r="G39" i="1" s="1"/>
  <c r="C39" i="13"/>
  <c r="G39" s="1"/>
  <c r="I39" s="1"/>
  <c r="B39"/>
  <c r="A39"/>
  <c r="N38"/>
  <c r="P38" i="14" s="1"/>
  <c r="G38" i="1" s="1"/>
  <c r="C38" i="13"/>
  <c r="I38" s="1"/>
  <c r="B38"/>
  <c r="A38"/>
  <c r="N37"/>
  <c r="P37" i="14" s="1"/>
  <c r="G37" i="1" s="1"/>
  <c r="C37" i="13"/>
  <c r="I37" s="1"/>
  <c r="B37"/>
  <c r="A37"/>
  <c r="N36"/>
  <c r="P36" i="14" s="1"/>
  <c r="G36" i="1" s="1"/>
  <c r="C36" i="13"/>
  <c r="I36" s="1"/>
  <c r="B36"/>
  <c r="A36"/>
  <c r="N35"/>
  <c r="P35" i="14" s="1"/>
  <c r="G35" i="1" s="1"/>
  <c r="C35" i="13"/>
  <c r="G35" s="1"/>
  <c r="I35" s="1"/>
  <c r="B35"/>
  <c r="A35"/>
  <c r="N34"/>
  <c r="P34" i="14" s="1"/>
  <c r="G34" i="1" s="1"/>
  <c r="C34" i="13"/>
  <c r="G34" s="1"/>
  <c r="I34" s="1"/>
  <c r="B34"/>
  <c r="A34"/>
  <c r="N33"/>
  <c r="P33" i="14" s="1"/>
  <c r="G33" i="1" s="1"/>
  <c r="C33" i="13"/>
  <c r="I33" s="1"/>
  <c r="B33"/>
  <c r="A33"/>
  <c r="N32"/>
  <c r="P32" i="14" s="1"/>
  <c r="G32" i="1" s="1"/>
  <c r="C32" i="13"/>
  <c r="G32" s="1"/>
  <c r="I32" s="1"/>
  <c r="B32"/>
  <c r="A32"/>
  <c r="N31"/>
  <c r="P31" i="14" s="1"/>
  <c r="G31" i="1" s="1"/>
  <c r="C31" i="13"/>
  <c r="G31" s="1"/>
  <c r="I31" s="1"/>
  <c r="B31"/>
  <c r="A31"/>
  <c r="N30"/>
  <c r="P30" i="14" s="1"/>
  <c r="G30" i="1" s="1"/>
  <c r="C30" i="13"/>
  <c r="G30" s="1"/>
  <c r="I30" s="1"/>
  <c r="B30"/>
  <c r="A30"/>
  <c r="N29"/>
  <c r="P29" i="14" s="1"/>
  <c r="G29" i="1" s="1"/>
  <c r="C29" i="13"/>
  <c r="B29"/>
  <c r="A29"/>
  <c r="N28"/>
  <c r="P28" i="14" s="1"/>
  <c r="C28" i="13"/>
  <c r="G28" s="1"/>
  <c r="I28" s="1"/>
  <c r="B28"/>
  <c r="A28"/>
  <c r="N27"/>
  <c r="P27" i="14" s="1"/>
  <c r="C27" i="13"/>
  <c r="I27" s="1"/>
  <c r="B27"/>
  <c r="A27"/>
  <c r="N26"/>
  <c r="P26" i="14" s="1"/>
  <c r="C26" i="13"/>
  <c r="G26" s="1"/>
  <c r="I26" s="1"/>
  <c r="B26"/>
  <c r="A26"/>
  <c r="N25"/>
  <c r="P25" i="14" s="1"/>
  <c r="C25" i="13"/>
  <c r="G25" s="1"/>
  <c r="I25" s="1"/>
  <c r="B25"/>
  <c r="A25"/>
  <c r="N24"/>
  <c r="P24" i="14" s="1"/>
  <c r="C24" i="13"/>
  <c r="G24" s="1"/>
  <c r="I24" s="1"/>
  <c r="B24"/>
  <c r="A24"/>
  <c r="N23"/>
  <c r="P23" i="14" s="1"/>
  <c r="C23" i="13"/>
  <c r="G23" s="1"/>
  <c r="I23" s="1"/>
  <c r="B23"/>
  <c r="A23"/>
  <c r="N22"/>
  <c r="P22" i="14" s="1"/>
  <c r="C22" i="13"/>
  <c r="G22" s="1"/>
  <c r="I22" s="1"/>
  <c r="B22"/>
  <c r="A22"/>
  <c r="N21"/>
  <c r="P21" i="14" s="1"/>
  <c r="C21" i="13"/>
  <c r="I21" s="1"/>
  <c r="B21"/>
  <c r="A21"/>
  <c r="N20"/>
  <c r="P20" i="14" s="1"/>
  <c r="C20" i="13"/>
  <c r="G20" s="1"/>
  <c r="I20" s="1"/>
  <c r="B20"/>
  <c r="A20"/>
  <c r="N19"/>
  <c r="P19" i="14" s="1"/>
  <c r="C19" i="13"/>
  <c r="I19" s="1"/>
  <c r="B19"/>
  <c r="A19"/>
  <c r="N18"/>
  <c r="P18" i="14" s="1"/>
  <c r="C18" i="13"/>
  <c r="I18" s="1"/>
  <c r="B18"/>
  <c r="A18"/>
  <c r="N17"/>
  <c r="P17" i="14" s="1"/>
  <c r="C17" i="13"/>
  <c r="G17" s="1"/>
  <c r="I17" s="1"/>
  <c r="B17"/>
  <c r="A17"/>
  <c r="N16"/>
  <c r="P16" i="14" s="1"/>
  <c r="C16" i="13"/>
  <c r="G16" s="1"/>
  <c r="I16" s="1"/>
  <c r="B16"/>
  <c r="A16"/>
  <c r="N15"/>
  <c r="P15" i="14" s="1"/>
  <c r="C15" i="13"/>
  <c r="I15" s="1"/>
  <c r="B15"/>
  <c r="A15"/>
  <c r="N14"/>
  <c r="P14" i="14" s="1"/>
  <c r="C14" i="13"/>
  <c r="G14" s="1"/>
  <c r="I14" s="1"/>
  <c r="B14"/>
  <c r="A14"/>
  <c r="N13"/>
  <c r="P13" i="14" s="1"/>
  <c r="C13" i="13"/>
  <c r="G13" s="1"/>
  <c r="I13" s="1"/>
  <c r="B13"/>
  <c r="A13"/>
  <c r="N12"/>
  <c r="P12" i="14" s="1"/>
  <c r="C12" i="13"/>
  <c r="I12" s="1"/>
  <c r="B12"/>
  <c r="A12"/>
  <c r="N11"/>
  <c r="P11" i="14" s="1"/>
  <c r="C11" i="13"/>
  <c r="I11" s="1"/>
  <c r="B11"/>
  <c r="A11"/>
  <c r="N10"/>
  <c r="P10" i="14" s="1"/>
  <c r="C10" i="13"/>
  <c r="G10" s="1"/>
  <c r="I10" s="1"/>
  <c r="B10"/>
  <c r="A10"/>
  <c r="BZ16" i="24" l="1"/>
  <c r="C59"/>
  <c r="N9" i="13"/>
  <c r="P9" i="14" s="1"/>
  <c r="C9" i="13"/>
  <c r="I9" s="1"/>
  <c r="B9"/>
  <c r="A9"/>
  <c r="N8"/>
  <c r="P8" i="14" s="1"/>
  <c r="C8" i="13"/>
  <c r="I8" s="1"/>
  <c r="B8"/>
  <c r="A8"/>
  <c r="N7"/>
  <c r="P7" i="14" s="1"/>
  <c r="C7" i="13"/>
  <c r="G7" s="1"/>
  <c r="I7" s="1"/>
  <c r="B7"/>
  <c r="A7"/>
  <c r="N6"/>
  <c r="P6" i="14" s="1"/>
  <c r="C6" i="13"/>
  <c r="B6"/>
  <c r="A6"/>
  <c r="N5"/>
  <c r="P5" i="14" s="1"/>
  <c r="C5" i="13"/>
  <c r="B5"/>
  <c r="A5"/>
  <c r="N4"/>
  <c r="C4"/>
  <c r="G4" s="1"/>
  <c r="I4" s="1"/>
  <c r="B4"/>
  <c r="A4"/>
  <c r="N3"/>
  <c r="C3"/>
  <c r="G3" s="1"/>
  <c r="I3" s="1"/>
  <c r="B3"/>
  <c r="A3"/>
  <c r="D58" i="25"/>
  <c r="A58"/>
  <c r="C55"/>
  <c r="B55"/>
  <c r="A55"/>
  <c r="C54"/>
  <c r="B54"/>
  <c r="A54"/>
  <c r="C53"/>
  <c r="B53"/>
  <c r="A53"/>
  <c r="C52"/>
  <c r="B52"/>
  <c r="A52"/>
  <c r="C51"/>
  <c r="B51"/>
  <c r="A51"/>
  <c r="C50"/>
  <c r="B50"/>
  <c r="A50"/>
  <c r="C49"/>
  <c r="B49"/>
  <c r="A49"/>
  <c r="C48"/>
  <c r="B48"/>
  <c r="A48"/>
  <c r="C47"/>
  <c r="B47"/>
  <c r="A47"/>
  <c r="C46"/>
  <c r="B46"/>
  <c r="A46"/>
  <c r="C45"/>
  <c r="B45"/>
  <c r="A45"/>
  <c r="C44"/>
  <c r="B44"/>
  <c r="A44"/>
  <c r="C43"/>
  <c r="B43"/>
  <c r="A43"/>
  <c r="C42"/>
  <c r="B42"/>
  <c r="A42"/>
  <c r="C41"/>
  <c r="B41"/>
  <c r="A41"/>
  <c r="C40"/>
  <c r="B40"/>
  <c r="A40"/>
  <c r="C39"/>
  <c r="B39"/>
  <c r="A39"/>
  <c r="C38"/>
  <c r="B38"/>
  <c r="A38"/>
  <c r="C37"/>
  <c r="B37"/>
  <c r="A37"/>
  <c r="C36"/>
  <c r="B36"/>
  <c r="A36"/>
  <c r="C35"/>
  <c r="B35"/>
  <c r="A35"/>
  <c r="C34"/>
  <c r="B34"/>
  <c r="A34"/>
  <c r="C33"/>
  <c r="B33"/>
  <c r="A33"/>
  <c r="C32"/>
  <c r="B32"/>
  <c r="A32"/>
  <c r="C31"/>
  <c r="B31"/>
  <c r="A31"/>
  <c r="C30"/>
  <c r="B30"/>
  <c r="A30"/>
  <c r="C29"/>
  <c r="B29"/>
  <c r="A29"/>
  <c r="C28"/>
  <c r="B28"/>
  <c r="A28"/>
  <c r="C27"/>
  <c r="B27"/>
  <c r="A27"/>
  <c r="C26"/>
  <c r="B26"/>
  <c r="A26"/>
  <c r="C25"/>
  <c r="B25"/>
  <c r="A25"/>
  <c r="C24"/>
  <c r="B24"/>
  <c r="A24"/>
  <c r="C23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C2"/>
  <c r="B2"/>
  <c r="A2"/>
  <c r="K59" i="1"/>
  <c r="T16" i="9" l="1"/>
  <c r="T59" s="1"/>
  <c r="BZ59" i="24"/>
  <c r="P59" i="14"/>
  <c r="I56" i="1"/>
  <c r="G56" s="1"/>
  <c r="I55"/>
  <c r="I54"/>
  <c r="I53"/>
  <c r="I52"/>
  <c r="G52" s="1"/>
  <c r="I51"/>
  <c r="G51" s="1"/>
  <c r="I50"/>
  <c r="I49"/>
  <c r="I48"/>
  <c r="G48" s="1"/>
  <c r="I47"/>
  <c r="I46"/>
  <c r="I28" l="1"/>
  <c r="I27"/>
  <c r="G27" s="1"/>
  <c r="I26"/>
  <c r="I25"/>
  <c r="I24"/>
  <c r="G24" s="1"/>
  <c r="I23"/>
  <c r="I22"/>
  <c r="I21"/>
  <c r="I20"/>
  <c r="I19"/>
  <c r="G19" s="1"/>
  <c r="I18"/>
  <c r="I17"/>
  <c r="I16"/>
  <c r="G16" s="1"/>
  <c r="I15"/>
  <c r="I14"/>
  <c r="I13"/>
  <c r="I12"/>
  <c r="G12" s="1"/>
  <c r="I11"/>
  <c r="G11" s="1"/>
  <c r="I10"/>
  <c r="G10" s="1"/>
  <c r="I9"/>
  <c r="G9" s="1"/>
  <c r="I8"/>
  <c r="G8"/>
  <c r="I7"/>
  <c r="G7" s="1"/>
  <c r="I6"/>
  <c r="G6" s="1"/>
  <c r="I5"/>
  <c r="G5" s="1"/>
  <c r="I4" l="1"/>
  <c r="G4" s="1"/>
  <c r="I3"/>
  <c r="F59"/>
  <c r="I59" l="1"/>
  <c r="J59"/>
  <c r="G3"/>
  <c r="N3" i="5" l="1"/>
  <c r="N4"/>
  <c r="N6"/>
  <c r="N9"/>
  <c r="N10"/>
  <c r="N7"/>
  <c r="N11"/>
  <c r="N8"/>
  <c r="N12"/>
  <c r="N15"/>
  <c r="N19"/>
  <c r="N16"/>
  <c r="N20"/>
  <c r="N14"/>
  <c r="N18"/>
  <c r="N22"/>
  <c r="N26"/>
  <c r="N23"/>
  <c r="N24"/>
  <c r="N13"/>
  <c r="N17"/>
  <c r="N21"/>
  <c r="N25"/>
  <c r="N28"/>
  <c r="N32"/>
  <c r="N44"/>
  <c r="N56"/>
  <c r="N29"/>
  <c r="N37"/>
  <c r="N41"/>
  <c r="N49"/>
  <c r="N30"/>
  <c r="N34"/>
  <c r="N38"/>
  <c r="N42"/>
  <c r="N46"/>
  <c r="N50"/>
  <c r="N54"/>
  <c r="N36"/>
  <c r="N40"/>
  <c r="N48"/>
  <c r="N52"/>
  <c r="N33"/>
  <c r="N45"/>
  <c r="N53"/>
  <c r="N31"/>
  <c r="N35"/>
  <c r="N39"/>
  <c r="N43"/>
  <c r="N47"/>
  <c r="N51"/>
  <c r="N55"/>
  <c r="F59" i="17" l="1"/>
  <c r="U59" i="9" l="1"/>
  <c r="G46" i="1"/>
  <c r="G53"/>
  <c r="G49"/>
  <c r="G47"/>
  <c r="G54"/>
  <c r="G50"/>
  <c r="G55"/>
  <c r="G28"/>
  <c r="G25"/>
  <c r="G23"/>
  <c r="G21"/>
  <c r="G17"/>
  <c r="G15"/>
  <c r="G13"/>
  <c r="G26"/>
  <c r="G22"/>
  <c r="G20"/>
  <c r="G18"/>
  <c r="G14"/>
  <c r="G59" l="1"/>
  <c r="H59" l="1"/>
  <c r="H13" i="13" l="1"/>
  <c r="H3"/>
  <c r="H4"/>
  <c r="H5"/>
  <c r="H6"/>
  <c r="H7"/>
  <c r="L7" s="1"/>
  <c r="H8"/>
  <c r="H9"/>
  <c r="H10"/>
  <c r="H11"/>
  <c r="H12"/>
  <c r="H14"/>
  <c r="L14" s="1"/>
  <c r="H15"/>
  <c r="J15" s="1"/>
  <c r="I15" i="27" s="1"/>
  <c r="H16" i="13"/>
  <c r="H17"/>
  <c r="H18"/>
  <c r="H19"/>
  <c r="H20"/>
  <c r="H21"/>
  <c r="H22"/>
  <c r="H23"/>
  <c r="H24"/>
  <c r="H25"/>
  <c r="J25" s="1"/>
  <c r="I25" i="27" s="1"/>
  <c r="H26" i="13"/>
  <c r="H27"/>
  <c r="J27" s="1"/>
  <c r="N27" i="5"/>
  <c r="H28" i="13"/>
  <c r="H29"/>
  <c r="H30"/>
  <c r="H31"/>
  <c r="H32"/>
  <c r="H33"/>
  <c r="H34"/>
  <c r="H35"/>
  <c r="H36"/>
  <c r="I36" i="27" s="1"/>
  <c r="H37" i="13"/>
  <c r="L37" s="1"/>
  <c r="H38"/>
  <c r="J38" s="1"/>
  <c r="I38" i="27" s="1"/>
  <c r="H39" i="13"/>
  <c r="H40"/>
  <c r="H41"/>
  <c r="K41" s="1"/>
  <c r="H42"/>
  <c r="H43"/>
  <c r="H44"/>
  <c r="H45"/>
  <c r="H46"/>
  <c r="H47"/>
  <c r="H48"/>
  <c r="I48" i="27" s="1"/>
  <c r="H49" i="13"/>
  <c r="H50"/>
  <c r="J50" s="1"/>
  <c r="H51"/>
  <c r="H52"/>
  <c r="H53"/>
  <c r="L53" s="1"/>
  <c r="H54"/>
  <c r="H55"/>
  <c r="H56"/>
  <c r="J56" s="1"/>
  <c r="I56" i="27" s="1"/>
  <c r="N59" i="13"/>
  <c r="V4" i="26"/>
  <c r="AE4" s="1"/>
  <c r="AG4" s="1"/>
  <c r="V8"/>
  <c r="V9"/>
  <c r="AE9" s="1"/>
  <c r="V10"/>
  <c r="AE10" s="1"/>
  <c r="AG10" s="1"/>
  <c r="AE12"/>
  <c r="G13" i="27"/>
  <c r="V16" i="26"/>
  <c r="AE16" s="1"/>
  <c r="V17"/>
  <c r="AE17" s="1"/>
  <c r="AG17" s="1"/>
  <c r="V20"/>
  <c r="AE20" s="1"/>
  <c r="V21"/>
  <c r="G21" i="27" s="1"/>
  <c r="V22" i="26"/>
  <c r="V24"/>
  <c r="AE24" s="1"/>
  <c r="V25"/>
  <c r="V26"/>
  <c r="G26" i="27" s="1"/>
  <c r="AE28" i="26"/>
  <c r="AG28" s="1"/>
  <c r="V29"/>
  <c r="AE29" s="1"/>
  <c r="AG29" s="1"/>
  <c r="V32"/>
  <c r="AE32" s="1"/>
  <c r="V33"/>
  <c r="V34"/>
  <c r="AE34" s="1"/>
  <c r="AG34" s="1"/>
  <c r="V36"/>
  <c r="AE36" s="1"/>
  <c r="AG36" s="1"/>
  <c r="V37"/>
  <c r="AE37" s="1"/>
  <c r="AG37" s="1"/>
  <c r="V40"/>
  <c r="G40" i="27" s="1"/>
  <c r="V41" i="26"/>
  <c r="AE41" s="1"/>
  <c r="AG41" s="1"/>
  <c r="V42"/>
  <c r="V44"/>
  <c r="AE44" s="1"/>
  <c r="AG44" s="1"/>
  <c r="V45"/>
  <c r="G45" i="27" s="1"/>
  <c r="V46" i="26"/>
  <c r="AE46" s="1"/>
  <c r="AG46" s="1"/>
  <c r="V48"/>
  <c r="AE48" s="1"/>
  <c r="AG48" s="1"/>
  <c r="V49"/>
  <c r="AE49" s="1"/>
  <c r="AG49" s="1"/>
  <c r="V52"/>
  <c r="G52" i="27" s="1"/>
  <c r="V53" i="26"/>
  <c r="G53" i="27" s="1"/>
  <c r="AE54" i="26"/>
  <c r="AG54" s="1"/>
  <c r="V56"/>
  <c r="AE56" s="1"/>
  <c r="AG56" s="1"/>
  <c r="AF59"/>
  <c r="E5" i="27"/>
  <c r="E9"/>
  <c r="E13"/>
  <c r="E17"/>
  <c r="E21"/>
  <c r="E25"/>
  <c r="E29"/>
  <c r="E33"/>
  <c r="E37"/>
  <c r="E41"/>
  <c r="E45"/>
  <c r="E49"/>
  <c r="E53"/>
  <c r="F4"/>
  <c r="F5"/>
  <c r="F8"/>
  <c r="F9"/>
  <c r="F10"/>
  <c r="F12"/>
  <c r="F13"/>
  <c r="F16"/>
  <c r="F17"/>
  <c r="F20"/>
  <c r="F21"/>
  <c r="F22"/>
  <c r="F24"/>
  <c r="F25"/>
  <c r="F26"/>
  <c r="F28"/>
  <c r="F29"/>
  <c r="F32"/>
  <c r="F33"/>
  <c r="F34"/>
  <c r="F36"/>
  <c r="F37"/>
  <c r="F40"/>
  <c r="F41"/>
  <c r="F42"/>
  <c r="F44"/>
  <c r="F45"/>
  <c r="F46"/>
  <c r="F48"/>
  <c r="F49"/>
  <c r="F52"/>
  <c r="F53"/>
  <c r="F54"/>
  <c r="F56"/>
  <c r="L47" i="13" l="1"/>
  <c r="K47" i="27" s="1"/>
  <c r="G17"/>
  <c r="G9"/>
  <c r="I46" i="5"/>
  <c r="Q46" i="9"/>
  <c r="I34" i="5"/>
  <c r="Q34" i="9"/>
  <c r="Q16"/>
  <c r="I48" i="5"/>
  <c r="Q48" i="9"/>
  <c r="Q29"/>
  <c r="I17" i="5"/>
  <c r="Q17" i="9"/>
  <c r="G34" i="27"/>
  <c r="I41" i="5"/>
  <c r="Q41" i="9"/>
  <c r="I28" i="5"/>
  <c r="Q28" i="9"/>
  <c r="Q36"/>
  <c r="I10" i="5"/>
  <c r="Q10" i="9"/>
  <c r="I49" i="5"/>
  <c r="Q49" i="9"/>
  <c r="K37" i="27"/>
  <c r="Y37"/>
  <c r="J18"/>
  <c r="X18"/>
  <c r="J47"/>
  <c r="X47"/>
  <c r="K53"/>
  <c r="Y53"/>
  <c r="K14"/>
  <c r="Y14"/>
  <c r="J41"/>
  <c r="X41"/>
  <c r="J24"/>
  <c r="X24"/>
  <c r="K7"/>
  <c r="Y7"/>
  <c r="I4" i="5"/>
  <c r="Q4" i="9"/>
  <c r="N59" i="5"/>
  <c r="E59" i="27"/>
  <c r="G37"/>
  <c r="G46"/>
  <c r="G12"/>
  <c r="L56" i="13"/>
  <c r="AE45" i="26"/>
  <c r="AG45" s="1"/>
  <c r="F59" i="27"/>
  <c r="G29"/>
  <c r="G10"/>
  <c r="L38" i="13"/>
  <c r="L24"/>
  <c r="G41" i="27"/>
  <c r="G20"/>
  <c r="AE21" i="26"/>
  <c r="K42" i="13"/>
  <c r="I42" i="27"/>
  <c r="L42" i="13"/>
  <c r="K32"/>
  <c r="I32" i="27"/>
  <c r="L32" i="13"/>
  <c r="K34"/>
  <c r="I34" i="27"/>
  <c r="L34" i="13"/>
  <c r="K52"/>
  <c r="J52"/>
  <c r="I52" i="27" s="1"/>
  <c r="H52"/>
  <c r="L31" i="13"/>
  <c r="K31"/>
  <c r="K10"/>
  <c r="I10" i="27"/>
  <c r="K44" i="13"/>
  <c r="L44"/>
  <c r="I44" i="27"/>
  <c r="K30" i="13"/>
  <c r="L30"/>
  <c r="I30" i="27"/>
  <c r="J8" i="13"/>
  <c r="I8" i="27" s="1"/>
  <c r="L52" i="13"/>
  <c r="L10"/>
  <c r="G33" i="27"/>
  <c r="AE33" i="26"/>
  <c r="AE22"/>
  <c r="AG22" s="1"/>
  <c r="G22" i="27"/>
  <c r="K54" i="13"/>
  <c r="L54"/>
  <c r="I54" i="27"/>
  <c r="K46" i="13"/>
  <c r="K40"/>
  <c r="L40"/>
  <c r="I40" i="27"/>
  <c r="K28" i="13"/>
  <c r="K23"/>
  <c r="AE42" i="26"/>
  <c r="AG42" s="1"/>
  <c r="G42" i="27"/>
  <c r="G25"/>
  <c r="AE25" i="26"/>
  <c r="AG25" s="1"/>
  <c r="G8" i="27"/>
  <c r="AE8" i="26"/>
  <c r="K48" i="13"/>
  <c r="L48"/>
  <c r="K36"/>
  <c r="L36"/>
  <c r="L25"/>
  <c r="L21"/>
  <c r="I21" i="27"/>
  <c r="K19" i="13"/>
  <c r="J19"/>
  <c r="I19" i="27" s="1"/>
  <c r="K6" i="13"/>
  <c r="L6"/>
  <c r="J6"/>
  <c r="I6" i="27" s="1"/>
  <c r="K4" i="13"/>
  <c r="L4"/>
  <c r="K13"/>
  <c r="L13"/>
  <c r="I13" i="27"/>
  <c r="W56"/>
  <c r="L50" i="13"/>
  <c r="K27"/>
  <c r="L27"/>
  <c r="K17"/>
  <c r="L17"/>
  <c r="I17" i="27"/>
  <c r="L15" i="13"/>
  <c r="L12"/>
  <c r="J12"/>
  <c r="I12" i="27" s="1"/>
  <c r="G28"/>
  <c r="V59" i="26"/>
  <c r="V72" s="1"/>
  <c r="AE72" s="1"/>
  <c r="I46" i="27"/>
  <c r="I28"/>
  <c r="I23"/>
  <c r="L46" i="13"/>
  <c r="H44" i="27"/>
  <c r="L28" i="13"/>
  <c r="L23"/>
  <c r="L8"/>
  <c r="G49" i="27"/>
  <c r="AE53" i="26"/>
  <c r="AG53" s="1"/>
  <c r="W48" i="27"/>
  <c r="W25"/>
  <c r="L19" i="13"/>
  <c r="I4" i="27"/>
  <c r="K7" i="13"/>
  <c r="G54" i="27"/>
  <c r="G44"/>
  <c r="G36"/>
  <c r="G16"/>
  <c r="G4"/>
  <c r="I35"/>
  <c r="K35" i="13"/>
  <c r="L35"/>
  <c r="J11"/>
  <c r="I11" i="27" s="1"/>
  <c r="L11" i="13"/>
  <c r="J51"/>
  <c r="I51" i="27" s="1"/>
  <c r="K51" i="13"/>
  <c r="L51"/>
  <c r="I20" i="27"/>
  <c r="K20" i="13"/>
  <c r="L20"/>
  <c r="K3"/>
  <c r="X3" i="27" s="1"/>
  <c r="L3" i="13"/>
  <c r="Y3" i="27" s="1"/>
  <c r="I55"/>
  <c r="I49"/>
  <c r="L49" i="13"/>
  <c r="I45" i="27"/>
  <c r="K45" i="13"/>
  <c r="I39" i="27"/>
  <c r="I33"/>
  <c r="L33" i="13"/>
  <c r="J29"/>
  <c r="I29" i="27" s="1"/>
  <c r="J26" i="13"/>
  <c r="I26" i="27" s="1"/>
  <c r="L26" i="13"/>
  <c r="I22" i="27"/>
  <c r="K22" i="13"/>
  <c r="I16" i="27"/>
  <c r="J9" i="13"/>
  <c r="I9" i="27" s="1"/>
  <c r="L9" i="13"/>
  <c r="J5"/>
  <c r="I5" i="27" s="1"/>
  <c r="G59" i="13"/>
  <c r="G56" i="27"/>
  <c r="G48"/>
  <c r="G32"/>
  <c r="G24"/>
  <c r="G5"/>
  <c r="AE52" i="26"/>
  <c r="AG52" s="1"/>
  <c r="AE40"/>
  <c r="AG40" s="1"/>
  <c r="AE26"/>
  <c r="AG26" s="1"/>
  <c r="AE13"/>
  <c r="AE5"/>
  <c r="K55" i="13"/>
  <c r="K49"/>
  <c r="L45"/>
  <c r="K39"/>
  <c r="K33"/>
  <c r="L29"/>
  <c r="L22"/>
  <c r="K16"/>
  <c r="L5"/>
  <c r="I43" i="27"/>
  <c r="K43" i="13"/>
  <c r="L43"/>
  <c r="I53" i="27"/>
  <c r="I50"/>
  <c r="J47" i="13"/>
  <c r="I47" i="27" s="1"/>
  <c r="I41"/>
  <c r="L41" i="13"/>
  <c r="J37"/>
  <c r="I37" i="27" s="1"/>
  <c r="I31"/>
  <c r="I27"/>
  <c r="J24" i="13"/>
  <c r="I24" i="27" s="1"/>
  <c r="I18"/>
  <c r="L18" i="13"/>
  <c r="I14" i="27"/>
  <c r="K14" i="13"/>
  <c r="H12" i="27"/>
  <c r="I7"/>
  <c r="H59" i="13"/>
  <c r="L55"/>
  <c r="L39"/>
  <c r="L16"/>
  <c r="R11" i="9"/>
  <c r="R46"/>
  <c r="R44"/>
  <c r="R40"/>
  <c r="R6"/>
  <c r="R4"/>
  <c r="R18"/>
  <c r="R47"/>
  <c r="R45"/>
  <c r="R43"/>
  <c r="R57"/>
  <c r="R17"/>
  <c r="R16"/>
  <c r="R7"/>
  <c r="R26"/>
  <c r="R13"/>
  <c r="R39"/>
  <c r="R19"/>
  <c r="R5"/>
  <c r="R22"/>
  <c r="R14"/>
  <c r="R54"/>
  <c r="R38"/>
  <c r="W40" i="27" l="1"/>
  <c r="Y47"/>
  <c r="I52" i="5"/>
  <c r="Q52" i="9"/>
  <c r="I40" i="5"/>
  <c r="Q40" i="9"/>
  <c r="I45" i="5"/>
  <c r="Q45" i="9"/>
  <c r="I26" i="5"/>
  <c r="Q26" i="9"/>
  <c r="I25" i="5"/>
  <c r="Q25" i="9"/>
  <c r="Q22"/>
  <c r="Q21"/>
  <c r="I53" i="5"/>
  <c r="Q53" i="9"/>
  <c r="O52" i="13"/>
  <c r="L52" i="9" s="1"/>
  <c r="W14" i="27"/>
  <c r="W31"/>
  <c r="W5"/>
  <c r="W23"/>
  <c r="W47"/>
  <c r="W22"/>
  <c r="W55"/>
  <c r="W20"/>
  <c r="W51"/>
  <c r="W17"/>
  <c r="W12"/>
  <c r="W3"/>
  <c r="K16"/>
  <c r="Y16"/>
  <c r="K22"/>
  <c r="Y22"/>
  <c r="K11"/>
  <c r="Y11"/>
  <c r="J12"/>
  <c r="X12"/>
  <c r="K27"/>
  <c r="Y27"/>
  <c r="K21"/>
  <c r="Y21"/>
  <c r="K40"/>
  <c r="Y40"/>
  <c r="K31"/>
  <c r="Y31"/>
  <c r="K38"/>
  <c r="Y38"/>
  <c r="J16"/>
  <c r="X16"/>
  <c r="J33"/>
  <c r="X33"/>
  <c r="J5"/>
  <c r="X5"/>
  <c r="J22"/>
  <c r="X22"/>
  <c r="H13"/>
  <c r="W13"/>
  <c r="K46"/>
  <c r="Y46"/>
  <c r="J15"/>
  <c r="X15"/>
  <c r="J38"/>
  <c r="X38"/>
  <c r="H19"/>
  <c r="W19"/>
  <c r="J25"/>
  <c r="X25"/>
  <c r="J8"/>
  <c r="X8"/>
  <c r="J52"/>
  <c r="X52"/>
  <c r="H34"/>
  <c r="W34"/>
  <c r="H42"/>
  <c r="W42"/>
  <c r="K24"/>
  <c r="Y24"/>
  <c r="K55"/>
  <c r="Y55"/>
  <c r="K29"/>
  <c r="Y29"/>
  <c r="K39"/>
  <c r="Y39"/>
  <c r="K41"/>
  <c r="Y41"/>
  <c r="J53"/>
  <c r="X53"/>
  <c r="K43"/>
  <c r="Y43"/>
  <c r="K5"/>
  <c r="Y5"/>
  <c r="J26"/>
  <c r="X26"/>
  <c r="K45"/>
  <c r="Y45"/>
  <c r="J29"/>
  <c r="X29"/>
  <c r="K49"/>
  <c r="Y49"/>
  <c r="J11"/>
  <c r="X11"/>
  <c r="J35"/>
  <c r="X35"/>
  <c r="K19"/>
  <c r="Y19"/>
  <c r="H54"/>
  <c r="W54"/>
  <c r="K15"/>
  <c r="Y15"/>
  <c r="J27"/>
  <c r="X27"/>
  <c r="J50"/>
  <c r="X50"/>
  <c r="K6"/>
  <c r="Y6"/>
  <c r="J19"/>
  <c r="X19"/>
  <c r="J21"/>
  <c r="X21"/>
  <c r="J36"/>
  <c r="X36"/>
  <c r="J40"/>
  <c r="X40"/>
  <c r="K54"/>
  <c r="Y54"/>
  <c r="K30"/>
  <c r="Y30"/>
  <c r="J44"/>
  <c r="X44"/>
  <c r="J34"/>
  <c r="X34"/>
  <c r="J32"/>
  <c r="X32"/>
  <c r="J42"/>
  <c r="X42"/>
  <c r="H50"/>
  <c r="W50"/>
  <c r="W18"/>
  <c r="W37"/>
  <c r="W45"/>
  <c r="W6"/>
  <c r="W41"/>
  <c r="W53"/>
  <c r="W24"/>
  <c r="W16"/>
  <c r="W33"/>
  <c r="W30"/>
  <c r="W4"/>
  <c r="W28"/>
  <c r="W8"/>
  <c r="W52"/>
  <c r="J39"/>
  <c r="X39"/>
  <c r="K33"/>
  <c r="Y33"/>
  <c r="K35"/>
  <c r="Y35"/>
  <c r="K28"/>
  <c r="Y28"/>
  <c r="K50"/>
  <c r="Y50"/>
  <c r="K4"/>
  <c r="Y4"/>
  <c r="K36"/>
  <c r="Y36"/>
  <c r="J23"/>
  <c r="X23"/>
  <c r="K44"/>
  <c r="Y44"/>
  <c r="H10"/>
  <c r="W10"/>
  <c r="J14"/>
  <c r="X14"/>
  <c r="J55"/>
  <c r="X55"/>
  <c r="J20"/>
  <c r="X20"/>
  <c r="J51"/>
  <c r="X51"/>
  <c r="H36"/>
  <c r="W36"/>
  <c r="K23"/>
  <c r="Y23"/>
  <c r="K12"/>
  <c r="Y12"/>
  <c r="J17"/>
  <c r="X17"/>
  <c r="J56"/>
  <c r="X56"/>
  <c r="J13"/>
  <c r="X13"/>
  <c r="J48"/>
  <c r="X48"/>
  <c r="J46"/>
  <c r="X46"/>
  <c r="K52"/>
  <c r="Y52"/>
  <c r="J31"/>
  <c r="X31"/>
  <c r="K18"/>
  <c r="Y18"/>
  <c r="J37"/>
  <c r="X37"/>
  <c r="J43"/>
  <c r="X43"/>
  <c r="J9"/>
  <c r="X9"/>
  <c r="J49"/>
  <c r="X49"/>
  <c r="K9"/>
  <c r="Y9"/>
  <c r="K26"/>
  <c r="Y26"/>
  <c r="J45"/>
  <c r="X45"/>
  <c r="K20"/>
  <c r="Y20"/>
  <c r="K51"/>
  <c r="Y51"/>
  <c r="J7"/>
  <c r="X7"/>
  <c r="K8"/>
  <c r="Y8"/>
  <c r="H15"/>
  <c r="W15"/>
  <c r="K17"/>
  <c r="Y17"/>
  <c r="H38"/>
  <c r="W38"/>
  <c r="K13"/>
  <c r="Y13"/>
  <c r="J4"/>
  <c r="X4"/>
  <c r="J6"/>
  <c r="X6"/>
  <c r="H21"/>
  <c r="W21"/>
  <c r="K25"/>
  <c r="Y25"/>
  <c r="K48"/>
  <c r="Y48"/>
  <c r="J28"/>
  <c r="X28"/>
  <c r="J54"/>
  <c r="X54"/>
  <c r="K10"/>
  <c r="Y10"/>
  <c r="J30"/>
  <c r="X30"/>
  <c r="J10"/>
  <c r="X10"/>
  <c r="K34"/>
  <c r="Y34"/>
  <c r="K32"/>
  <c r="Y32"/>
  <c r="K42"/>
  <c r="Y42"/>
  <c r="K56"/>
  <c r="Y56"/>
  <c r="H27"/>
  <c r="W27"/>
  <c r="W7"/>
  <c r="W43"/>
  <c r="W9"/>
  <c r="W26"/>
  <c r="W39"/>
  <c r="W32"/>
  <c r="W29"/>
  <c r="W49"/>
  <c r="W11"/>
  <c r="W35"/>
  <c r="W44"/>
  <c r="W46"/>
  <c r="O54" i="13"/>
  <c r="O44"/>
  <c r="O4"/>
  <c r="O28"/>
  <c r="O21"/>
  <c r="H28" i="27"/>
  <c r="O15" i="13"/>
  <c r="H4" i="27"/>
  <c r="H25"/>
  <c r="O25" i="13"/>
  <c r="H30" i="27"/>
  <c r="O30" i="13"/>
  <c r="H17" i="27"/>
  <c r="O17" i="13"/>
  <c r="L17" i="9" s="1"/>
  <c r="H23" i="27"/>
  <c r="O23" i="13"/>
  <c r="H32" i="27"/>
  <c r="O32" i="13"/>
  <c r="H8" i="27"/>
  <c r="O8" i="13"/>
  <c r="O10"/>
  <c r="O27"/>
  <c r="O34"/>
  <c r="O50"/>
  <c r="H6" i="27"/>
  <c r="O6" i="13"/>
  <c r="H48" i="27"/>
  <c r="O48" i="13"/>
  <c r="H40" i="27"/>
  <c r="O40" i="13"/>
  <c r="H56" i="27"/>
  <c r="O56" i="13"/>
  <c r="H46" i="27"/>
  <c r="O46" i="13"/>
  <c r="O12"/>
  <c r="O36"/>
  <c r="O38"/>
  <c r="AG59" i="26"/>
  <c r="O13" i="13"/>
  <c r="O19"/>
  <c r="O42"/>
  <c r="H7" i="27"/>
  <c r="O7" i="13"/>
  <c r="H14" i="27"/>
  <c r="O14" i="13"/>
  <c r="H18" i="27"/>
  <c r="O18" i="13"/>
  <c r="H31" i="27"/>
  <c r="O31" i="13"/>
  <c r="H37" i="27"/>
  <c r="O37" i="13"/>
  <c r="H41" i="27"/>
  <c r="O41" i="13"/>
  <c r="I3" i="27"/>
  <c r="J59" i="13"/>
  <c r="H51" i="27"/>
  <c r="O51" i="13"/>
  <c r="H47" i="27"/>
  <c r="O47" i="13"/>
  <c r="H53" i="27"/>
  <c r="O53" i="13"/>
  <c r="H39" i="27"/>
  <c r="O39" i="13"/>
  <c r="H45" i="27"/>
  <c r="O45" i="13"/>
  <c r="H49" i="27"/>
  <c r="O49" i="13"/>
  <c r="H20" i="27"/>
  <c r="O20" i="13"/>
  <c r="J3" i="27"/>
  <c r="K59" i="13"/>
  <c r="H11" i="27"/>
  <c r="O11" i="13"/>
  <c r="AE59" i="26"/>
  <c r="H29" i="27"/>
  <c r="O29" i="13"/>
  <c r="H33" i="27"/>
  <c r="O33" i="13"/>
  <c r="K3" i="27"/>
  <c r="L59" i="13"/>
  <c r="H24" i="27"/>
  <c r="O24" i="13"/>
  <c r="H43" i="27"/>
  <c r="O43" i="13"/>
  <c r="H5" i="27"/>
  <c r="O5" i="13"/>
  <c r="H9" i="27"/>
  <c r="O9" i="13"/>
  <c r="H16" i="27"/>
  <c r="O16" i="13"/>
  <c r="H22" i="27"/>
  <c r="O22" i="13"/>
  <c r="H26" i="27"/>
  <c r="O26" i="13"/>
  <c r="H55" i="27"/>
  <c r="O55" i="13"/>
  <c r="H3" i="27"/>
  <c r="O3" i="13"/>
  <c r="L3" i="9" s="1"/>
  <c r="N3" i="1" s="1"/>
  <c r="I59" i="13"/>
  <c r="H35" i="27"/>
  <c r="O35" i="13"/>
  <c r="G59" i="27"/>
  <c r="R48" i="9"/>
  <c r="R9"/>
  <c r="R12"/>
  <c r="R41"/>
  <c r="R8"/>
  <c r="R52"/>
  <c r="R23"/>
  <c r="R55"/>
  <c r="R56"/>
  <c r="R25"/>
  <c r="R21"/>
  <c r="R27"/>
  <c r="R53"/>
  <c r="R49"/>
  <c r="R20"/>
  <c r="R58"/>
  <c r="R42"/>
  <c r="C59" i="17"/>
  <c r="R10" i="9"/>
  <c r="R15"/>
  <c r="Q59" l="1"/>
  <c r="I59" i="5"/>
  <c r="M52" i="13"/>
  <c r="E52" i="1" s="1"/>
  <c r="L52" s="1"/>
  <c r="M22" i="13"/>
  <c r="E22" i="1" s="1"/>
  <c r="L22" s="1"/>
  <c r="L22" i="9"/>
  <c r="N22" i="1" s="1"/>
  <c r="M43" i="13"/>
  <c r="E43" i="1" s="1"/>
  <c r="L43" s="1"/>
  <c r="L43" i="9"/>
  <c r="M33" i="13"/>
  <c r="L33" i="9"/>
  <c r="M20" i="13"/>
  <c r="E20" i="1" s="1"/>
  <c r="L20" s="1"/>
  <c r="L20" i="9"/>
  <c r="N20" i="1" s="1"/>
  <c r="M45" i="13"/>
  <c r="E45" i="1" s="1"/>
  <c r="L45" s="1"/>
  <c r="O45" s="1"/>
  <c r="L45" i="9"/>
  <c r="M37" i="13"/>
  <c r="E37" i="1" s="1"/>
  <c r="L37" s="1"/>
  <c r="L37" i="9"/>
  <c r="N37" i="1" s="1"/>
  <c r="M7" i="13"/>
  <c r="E7" i="1" s="1"/>
  <c r="L7" s="1"/>
  <c r="L7" i="9"/>
  <c r="M46" i="13"/>
  <c r="E46" i="1" s="1"/>
  <c r="L46" s="1"/>
  <c r="L46" i="9"/>
  <c r="M6" i="13"/>
  <c r="E6" i="1" s="1"/>
  <c r="L6" s="1"/>
  <c r="L6" i="9"/>
  <c r="N6" i="1" s="1"/>
  <c r="M35" i="13"/>
  <c r="E35" i="1" s="1"/>
  <c r="L35" s="1"/>
  <c r="L35" i="9"/>
  <c r="N35" i="1" s="1"/>
  <c r="O35" s="1"/>
  <c r="M10" i="13"/>
  <c r="E10" i="1" s="1"/>
  <c r="L10" s="1"/>
  <c r="L10" i="9"/>
  <c r="N10" i="1" s="1"/>
  <c r="M54" i="13"/>
  <c r="E54" i="1" s="1"/>
  <c r="L54" s="1"/>
  <c r="L54" i="9"/>
  <c r="N54" i="1" s="1"/>
  <c r="F3" i="5"/>
  <c r="H3" s="1"/>
  <c r="I3" i="18"/>
  <c r="M26" i="13"/>
  <c r="E26" i="1" s="1"/>
  <c r="L26" s="1"/>
  <c r="L26" i="9"/>
  <c r="M16" i="13"/>
  <c r="E16" i="1" s="1"/>
  <c r="L16" s="1"/>
  <c r="L16" i="9"/>
  <c r="N16" i="1" s="1"/>
  <c r="M9" i="13"/>
  <c r="E9" i="1" s="1"/>
  <c r="L9" s="1"/>
  <c r="L9" i="9"/>
  <c r="N9" i="1" s="1"/>
  <c r="M29" i="13"/>
  <c r="E29" i="1" s="1"/>
  <c r="L29" s="1"/>
  <c r="L29" i="9"/>
  <c r="N29" i="1" s="1"/>
  <c r="M49" i="13"/>
  <c r="E49" i="1" s="1"/>
  <c r="L49" s="1"/>
  <c r="L49" i="9"/>
  <c r="M39" i="13"/>
  <c r="E39" i="1" s="1"/>
  <c r="L39" s="1"/>
  <c r="L39" i="9"/>
  <c r="M53" i="13"/>
  <c r="E53" i="1" s="1"/>
  <c r="L53" s="1"/>
  <c r="L53" i="9"/>
  <c r="M51" i="13"/>
  <c r="E51" i="1" s="1"/>
  <c r="L51" s="1"/>
  <c r="L51" i="9"/>
  <c r="N51" i="1" s="1"/>
  <c r="M41" i="13"/>
  <c r="E41" i="1" s="1"/>
  <c r="L41" s="1"/>
  <c r="L41" i="9"/>
  <c r="M31" i="13"/>
  <c r="E31" i="1" s="1"/>
  <c r="L31" s="1"/>
  <c r="L31" i="9"/>
  <c r="M14" i="13"/>
  <c r="E14" i="1" s="1"/>
  <c r="L14" s="1"/>
  <c r="L14" i="9"/>
  <c r="N14" i="1" s="1"/>
  <c r="M13" i="13"/>
  <c r="E13" i="1" s="1"/>
  <c r="L13" s="1"/>
  <c r="L13" i="9"/>
  <c r="N13" i="1" s="1"/>
  <c r="M36" i="13"/>
  <c r="E36" i="1" s="1"/>
  <c r="L36" s="1"/>
  <c r="L36" i="9"/>
  <c r="M56" i="13"/>
  <c r="E56" i="1" s="1"/>
  <c r="L56" s="1"/>
  <c r="L56" i="9"/>
  <c r="N56" i="1" s="1"/>
  <c r="M27" i="13"/>
  <c r="E27" i="1" s="1"/>
  <c r="L27" s="1"/>
  <c r="C27" i="23" s="1"/>
  <c r="E27" s="1"/>
  <c r="L27" i="9"/>
  <c r="N27" i="1" s="1"/>
  <c r="M15" i="13"/>
  <c r="E15" i="1" s="1"/>
  <c r="L15" s="1"/>
  <c r="L15" i="9"/>
  <c r="N15" i="1" s="1"/>
  <c r="M21" i="13"/>
  <c r="E21" i="1" s="1"/>
  <c r="L21" s="1"/>
  <c r="L21" i="9"/>
  <c r="N21" i="1" s="1"/>
  <c r="J59" i="27"/>
  <c r="M55" i="13"/>
  <c r="E55" i="1" s="1"/>
  <c r="L55" i="9"/>
  <c r="M5" i="13"/>
  <c r="E5" i="1" s="1"/>
  <c r="L5" s="1"/>
  <c r="L5" i="9"/>
  <c r="N5" i="1" s="1"/>
  <c r="M24" i="13"/>
  <c r="E24" i="1" s="1"/>
  <c r="L24" s="1"/>
  <c r="L24" i="9"/>
  <c r="M11" i="13"/>
  <c r="E11" i="1" s="1"/>
  <c r="L11" s="1"/>
  <c r="L11" i="9"/>
  <c r="N11" i="1" s="1"/>
  <c r="M47" i="13"/>
  <c r="E47" i="1" s="1"/>
  <c r="L47" s="1"/>
  <c r="L47" i="9"/>
  <c r="N47" i="1" s="1"/>
  <c r="M18" i="13"/>
  <c r="E18" i="1" s="1"/>
  <c r="L18" s="1"/>
  <c r="L18" i="9"/>
  <c r="M42" i="13"/>
  <c r="E42" i="1" s="1"/>
  <c r="L42" s="1"/>
  <c r="L42" i="9"/>
  <c r="N42" i="1" s="1"/>
  <c r="M40" i="13"/>
  <c r="E40" i="1" s="1"/>
  <c r="L40" s="1"/>
  <c r="L40" i="9"/>
  <c r="M48" i="13"/>
  <c r="E48" i="1" s="1"/>
  <c r="L48" s="1"/>
  <c r="L48" i="9"/>
  <c r="M50" i="13"/>
  <c r="E50" i="1" s="1"/>
  <c r="L50" s="1"/>
  <c r="L50" i="9"/>
  <c r="N50" i="1" s="1"/>
  <c r="M4" i="13"/>
  <c r="E4" i="1" s="1"/>
  <c r="L4" s="1"/>
  <c r="L4" i="9"/>
  <c r="M12" i="13"/>
  <c r="E12" i="1" s="1"/>
  <c r="L12" s="1"/>
  <c r="L12" i="9"/>
  <c r="N12" i="1" s="1"/>
  <c r="M32" i="13"/>
  <c r="E32" i="1" s="1"/>
  <c r="L32" s="1"/>
  <c r="L32" i="9"/>
  <c r="N32" i="1" s="1"/>
  <c r="O32" s="1"/>
  <c r="M17" i="13"/>
  <c r="E17" i="1" s="1"/>
  <c r="L17" s="1"/>
  <c r="C17" i="23" s="1"/>
  <c r="M25" i="13"/>
  <c r="E25" i="1" s="1"/>
  <c r="L25" s="1"/>
  <c r="L25" i="9"/>
  <c r="M28" i="13"/>
  <c r="E28" i="1" s="1"/>
  <c r="L28" s="1"/>
  <c r="L28" i="9"/>
  <c r="N28" i="1" s="1"/>
  <c r="M19" i="13"/>
  <c r="E19" i="1" s="1"/>
  <c r="L19" s="1"/>
  <c r="L19" i="9"/>
  <c r="N19" i="1" s="1"/>
  <c r="M38" i="13"/>
  <c r="E38" i="1" s="1"/>
  <c r="L38" s="1"/>
  <c r="L38" i="9"/>
  <c r="N38" i="1" s="1"/>
  <c r="M34" i="13"/>
  <c r="E34" i="1" s="1"/>
  <c r="L34" s="1"/>
  <c r="O34" s="1"/>
  <c r="M8" i="13"/>
  <c r="E8" i="1" s="1"/>
  <c r="L8" s="1"/>
  <c r="L8" i="9"/>
  <c r="N8" i="1" s="1"/>
  <c r="M23" i="13"/>
  <c r="E23" i="1" s="1"/>
  <c r="L23" s="1"/>
  <c r="L23" i="9"/>
  <c r="M30" i="13"/>
  <c r="E30" i="1" s="1"/>
  <c r="L30" s="1"/>
  <c r="L30" i="9"/>
  <c r="N30" i="1" s="1"/>
  <c r="M44" i="13"/>
  <c r="E44" i="1" s="1"/>
  <c r="L44" s="1"/>
  <c r="L44" i="9"/>
  <c r="N44" i="1" s="1"/>
  <c r="P52" i="9"/>
  <c r="F52" i="5"/>
  <c r="H52" s="1"/>
  <c r="I52" i="18"/>
  <c r="K59" i="27"/>
  <c r="R50" i="9"/>
  <c r="R24"/>
  <c r="I59" i="27"/>
  <c r="O59" i="13"/>
  <c r="M3"/>
  <c r="R51" i="9"/>
  <c r="H59" i="27"/>
  <c r="E59" i="17"/>
  <c r="R3" i="9"/>
  <c r="O37" i="1" l="1"/>
  <c r="N24"/>
  <c r="O24" s="1"/>
  <c r="N39"/>
  <c r="O39" s="1"/>
  <c r="O44"/>
  <c r="O44" i="9" s="1"/>
  <c r="O31" i="1"/>
  <c r="O32" i="9"/>
  <c r="O40" i="1"/>
  <c r="O38"/>
  <c r="O36"/>
  <c r="O41"/>
  <c r="O41" i="9" s="1"/>
  <c r="O30" i="1"/>
  <c r="O29"/>
  <c r="O42"/>
  <c r="E33"/>
  <c r="L33" s="1"/>
  <c r="O33" s="1"/>
  <c r="O43"/>
  <c r="W52" i="5"/>
  <c r="C25" i="23"/>
  <c r="C52"/>
  <c r="C36"/>
  <c r="C31"/>
  <c r="C41"/>
  <c r="C49"/>
  <c r="C53"/>
  <c r="C26"/>
  <c r="C46"/>
  <c r="C7"/>
  <c r="C28"/>
  <c r="C40"/>
  <c r="C18"/>
  <c r="F36" i="5"/>
  <c r="H36" s="1"/>
  <c r="W36" s="1"/>
  <c r="I36" i="18"/>
  <c r="P36" i="9"/>
  <c r="P31"/>
  <c r="I31" i="18"/>
  <c r="F31" i="5"/>
  <c r="H31" s="1"/>
  <c r="W31" s="1"/>
  <c r="F51"/>
  <c r="H51" s="1"/>
  <c r="W51" s="1"/>
  <c r="I51" i="18"/>
  <c r="F39" i="5"/>
  <c r="H39" s="1"/>
  <c r="W39" s="1"/>
  <c r="I39" i="18"/>
  <c r="I10"/>
  <c r="F10" i="5"/>
  <c r="H10" s="1"/>
  <c r="W10" s="1"/>
  <c r="O10" i="1"/>
  <c r="O10" i="9" s="1"/>
  <c r="F7" i="5"/>
  <c r="H7" s="1"/>
  <c r="W7" s="1"/>
  <c r="P7" i="9"/>
  <c r="I7" i="18"/>
  <c r="F43" i="5"/>
  <c r="H43" s="1"/>
  <c r="W43" s="1"/>
  <c r="I43" i="18"/>
  <c r="P43" i="9"/>
  <c r="H52" i="18"/>
  <c r="P52" i="10" s="1"/>
  <c r="O52" i="1"/>
  <c r="O52" i="9" s="1"/>
  <c r="M52" i="5" s="1"/>
  <c r="P23" i="9"/>
  <c r="F23" i="5"/>
  <c r="H23" s="1"/>
  <c r="W23" s="1"/>
  <c r="I23" i="18"/>
  <c r="O23" i="1"/>
  <c r="O23" i="9" s="1"/>
  <c r="I19" i="18"/>
  <c r="F19" i="5"/>
  <c r="H19" s="1"/>
  <c r="W19" s="1"/>
  <c r="O25" i="1"/>
  <c r="O25" i="9" s="1"/>
  <c r="F25" i="5"/>
  <c r="H25" s="1"/>
  <c r="W25" s="1"/>
  <c r="I25" i="18"/>
  <c r="H12" i="5"/>
  <c r="W12" s="1"/>
  <c r="I12" i="18"/>
  <c r="O12" i="1"/>
  <c r="O12" i="9" s="1"/>
  <c r="I48" i="18"/>
  <c r="P48" i="9"/>
  <c r="F48" i="5"/>
  <c r="H48" s="1"/>
  <c r="W48" s="1"/>
  <c r="F47"/>
  <c r="H47" s="1"/>
  <c r="W47" s="1"/>
  <c r="I47" i="18"/>
  <c r="O11" i="1"/>
  <c r="O11" i="9" s="1"/>
  <c r="H11" i="5"/>
  <c r="W11" s="1"/>
  <c r="I11" i="18"/>
  <c r="F5" i="5"/>
  <c r="H5" s="1"/>
  <c r="W5" s="1"/>
  <c r="I5" i="18"/>
  <c r="O5" i="1"/>
  <c r="O5" i="9" s="1"/>
  <c r="I30" i="18"/>
  <c r="F30" i="5"/>
  <c r="H30" s="1"/>
  <c r="W30" s="1"/>
  <c r="I8" i="18"/>
  <c r="F8" i="5"/>
  <c r="H8" s="1"/>
  <c r="W8" s="1"/>
  <c r="F38"/>
  <c r="H38" s="1"/>
  <c r="W38" s="1"/>
  <c r="I38" i="18"/>
  <c r="I28"/>
  <c r="F28" i="5"/>
  <c r="H28" s="1"/>
  <c r="W28" s="1"/>
  <c r="P17" i="9"/>
  <c r="I17" i="18"/>
  <c r="F17" i="5"/>
  <c r="H17" s="1"/>
  <c r="W17" s="1"/>
  <c r="F50"/>
  <c r="H50" s="1"/>
  <c r="W50" s="1"/>
  <c r="I50" i="18"/>
  <c r="I40"/>
  <c r="P40" i="9"/>
  <c r="F40" i="5"/>
  <c r="H40" s="1"/>
  <c r="W40" s="1"/>
  <c r="P18" i="9"/>
  <c r="I18" i="18"/>
  <c r="F18" i="5"/>
  <c r="H18" s="1"/>
  <c r="W18" s="1"/>
  <c r="C4" i="23"/>
  <c r="L55" i="1"/>
  <c r="I15" i="18"/>
  <c r="F15" i="5"/>
  <c r="H15" s="1"/>
  <c r="W15" s="1"/>
  <c r="F53"/>
  <c r="H53" s="1"/>
  <c r="W53" s="1"/>
  <c r="I53" i="18"/>
  <c r="P53" i="9"/>
  <c r="I29" i="18"/>
  <c r="F29" i="5"/>
  <c r="H29" s="1"/>
  <c r="W29" s="1"/>
  <c r="F9"/>
  <c r="H9" s="1"/>
  <c r="W9" s="1"/>
  <c r="I9" i="18"/>
  <c r="P26" i="9"/>
  <c r="F26" i="5"/>
  <c r="H26" s="1"/>
  <c r="W26" s="1"/>
  <c r="I26" i="18"/>
  <c r="I35"/>
  <c r="F35" i="5"/>
  <c r="H35" s="1"/>
  <c r="W35" s="1"/>
  <c r="I46" i="18"/>
  <c r="P46" i="9"/>
  <c r="F46" i="5"/>
  <c r="H46" s="1"/>
  <c r="W46" s="1"/>
  <c r="P45" i="9"/>
  <c r="I45" i="18"/>
  <c r="F45" i="5"/>
  <c r="H45" s="1"/>
  <c r="W45" s="1"/>
  <c r="I44" i="18"/>
  <c r="F44" i="5"/>
  <c r="H44" s="1"/>
  <c r="W44" s="1"/>
  <c r="O34" i="9"/>
  <c r="F34" i="5"/>
  <c r="H34" s="1"/>
  <c r="W34" s="1"/>
  <c r="I34" i="18"/>
  <c r="F32" i="5"/>
  <c r="H32" s="1"/>
  <c r="W32" s="1"/>
  <c r="I32" i="18"/>
  <c r="O4" i="1"/>
  <c r="O4" i="9" s="1"/>
  <c r="P4"/>
  <c r="F4" i="5"/>
  <c r="H4" s="1"/>
  <c r="W4" s="1"/>
  <c r="I4" i="18"/>
  <c r="I42"/>
  <c r="F42" i="5"/>
  <c r="H42" s="1"/>
  <c r="W42" s="1"/>
  <c r="F24"/>
  <c r="H24" s="1"/>
  <c r="W24" s="1"/>
  <c r="I24" i="18"/>
  <c r="F55" i="5"/>
  <c r="H55" s="1"/>
  <c r="I55" i="18"/>
  <c r="P55" i="9"/>
  <c r="K3"/>
  <c r="H3" i="18" s="1"/>
  <c r="H21" i="5"/>
  <c r="W21" s="1"/>
  <c r="I21" i="18"/>
  <c r="P27" i="9"/>
  <c r="I27" i="18"/>
  <c r="F27" i="5"/>
  <c r="H27" s="1"/>
  <c r="W27" s="1"/>
  <c r="F56"/>
  <c r="H56" s="1"/>
  <c r="W56" s="1"/>
  <c r="I56" i="18"/>
  <c r="I13"/>
  <c r="F13" i="5"/>
  <c r="H13" s="1"/>
  <c r="W13" s="1"/>
  <c r="O13" i="1"/>
  <c r="O13" i="9" s="1"/>
  <c r="F14" i="5"/>
  <c r="H14" s="1"/>
  <c r="W14" s="1"/>
  <c r="I14" i="18"/>
  <c r="P41" i="9"/>
  <c r="F41" i="5"/>
  <c r="H41" s="1"/>
  <c r="W41" s="1"/>
  <c r="I41" i="18"/>
  <c r="P49" i="9"/>
  <c r="F49" i="5"/>
  <c r="H49" s="1"/>
  <c r="W49" s="1"/>
  <c r="I49" i="18"/>
  <c r="I16"/>
  <c r="O16" i="1"/>
  <c r="O16" i="9" s="1"/>
  <c r="F16" i="5"/>
  <c r="H16" s="1"/>
  <c r="W16" s="1"/>
  <c r="F54"/>
  <c r="H54" s="1"/>
  <c r="W54" s="1"/>
  <c r="O54" i="1"/>
  <c r="O54" i="9" s="1"/>
  <c r="I54" i="18"/>
  <c r="I58"/>
  <c r="F6" i="5"/>
  <c r="H6" s="1"/>
  <c r="I6" i="18"/>
  <c r="I37"/>
  <c r="F37" i="5"/>
  <c r="H37" s="1"/>
  <c r="W37" s="1"/>
  <c r="I57" i="18"/>
  <c r="F20" i="5"/>
  <c r="H20" s="1"/>
  <c r="W20" s="1"/>
  <c r="I20" i="18"/>
  <c r="F33" i="5"/>
  <c r="H33" s="1"/>
  <c r="P33" i="9"/>
  <c r="I33" i="18"/>
  <c r="I22"/>
  <c r="F22" i="5"/>
  <c r="H22" s="1"/>
  <c r="W22" s="1"/>
  <c r="C23" i="23"/>
  <c r="C48"/>
  <c r="L59" i="9"/>
  <c r="R59"/>
  <c r="C45" i="23"/>
  <c r="C43"/>
  <c r="C34"/>
  <c r="E3" i="1"/>
  <c r="L3" s="1"/>
  <c r="W3" i="5" s="1"/>
  <c r="M59" i="13"/>
  <c r="M4" i="5" l="1"/>
  <c r="S4" s="1"/>
  <c r="W55"/>
  <c r="W33"/>
  <c r="C33" i="23"/>
  <c r="C77" s="1"/>
  <c r="W6" i="5"/>
  <c r="Y6" s="1"/>
  <c r="M54"/>
  <c r="M34"/>
  <c r="M44"/>
  <c r="M16"/>
  <c r="M41"/>
  <c r="M23"/>
  <c r="M13"/>
  <c r="M11"/>
  <c r="M25"/>
  <c r="M32"/>
  <c r="M10"/>
  <c r="M12"/>
  <c r="M5"/>
  <c r="E52" i="23"/>
  <c r="Y52" i="5"/>
  <c r="Y10"/>
  <c r="Y43"/>
  <c r="I59" i="18"/>
  <c r="Y51" i="5"/>
  <c r="Y29"/>
  <c r="Y16"/>
  <c r="Y27"/>
  <c r="Y26"/>
  <c r="Y31"/>
  <c r="Y32"/>
  <c r="Y44"/>
  <c r="Y40"/>
  <c r="Y8"/>
  <c r="Y42"/>
  <c r="H49" i="18"/>
  <c r="P49" i="10" s="1"/>
  <c r="E49" i="23"/>
  <c r="E53"/>
  <c r="H53" i="18"/>
  <c r="P53" i="10" s="1"/>
  <c r="O53" i="1"/>
  <c r="O53" i="9" s="1"/>
  <c r="M53" i="5" s="1"/>
  <c r="K15" i="9"/>
  <c r="H15" i="18" s="1"/>
  <c r="P15" i="10" s="1"/>
  <c r="Y13" i="5"/>
  <c r="Y47"/>
  <c r="K50" i="9"/>
  <c r="H50" i="18" s="1"/>
  <c r="P50" i="10" s="1"/>
  <c r="O50" i="1"/>
  <c r="O50" i="9" s="1"/>
  <c r="M50" i="5" s="1"/>
  <c r="K51" i="9"/>
  <c r="H51" i="18" s="1"/>
  <c r="P51" i="10" s="1"/>
  <c r="O51" i="1"/>
  <c r="O51" i="9" s="1"/>
  <c r="M51" i="5" s="1"/>
  <c r="Y25"/>
  <c r="H45" i="18"/>
  <c r="P45" i="10" s="1"/>
  <c r="E45" i="23"/>
  <c r="O45" i="9"/>
  <c r="M45" i="5" s="1"/>
  <c r="E26" i="23"/>
  <c r="H26" i="18"/>
  <c r="P26" i="10" s="1"/>
  <c r="O26" i="1"/>
  <c r="O26" i="9" s="1"/>
  <c r="M26" i="5" s="1"/>
  <c r="O55" i="1"/>
  <c r="O55" i="9" s="1"/>
  <c r="M55" i="5" s="1"/>
  <c r="C55" i="23"/>
  <c r="K5" i="9"/>
  <c r="H5" i="18" s="1"/>
  <c r="P5" i="10" s="1"/>
  <c r="Y12" i="5"/>
  <c r="K22" i="9"/>
  <c r="H22" i="18" s="1"/>
  <c r="P22" i="10" s="1"/>
  <c r="H57" i="18"/>
  <c r="P57" i="10" s="1"/>
  <c r="K37" i="9"/>
  <c r="H37" i="18" s="1"/>
  <c r="P37" i="10" s="1"/>
  <c r="O37" i="9"/>
  <c r="M37" i="5" s="1"/>
  <c r="K6" i="9"/>
  <c r="H6" i="18" s="1"/>
  <c r="P6" i="10" s="1"/>
  <c r="O6" i="1"/>
  <c r="O6" i="9" s="1"/>
  <c r="M6" i="5" s="1"/>
  <c r="S6" s="1"/>
  <c r="K56" i="9"/>
  <c r="H56" i="18" s="1"/>
  <c r="P56" i="10" s="1"/>
  <c r="O56" i="1"/>
  <c r="O56" i="9" s="1"/>
  <c r="M56" i="5" s="1"/>
  <c r="K27" i="9"/>
  <c r="H27" i="18" s="1"/>
  <c r="P27" i="10" s="1"/>
  <c r="O27" i="1"/>
  <c r="O27" i="9" s="1"/>
  <c r="M27" i="5" s="1"/>
  <c r="P3" i="10"/>
  <c r="K24" i="9"/>
  <c r="H24" i="18" s="1"/>
  <c r="P24" i="10" s="1"/>
  <c r="O24" i="9"/>
  <c r="M24" i="5" s="1"/>
  <c r="H4" i="18"/>
  <c r="P4" i="10" s="1"/>
  <c r="E4" i="23"/>
  <c r="K32" i="9"/>
  <c r="H32" i="18" s="1"/>
  <c r="P32" i="10" s="1"/>
  <c r="E34" i="23"/>
  <c r="H34" i="18"/>
  <c r="P34" i="10" s="1"/>
  <c r="E46" i="23"/>
  <c r="H46" i="18"/>
  <c r="P46" i="10" s="1"/>
  <c r="O46" i="1"/>
  <c r="O46" i="9" s="1"/>
  <c r="M46" i="5" s="1"/>
  <c r="E17" i="23"/>
  <c r="H17" i="18"/>
  <c r="P17" i="10" s="1"/>
  <c r="O17" i="1"/>
  <c r="O17" i="9" s="1"/>
  <c r="M17" i="5" s="1"/>
  <c r="D28" i="23"/>
  <c r="E28" s="1"/>
  <c r="K28" i="9"/>
  <c r="H28" i="18" s="1"/>
  <c r="P28" i="10" s="1"/>
  <c r="O28" i="1"/>
  <c r="O28" i="9" s="1"/>
  <c r="M28" i="5" s="1"/>
  <c r="K8" i="9"/>
  <c r="H8" i="18" s="1"/>
  <c r="P8" i="10" s="1"/>
  <c r="O8" i="1"/>
  <c r="O8" i="9" s="1"/>
  <c r="M8" i="5" s="1"/>
  <c r="K30" i="9"/>
  <c r="H30" i="18" s="1"/>
  <c r="P30" i="10" s="1"/>
  <c r="O30" i="9"/>
  <c r="M30" i="5" s="1"/>
  <c r="K11" i="9"/>
  <c r="H11" i="18" s="1"/>
  <c r="P11" i="10" s="1"/>
  <c r="E25" i="23"/>
  <c r="H25" i="18"/>
  <c r="P25" i="10" s="1"/>
  <c r="K10" i="9"/>
  <c r="H10" i="18" s="1"/>
  <c r="P10" i="10" s="1"/>
  <c r="E31" i="23"/>
  <c r="K31" i="9"/>
  <c r="H31" i="18" s="1"/>
  <c r="P31" i="10" s="1"/>
  <c r="O31" i="9"/>
  <c r="M31" i="5" s="1"/>
  <c r="Y5"/>
  <c r="O15" i="1"/>
  <c r="O15" i="9" s="1"/>
  <c r="M15" i="5" s="1"/>
  <c r="O22" i="1"/>
  <c r="O22" i="9" s="1"/>
  <c r="M22" i="5" s="1"/>
  <c r="O57" i="9"/>
  <c r="O49" i="1"/>
  <c r="O49" i="9" s="1"/>
  <c r="M49" i="5" s="1"/>
  <c r="Y17"/>
  <c r="Y19"/>
  <c r="K21" i="9"/>
  <c r="H21" i="18" s="1"/>
  <c r="P21" i="10" s="1"/>
  <c r="O21" i="1"/>
  <c r="O21" i="9" s="1"/>
  <c r="M21" i="5" s="1"/>
  <c r="K42" i="9"/>
  <c r="H42" i="18" s="1"/>
  <c r="P42" i="10" s="1"/>
  <c r="O42" i="9"/>
  <c r="M42" i="5" s="1"/>
  <c r="Y39"/>
  <c r="Y36"/>
  <c r="Y22"/>
  <c r="Y49"/>
  <c r="H48" i="18"/>
  <c r="P48" i="10" s="1"/>
  <c r="E48" i="23"/>
  <c r="K12" i="9"/>
  <c r="H12" i="18" s="1"/>
  <c r="P12" i="10" s="1"/>
  <c r="H43" i="18"/>
  <c r="P43" i="10" s="1"/>
  <c r="E43" i="23"/>
  <c r="O43" i="9"/>
  <c r="M43" i="5" s="1"/>
  <c r="H36" i="18"/>
  <c r="P36" i="10" s="1"/>
  <c r="E36" i="23"/>
  <c r="O36" i="9"/>
  <c r="M36" i="5" s="1"/>
  <c r="Y18"/>
  <c r="Y38"/>
  <c r="Y37"/>
  <c r="Y21"/>
  <c r="Y24"/>
  <c r="H58" i="18"/>
  <c r="P58" i="10" s="1"/>
  <c r="O58" i="9"/>
  <c r="K54"/>
  <c r="H54" i="18" s="1"/>
  <c r="P54" i="10" s="1"/>
  <c r="K16" i="9"/>
  <c r="H16" i="18" s="1"/>
  <c r="P16" i="10" s="1"/>
  <c r="K14" i="9"/>
  <c r="H14" i="18" s="1"/>
  <c r="P14" i="10" s="1"/>
  <c r="K44" i="9"/>
  <c r="H44" i="18" s="1"/>
  <c r="P44" i="10" s="1"/>
  <c r="Y9" i="5"/>
  <c r="E40" i="23"/>
  <c r="H40" i="18"/>
  <c r="P40" i="10" s="1"/>
  <c r="O40" i="9"/>
  <c r="M40" i="5" s="1"/>
  <c r="E23" i="23"/>
  <c r="H23" i="18"/>
  <c r="P23" i="10" s="1"/>
  <c r="Y28" i="5"/>
  <c r="Y30"/>
  <c r="Y23"/>
  <c r="H33" i="18"/>
  <c r="P33" i="10" s="1"/>
  <c r="O33" i="9"/>
  <c r="M33" i="5" s="1"/>
  <c r="E41" i="23"/>
  <c r="H41" i="18"/>
  <c r="P41" i="10" s="1"/>
  <c r="K13" i="9"/>
  <c r="H13" i="18" s="1"/>
  <c r="P13" i="10" s="1"/>
  <c r="H55" i="18"/>
  <c r="P55" i="10" s="1"/>
  <c r="K35" i="9"/>
  <c r="H35" i="18" s="1"/>
  <c r="P35" i="10" s="1"/>
  <c r="O35" i="9"/>
  <c r="M35" i="5" s="1"/>
  <c r="K9" i="9"/>
  <c r="H9" i="18" s="1"/>
  <c r="P9" i="10" s="1"/>
  <c r="O9" i="1"/>
  <c r="O9" i="9" s="1"/>
  <c r="M9" i="5" s="1"/>
  <c r="K29" i="9"/>
  <c r="H29" i="18" s="1"/>
  <c r="P29" i="10" s="1"/>
  <c r="O29" i="9"/>
  <c r="M29" i="5" s="1"/>
  <c r="Y11"/>
  <c r="H18" i="18"/>
  <c r="P18" i="10" s="1"/>
  <c r="E18" i="23"/>
  <c r="O18" i="1"/>
  <c r="O18" i="9" s="1"/>
  <c r="M18" i="5" s="1"/>
  <c r="K38" i="9"/>
  <c r="H38" i="18" s="1"/>
  <c r="P38" i="10" s="1"/>
  <c r="O38" i="9"/>
  <c r="M38" i="5" s="1"/>
  <c r="K47" i="9"/>
  <c r="H47" i="18" s="1"/>
  <c r="P47" i="10" s="1"/>
  <c r="O47" i="1"/>
  <c r="O47" i="9" s="1"/>
  <c r="M47" i="5" s="1"/>
  <c r="K19" i="9"/>
  <c r="H19" i="18" s="1"/>
  <c r="P19" i="10" s="1"/>
  <c r="O19" i="1"/>
  <c r="O19" i="9" s="1"/>
  <c r="M19" i="5" s="1"/>
  <c r="E7" i="23"/>
  <c r="H7" i="18"/>
  <c r="P7" i="10" s="1"/>
  <c r="O7" i="1"/>
  <c r="O7" i="9" s="1"/>
  <c r="M7" i="5" s="1"/>
  <c r="S7" s="1"/>
  <c r="K39" i="9"/>
  <c r="H39" i="18" s="1"/>
  <c r="P39" i="10" s="1"/>
  <c r="O39" i="9"/>
  <c r="M39" i="5" s="1"/>
  <c r="P59" i="9"/>
  <c r="O14" i="1"/>
  <c r="O14" i="9" s="1"/>
  <c r="M14" i="5" s="1"/>
  <c r="Y46"/>
  <c r="O48" i="1"/>
  <c r="O48" i="9" s="1"/>
  <c r="M48" i="5" s="1"/>
  <c r="F59"/>
  <c r="E59" i="1"/>
  <c r="L59"/>
  <c r="E33" i="23" l="1"/>
  <c r="R27" i="5"/>
  <c r="S27" s="1"/>
  <c r="R28"/>
  <c r="S28" s="1"/>
  <c r="S43"/>
  <c r="U43" s="1"/>
  <c r="S5"/>
  <c r="U5" s="1"/>
  <c r="S10"/>
  <c r="U10" s="1"/>
  <c r="S16"/>
  <c r="U16" s="1"/>
  <c r="S44"/>
  <c r="U44" s="1"/>
  <c r="S52"/>
  <c r="U52" s="1"/>
  <c r="S51"/>
  <c r="U51" s="1"/>
  <c r="O11"/>
  <c r="S11" s="1"/>
  <c r="S21"/>
  <c r="U21" s="1"/>
  <c r="S37"/>
  <c r="U37" s="1"/>
  <c r="S18"/>
  <c r="U18" s="1"/>
  <c r="S36"/>
  <c r="U36" s="1"/>
  <c r="Y7"/>
  <c r="Y41"/>
  <c r="S19"/>
  <c r="U19" s="1"/>
  <c r="S17"/>
  <c r="U17" s="1"/>
  <c r="S13"/>
  <c r="U13" s="1"/>
  <c r="S42"/>
  <c r="U42" s="1"/>
  <c r="S40"/>
  <c r="U40" s="1"/>
  <c r="S31"/>
  <c r="U31" s="1"/>
  <c r="Y14"/>
  <c r="Y15"/>
  <c r="Y54"/>
  <c r="S23"/>
  <c r="U23" s="1"/>
  <c r="S30"/>
  <c r="U30" s="1"/>
  <c r="S24"/>
  <c r="U24" s="1"/>
  <c r="S38"/>
  <c r="U38" s="1"/>
  <c r="S49"/>
  <c r="U49" s="1"/>
  <c r="S22"/>
  <c r="U22" s="1"/>
  <c r="S39"/>
  <c r="U39" s="1"/>
  <c r="S46"/>
  <c r="U46" s="1"/>
  <c r="E55" i="23"/>
  <c r="Y53" i="5"/>
  <c r="Y55"/>
  <c r="Y56"/>
  <c r="Y50"/>
  <c r="Y34"/>
  <c r="Y33"/>
  <c r="Y48"/>
  <c r="S9"/>
  <c r="U9" s="1"/>
  <c r="Y4"/>
  <c r="U4" s="1"/>
  <c r="Y35"/>
  <c r="Y45"/>
  <c r="S12"/>
  <c r="U12" s="1"/>
  <c r="S25"/>
  <c r="U25" s="1"/>
  <c r="S47"/>
  <c r="U47" s="1"/>
  <c r="O6"/>
  <c r="U6" s="1"/>
  <c r="S8"/>
  <c r="U8" s="1"/>
  <c r="S32"/>
  <c r="U32" s="1"/>
  <c r="S26"/>
  <c r="U26" s="1"/>
  <c r="S29"/>
  <c r="U29" s="1"/>
  <c r="H59"/>
  <c r="Y3"/>
  <c r="O3" i="1"/>
  <c r="S35" i="5" l="1"/>
  <c r="U35" s="1"/>
  <c r="S48"/>
  <c r="U48" s="1"/>
  <c r="S50"/>
  <c r="U50" s="1"/>
  <c r="S55"/>
  <c r="U55" s="1"/>
  <c r="S54"/>
  <c r="U54" s="1"/>
  <c r="S15"/>
  <c r="U15" s="1"/>
  <c r="S14"/>
  <c r="U14" s="1"/>
  <c r="S41"/>
  <c r="U41" s="1"/>
  <c r="S45"/>
  <c r="U45" s="1"/>
  <c r="S33"/>
  <c r="U33" s="1"/>
  <c r="S34"/>
  <c r="U34" s="1"/>
  <c r="S56"/>
  <c r="U56" s="1"/>
  <c r="S53"/>
  <c r="U53" s="1"/>
  <c r="O7"/>
  <c r="U7" s="1"/>
  <c r="W59"/>
  <c r="C59" i="23"/>
  <c r="O3" i="9"/>
  <c r="M3" i="5" s="1"/>
  <c r="S3" s="1"/>
  <c r="U3" s="1"/>
  <c r="M59" i="1"/>
  <c r="K20" i="9"/>
  <c r="X20" i="5"/>
  <c r="X59" s="1"/>
  <c r="X62" s="1"/>
  <c r="D59" i="23" l="1"/>
  <c r="O20" i="1"/>
  <c r="O59" s="1"/>
  <c r="H20" i="18"/>
  <c r="K59" i="9"/>
  <c r="K61" s="1"/>
  <c r="Y20" i="5"/>
  <c r="N59" i="1"/>
  <c r="E59" i="23" l="1"/>
  <c r="C78" s="1"/>
  <c r="O20" i="9"/>
  <c r="M20" i="5" s="1"/>
  <c r="P20" i="10"/>
  <c r="P59" s="1"/>
  <c r="H59" i="18"/>
  <c r="Y59" i="5"/>
  <c r="O59"/>
  <c r="O59" i="9" l="1"/>
  <c r="S20" i="5"/>
  <c r="M59"/>
  <c r="H61" i="18"/>
  <c r="S59" i="5" l="1"/>
  <c r="U20"/>
  <c r="U59" s="1"/>
</calcChain>
</file>

<file path=xl/sharedStrings.xml><?xml version="1.0" encoding="utf-8"?>
<sst xmlns="http://schemas.openxmlformats.org/spreadsheetml/2006/main" count="1936" uniqueCount="617">
  <si>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</si>
  <si>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</si>
  <si>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</si>
  <si>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</si>
  <si>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</si>
  <si>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</si>
  <si>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</si>
  <si>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</si>
  <si>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</si>
  <si>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</si>
  <si>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</si>
  <si>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</si>
  <si>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</si>
  <si>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</si>
  <si>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</si>
  <si>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</si>
  <si>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</si>
  <si>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</si>
  <si>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</si>
  <si>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</si>
  <si>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</si>
  <si>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</si>
  <si>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</si>
  <si>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</si>
  <si>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</si>
  <si>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</si>
  <si>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</si>
  <si>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</si>
  <si>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</si>
  <si>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</si>
  <si>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</si>
  <si>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</si>
  <si>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</si>
  <si>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</si>
  <si>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</si>
  <si>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</si>
  <si>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</si>
  <si>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</si>
  <si>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</si>
  <si>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</si>
  <si>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</si>
  <si>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</si>
  <si>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</si>
  <si>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</si>
  <si>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</si>
  <si>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</si>
  <si>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</si>
  <si>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</si>
  <si>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</si>
  <si>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</si>
  <si>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</si>
  <si>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</si>
  <si>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</si>
  <si>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</si>
  <si>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</si>
  <si>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</si>
  <si>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</si>
  <si>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</si>
  <si>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</si>
  <si>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</si>
  <si>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</si>
  <si>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</si>
  <si>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</si>
  <si>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</si>
  <si>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</si>
  <si>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</si>
  <si>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</si>
  <si>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</si>
  <si>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</si>
  <si>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</si>
  <si>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</si>
  <si>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</si>
  <si>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</si>
  <si>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</si>
  <si>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</si>
  <si>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</si>
  <si>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</si>
  <si>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</si>
  <si>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έπρεπε</t>
  </si>
  <si>
    <t>πήρε</t>
  </si>
  <si>
    <t>σύνολο συμβολαίου</t>
  </si>
  <si>
    <t>πάγια</t>
  </si>
  <si>
    <t>ή πάγιο</t>
  </si>
  <si>
    <t>ΦΠΑ = 24%</t>
  </si>
  <si>
    <t>σχετικά συμβόλαια</t>
  </si>
  <si>
    <t>ζημιά</t>
  </si>
  <si>
    <t>έτη/μήνες εξόφλησης</t>
  </si>
  <si>
    <t>συμβολαιο γραφος</t>
  </si>
  <si>
    <t>παρα κρατηση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</si>
  <si>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</si>
  <si>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</si>
  <si>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</si>
  <si>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</si>
  <si>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</si>
  <si>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</si>
  <si>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ημερ</t>
  </si>
  <si>
    <t>προς Δ.Ο.Υ</t>
  </si>
  <si>
    <t>από Δ.Ο.Υ</t>
  </si>
  <si>
    <t>ΦΠΑ = 24% από 1/7/2016</t>
  </si>
  <si>
    <t>ΒΙΒΛΙΑ ΕΣΟΔΩΝ - ???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</si>
  <si>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</si>
  <si>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</si>
  <si>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</si>
  <si>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</si>
  <si>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</si>
  <si>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</si>
  <si>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</si>
  <si>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</si>
  <si>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</si>
  <si>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</si>
  <si>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</si>
  <si>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</si>
  <si>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</si>
  <si>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</si>
  <si>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</si>
  <si>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</si>
  <si>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</si>
  <si>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</si>
  <si>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</si>
  <si>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</si>
  <si>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</si>
  <si>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</si>
  <si>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</si>
  <si>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</si>
  <si>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</si>
  <si>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</si>
  <si>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</si>
  <si>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</si>
  <si>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</si>
  <si>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</si>
  <si>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</si>
  <si>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</si>
  <si>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</si>
  <si>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</si>
  <si>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</si>
  <si>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</si>
  <si>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</si>
  <si>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</si>
  <si>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</si>
  <si>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</si>
  <si>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</si>
  <si>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</si>
  <si>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</si>
  <si>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</si>
  <si>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</si>
  <si>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</si>
  <si>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</si>
  <si>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</si>
  <si>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</si>
  <si>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</si>
  <si>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</si>
  <si>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</si>
  <si>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%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</si>
  <si>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</si>
  <si>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</si>
  <si>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</si>
  <si>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</si>
  <si>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</si>
  <si>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</si>
  <si>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</si>
  <si>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</si>
  <si>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</si>
  <si>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</si>
  <si>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</si>
  <si>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</si>
  <si>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</si>
  <si>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</si>
  <si>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</si>
  <si>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</si>
  <si>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</si>
  <si>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</si>
  <si>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</si>
  <si>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</si>
  <si>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</si>
  <si>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</si>
  <si>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</si>
  <si>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</si>
  <si>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</si>
  <si>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</si>
  <si>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</si>
  <si>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</si>
  <si>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</si>
  <si>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</si>
  <si>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</si>
  <si>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</si>
  <si>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</si>
  <si>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</si>
  <si>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</si>
  <si>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</si>
  <si>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</si>
  <si>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</si>
  <si>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</si>
  <si>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</si>
  <si>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</si>
  <si>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</si>
  <si>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</si>
  <si>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</si>
  <si>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</si>
  <si>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</si>
  <si>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</si>
  <si>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</si>
  <si>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</si>
  <si>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</si>
  <si>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</si>
  <si>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</si>
  <si>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</si>
  <si>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</si>
  <si>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</si>
  <si>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</si>
  <si>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</si>
  <si>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</si>
  <si>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</si>
  <si>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</si>
  <si>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</si>
  <si>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</si>
  <si>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</si>
  <si>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</si>
  <si>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</si>
  <si>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</si>
  <si>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</si>
  <si>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</si>
  <si>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</si>
  <si>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</si>
  <si>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</si>
  <si>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</si>
  <si>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</si>
  <si>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</si>
  <si>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</si>
  <si>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</si>
  <si>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</si>
  <si>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</si>
  <si>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</si>
  <si>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</si>
  <si>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</si>
  <si>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</si>
  <si>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</si>
  <si>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</si>
  <si>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</si>
  <si>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</si>
  <si>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</si>
  <si>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</si>
  <si>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</si>
  <si>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</si>
  <si>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</si>
  <si>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</si>
  <si>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</si>
  <si>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*2γ*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</si>
  <si>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</si>
  <si>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</si>
  <si>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</si>
  <si>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</si>
  <si>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</si>
  <si>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</si>
  <si>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</si>
  <si>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</si>
  <si>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</si>
  <si>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</si>
  <si>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</si>
  <si>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</si>
  <si>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</si>
  <si>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</si>
  <si>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*55*</t>
  </si>
  <si>
    <t>*56*</t>
  </si>
  <si>
    <t>*57*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</si>
  <si>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</si>
  <si>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</si>
  <si>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</si>
  <si>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</si>
  <si>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</si>
  <si>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</si>
  <si>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</si>
  <si>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</si>
  <si>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</si>
  <si>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</si>
  <si>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</si>
  <si>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</si>
  <si>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</si>
  <si>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</si>
  <si>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</si>
  <si>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</si>
  <si>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</si>
  <si>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</si>
  <si>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</si>
  <si>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</si>
  <si>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</si>
  <si>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</si>
  <si>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</si>
  <si>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</si>
  <si>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</si>
  <si>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</si>
  <si>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</si>
  <si>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</si>
  <si>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</si>
  <si>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</si>
  <si>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</si>
  <si>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</si>
  <si>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</si>
  <si>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</si>
  <si>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</si>
  <si>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</si>
  <si>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</si>
  <si>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</si>
  <si>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</si>
  <si>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</si>
  <si>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</si>
  <si>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</si>
  <si>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</si>
  <si>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</si>
  <si>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</si>
  <si>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</si>
  <si>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</si>
  <si>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</si>
  <si>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</si>
  <si>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</si>
  <si>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</si>
  <si>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</si>
  <si>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</si>
  <si>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</si>
  <si>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</si>
  <si>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</si>
  <si>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</si>
  <si>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</si>
  <si>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</si>
  <si>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</si>
  <si>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</si>
  <si>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</si>
  <si>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</si>
  <si>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</si>
  <si>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</si>
  <si>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</si>
  <si>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</si>
  <si>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</si>
  <si>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</si>
  <si>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</si>
  <si>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</si>
  <si>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</si>
  <si>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</si>
  <si>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</si>
  <si>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</si>
  <si>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</si>
  <si>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</si>
  <si>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</si>
  <si>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</si>
  <si>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</si>
  <si>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</si>
  <si>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</si>
  <si>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</si>
  <si>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</si>
  <si>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</si>
  <si>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</si>
  <si>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</si>
  <si>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</si>
  <si>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</si>
  <si>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</si>
  <si>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</si>
  <si>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</si>
  <si>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</si>
  <si>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</si>
  <si>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</si>
  <si>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</si>
  <si>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</si>
  <si>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</si>
  <si>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</si>
  <si>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</si>
  <si>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</si>
  <si>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</si>
  <si>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</si>
  <si>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</si>
  <si>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</si>
  <si>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</si>
  <si>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</si>
  <si>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</si>
  <si>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</si>
  <si>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</si>
  <si>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</si>
  <si>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</si>
  <si>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</si>
  <si>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</si>
  <si>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</si>
  <si>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</si>
  <si>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</si>
  <si>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</si>
  <si>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</si>
  <si>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</si>
  <si>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</si>
  <si>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</si>
  <si>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</si>
  <si>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</si>
  <si>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</si>
  <si>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</si>
  <si>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</si>
  <si>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</si>
  <si>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</si>
  <si>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</si>
  <si>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</si>
  <si>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</si>
  <si>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</si>
  <si>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</si>
  <si>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</si>
  <si>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</si>
  <si>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</si>
  <si>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</si>
  <si>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</si>
  <si>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</si>
  <si>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</si>
  <si>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</si>
  <si>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</si>
  <si>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</si>
  <si>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</si>
  <si>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</si>
  <si>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</si>
  <si>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</si>
  <si>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</si>
  <si>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</si>
  <si>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</si>
  <si>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</si>
  <si>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</si>
  <si>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</si>
  <si>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</si>
  <si>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</si>
  <si>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</si>
  <si>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</si>
  <si>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</si>
  <si>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</si>
  <si>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</si>
  <si>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</si>
  <si>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</si>
  <si>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1δ4</t>
  </si>
  <si>
    <t>1δ5</t>
  </si>
  <si>
    <t>1δ6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</si>
  <si>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</si>
  <si>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</si>
  <si>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</si>
  <si>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</si>
  <si>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</si>
  <si>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</si>
  <si>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</si>
  <si>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</si>
  <si>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</si>
  <si>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</si>
  <si>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</si>
  <si>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</si>
  <si>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</si>
  <si>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</si>
  <si>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</si>
  <si>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</si>
  <si>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</si>
  <si>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</si>
  <si>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</si>
  <si>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</si>
  <si>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</si>
  <si>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</si>
  <si>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</si>
  <si>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</si>
  <si>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</si>
  <si>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</si>
  <si>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</si>
  <si>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</si>
  <si>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</si>
  <si>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</si>
  <si>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</si>
  <si>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</si>
  <si>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</si>
  <si>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</si>
  <si>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</si>
  <si>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</si>
  <si>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</si>
  <si>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</si>
  <si>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</si>
  <si>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</si>
  <si>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</si>
  <si>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</si>
  <si>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</si>
  <si>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</si>
  <si>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</si>
  <si>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</si>
  <si>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</si>
  <si>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</si>
  <si>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</si>
  <si>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</si>
  <si>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</si>
  <si>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</si>
  <si>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</si>
  <si>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</si>
  <si>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</si>
  <si>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</si>
  <si>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</si>
  <si>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</si>
  <si>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</si>
  <si>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</si>
  <si>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</si>
  <si>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</si>
  <si>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</si>
  <si>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</si>
  <si>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</si>
  <si>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</si>
  <si>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</si>
  <si>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</si>
  <si>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</si>
  <si>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</si>
  <si>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</si>
  <si>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</si>
  <si>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</si>
  <si>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</si>
  <si>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</si>
  <si>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</si>
  <si>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</si>
  <si>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</si>
  <si>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</si>
  <si>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</si>
  <si>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2.000 [=5,87]  + 3.000 [=8,8]</t>
  </si>
  <si>
    <t>δικαιώματα 2'+κλπ φύλλα =2,93€</t>
  </si>
  <si>
    <t>2,93 για υπόλοιπα 10 φύλλα + 2,35 υπόλοιπα φύλλα {{{ από 1/1/1997 έως 9/5/2005 }}}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</si>
  <si>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</si>
  <si>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</si>
  <si>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</si>
  <si>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</si>
  <si>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</si>
  <si>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</si>
  <si>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</si>
  <si>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</si>
  <si>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</si>
  <si>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</si>
  <si>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</si>
  <si>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</si>
  <si>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</si>
  <si>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</si>
  <si>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</si>
  <si>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</si>
  <si>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</si>
  <si>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</si>
  <si>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</si>
  <si>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</si>
  <si>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</si>
  <si>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σύνολα</t>
  </si>
  <si>
    <t>ΙΔΕ βιβλΕσ</t>
  </si>
  <si>
    <t>*93ιγ* = εξουσιοδότηση ΟΥΡΑΝΙΑ</t>
  </si>
  <si>
    <t>συνολο</t>
  </si>
  <si>
    <t>αίτηση</t>
  </si>
  <si>
    <t>περίληψη</t>
  </si>
  <si>
    <t>κλπ</t>
  </si>
  <si>
    <t>προς Υποθηκοφυλακείο = στο ΑΡΧΕΙΟ</t>
  </si>
  <si>
    <t>προς ΝτιΜιΧο</t>
  </si>
  <si>
    <t>εγγραφή γραμμάτιο</t>
  </si>
  <si>
    <t>πήγαινε/ελα</t>
  </si>
  <si>
    <t>πληρωμή πόρων τράπεζα</t>
  </si>
  <si>
    <t>δωρεά</t>
  </si>
  <si>
    <t>κληρονομιάς ΑΠΟΔΟΧΗ</t>
  </si>
  <si>
    <t>πληρεξούσιο</t>
  </si>
  <si>
    <t>αγοραπωλησία τίμημα = Δ.Ο.Υ. =</t>
  </si>
  <si>
    <t>γονική</t>
  </si>
  <si>
    <t>ΧΡΗΣΙΚΤΗΣΙΑ οικοπέδου &amp; οικίας = 1930 πατρός ΔΩΡΕΑ άτυπη</t>
  </si>
  <si>
    <t>century</t>
  </si>
  <si>
    <t xml:space="preserve">ΕΠΙ ΠΑΝΤΟΣ συμβολαιογραφικού εγγράφου ο Συμβολαιογράφος παίρνει ως αμοιβή = 2,93 ( 1997 έως 9/5/2005) </t>
  </si>
  <si>
    <t>πάγιες = 8,8 για 1ο φύλλο {{{ 1997 έως 9/5/2005 }}}</t>
  </si>
  <si>
    <t>8,8 ή 2,93+[352,16*3%=10,56]+[C-352,16*1,2%]</t>
  </si>
  <si>
    <t>352,16*3% = 10,56€ ---+--- υπόλοιπο *1,20% {{{ από 1997 έως 9-5-2005 }}}</t>
  </si>
  <si>
    <t>λογαριασμός = &amp; παλιός</t>
  </si>
  <si>
    <t>έβαλε &amp; τα 70,31παλιού ΧΡΕΟΥΣ = 250</t>
  </si>
  <si>
    <t>ΔΟΛΟΣ</t>
  </si>
  <si>
    <t>ΤΟΓΚΑ</t>
  </si>
  <si>
    <t>ΔΕΝ</t>
  </si>
  <si>
    <t>αγοραπωλησίας 13.835κ ΕΞΟΦΛΗΣΗ</t>
  </si>
  <si>
    <t>13.835κ - 36.888πλ[11.779κ] - ΟΕ-1-2-3-4-5-6</t>
  </si>
  <si>
    <t>ΧΡΗΣΙΚΤΗΣΙΑ αγροτεμαχίου = 19?? ΑΝΑΔΑΣΜΟΣ</t>
  </si>
  <si>
    <t>γονικής 11.618καπολα ΔΙΟΡΘΩΣΗ</t>
  </si>
  <si>
    <t>γονικής 11.619καπολα ΔΙΟΡΘΩΣΗ</t>
  </si>
  <si>
    <t>*9α*</t>
  </si>
  <si>
    <t>ΔΕΝ πήγε</t>
  </si>
  <si>
    <t>ΔΕΝ έστειλε</t>
  </si>
  <si>
    <t>* γονικής 11.618καπολα επικαρπίας ΕΝΣΩΜΑΤΩΣΗ {= παραίτηση αδερφής δικαιώματος οίκησης</t>
  </si>
  <si>
    <t>φόρος εισοδή ματος</t>
  </si>
  <si>
    <t>αγοραπωλησίας 3.919 ΔΙΟΡΘΩΣΗ</t>
  </si>
  <si>
    <t>ναγκουλιδης</t>
  </si>
  <si>
    <t>3767-3919</t>
  </si>
  <si>
    <t>λογαριασμοί = 2</t>
  </si>
  <si>
    <t>λογαριασμοί = 4</t>
  </si>
  <si>
    <t>αγοραπωλησία τίμημα = 6.057,27 Δ.Ο.Υ. =</t>
  </si>
  <si>
    <t>γεωργαλης &amp; θεοφανελης</t>
  </si>
  <si>
    <t>ΧΡΗΣΙΚΤΗΣΙΑ οικοπέδου = 1973 κυπαρισσίουΠαναγιώτη ΑΓΟΡΑΠΩΛΗΣΙΑ άτυπη</t>
  </si>
  <si>
    <t>οριζόντιος ΣΥΣΤΑΣΗ</t>
  </si>
  <si>
    <t>από σημειώσεις = λογαριασμός</t>
  </si>
  <si>
    <t>χρέωσε τα 5,87</t>
  </si>
  <si>
    <t>χρέωσε ΜΑΥΡΑ τα 5,87</t>
  </si>
  <si>
    <t>λογαριασμοί = 2 + 3 [12.183κύρου = ;;;</t>
  </si>
  <si>
    <t>ΧΡΗΣΙΚΤΗΣΙΑ οικοπέδου &amp; οικίας = 1935 πατρός ΔΩΡΕΑ άτυπη</t>
  </si>
  <si>
    <t>ΧΡΗΣΙΚΤΗΣΙΑ αγροτεμαχίου = 1925 πατρός ΔΩΡΕΑ άτυπη</t>
  </si>
  <si>
    <t>ΧΡΗΣΙΚΤΗΣΙΑ αγροτεμαχίου (νυν οικόπεδο) = 1975 ΑΝΑΔΑΣΜΟΣ</t>
  </si>
  <si>
    <t>προσύμφωνο μεταβιβάσεως ποσοστών οικοπέδου</t>
  </si>
  <si>
    <t>εργολαβικό</t>
  </si>
  <si>
    <t>αγοραπωλησίας ΠΡΟΣΥΜΦΩΝΟ τίμημα = αρραβών =</t>
  </si>
  <si>
    <t>ΧΡΗΣΙΚΤΗΣΙΑ αγροτεμαχίου = 1975 πατρός ΔΩΡΕΑ άτυπη</t>
  </si>
  <si>
    <t>κάθετος ΣΥΣΤΑΣΗ</t>
  </si>
  <si>
    <t>ΧΡΗΣΙΚΤΗΣΙΑ αγροτεμαχίου (νυν οικόπεδο) = 19?? ΑΝΑΔΑΣΜΟΣ</t>
  </si>
  <si>
    <t>*9β*</t>
  </si>
  <si>
    <t>*γονική ΨΙΛΗΣ ΚΥΡΙΟΤΗΤΑΣ</t>
  </si>
  <si>
    <t>ΧΡΗΣΙΚΤΗΣΙΑ οικοπέδου = 1949 πατρός ΔΩΡΕΑ άτυπη</t>
  </si>
  <si>
    <t>ΧΡΗΣΙΚΤΗΣΙΑ αγροτεμαχίων = 1963 αγοραπωλησίας ΒΑΣΕΙ προσυμφώνου ΜΗ εκτελεσθέντος</t>
  </si>
  <si>
    <t>ΧΡΗΣΙΚΤΗΣΙΑ αγροτεμαχίου = 19?? πατρός ΔΩΡΕΑ άτυπη</t>
  </si>
  <si>
    <t>*δωρεά ΑΙΤΙΑ θανάτου</t>
  </si>
  <si>
    <t>ΧΡΗΣΙΚΤΗΣΙΑ αγροτεμαχίου = 1979 ΑΝΑΔΑΣΜΟΣ</t>
  </si>
  <si>
    <t>ΧΡΗΣΙΚΤΗΣΙΑ αγροτεμαχίων = 1957 τακοΑναστασιο ΑΓΟΡΑΠΩΛΗΣΙΑ άτυπη</t>
  </si>
  <si>
    <t>ΧΡΗΣΙΚΤΗΣΙΑ αγροτεμαχίου [νυν οικόπεδο ΜΕ οικοδομή] ] = 1970 ΑΝΑΔΑΣΜΟΣ</t>
  </si>
  <si>
    <t>λογαριασμός ΑΚΟΜΑ 1 για ποσό πράξης = 1.874,14</t>
  </si>
  <si>
    <t>*γονικής 1262  ΕΠΙΚΑΡΠΙΑ …  ΔΩΡΕΑ αιτία θανάτου</t>
  </si>
  <si>
    <t>2 αιτΥποθ [ΤΑΧΔΙΚ-1,5 , ΤΑΝ-1,96 ΤΑΣ-1,19</t>
  </si>
  <si>
    <t>ΧΡΗΣΙΚΤΗΣΙΑ αγροτεμαχίου = 1980 πατρός ΚΛΗΡΟΝΟΜΙΑ άτυπη</t>
  </si>
  <si>
    <t>ΧΡΗΣΙΚΤΗΣΙΑ αγροτεμαχίου = 1980 ΔΙΑΝΟΜΗ άτυπη</t>
  </si>
  <si>
    <t>Tahoma</t>
  </si>
  <si>
    <t>9.692κ &amp; 9.693κ</t>
  </si>
  <si>
    <t xml:space="preserve">αγοραπωλησίας ΠΡΟΣΥΜΦΩΝΟ τίμημα = αρραβών = </t>
  </si>
  <si>
    <t>ΧΡΗΣΙΚΤΗΣΙΑ αγροτεμαχίου = 1970 συζύγου ΔΩΡΕΑ άτυπη</t>
  </si>
  <si>
    <t>αγοραπωλησίας 4.191 ΕΞΟΦΛΗΣΗ</t>
  </si>
  <si>
    <t>μεΜυαλάΤου2020 …. ΘΑ χρέωνε συν(+)</t>
  </si>
  <si>
    <t>μεΜυαλάΤου2025 …. ΘΑ χρεώνει  συν(+)</t>
  </si>
  <si>
    <t>ΧΩΡΙΣ χρησικτησίες</t>
  </si>
  <si>
    <t>ΧΩΡΙΣ χρησικτησίες ΚΑΙ δικαιώματα ναλογικών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</si>
</sst>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rgb="FFFF0000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9"/>
      <name val="Arial"/>
      <family val="2"/>
      <charset val="161"/>
    </font>
    <font>
      <sz val="6"/>
      <name val="Arial"/>
      <family val="2"/>
      <charset val="161"/>
    </font>
    <font>
      <sz val="10"/>
      <name val="Arial"/>
      <family val="2"/>
      <charset val="161"/>
    </font>
    <font>
      <sz val="7"/>
      <name val="Arial"/>
      <family val="2"/>
      <charset val="161"/>
    </font>
    <font>
      <sz val="6"/>
      <color theme="1"/>
      <name val="Arial"/>
      <family val="2"/>
      <charset val="161"/>
    </font>
    <font>
      <sz val="7"/>
      <color theme="1"/>
      <name val="Calibri"/>
      <family val="2"/>
      <charset val="161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99FF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/>
    <xf numFmtId="43" fontId="21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/>
    <xf numFmtId="43" fontId="21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/>
    <xf numFmtId="43" fontId="21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</cellStyleXfs>
  <cellXfs count="885">
    <xf numFmtId="0" fontId="0" fillId="0" borderId="0" xfId="0"/>
    <xf numFmtId="43" fontId="23" fillId="0" borderId="1" xfId="0" applyNumberFormat="1" applyFont="1" applyFill="1" applyBorder="1" applyAlignment="1"/>
    <xf numFmtId="43" fontId="25" fillId="0" borderId="0" xfId="1" applyFont="1"/>
    <xf numFmtId="0" fontId="25" fillId="0" borderId="0" xfId="0" applyFont="1"/>
    <xf numFmtId="43" fontId="25" fillId="0" borderId="0" xfId="1" applyFont="1" applyFill="1"/>
    <xf numFmtId="0" fontId="25" fillId="0" borderId="0" xfId="0" applyFont="1" applyFill="1"/>
    <xf numFmtId="0" fontId="25" fillId="0" borderId="0" xfId="0" applyFont="1" applyAlignment="1">
      <alignment wrapText="1"/>
    </xf>
    <xf numFmtId="164" fontId="24" fillId="0" borderId="9" xfId="1" applyNumberFormat="1" applyFont="1" applyBorder="1" applyAlignment="1">
      <alignment horizontal="center" vertical="center" wrapText="1"/>
    </xf>
    <xf numFmtId="164" fontId="25" fillId="0" borderId="0" xfId="1" applyNumberFormat="1" applyFont="1"/>
    <xf numFmtId="0" fontId="25" fillId="0" borderId="0" xfId="0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43" fontId="23" fillId="0" borderId="1" xfId="1" applyFont="1" applyBorder="1"/>
    <xf numFmtId="0" fontId="24" fillId="0" borderId="0" xfId="0" applyFont="1"/>
    <xf numFmtId="164" fontId="25" fillId="7" borderId="1" xfId="1" applyNumberFormat="1" applyFont="1" applyFill="1" applyBorder="1"/>
    <xf numFmtId="164" fontId="27" fillId="7" borderId="2" xfId="1" applyNumberFormat="1" applyFont="1" applyFill="1" applyBorder="1" applyAlignment="1">
      <alignment horizontal="center" vertical="center"/>
    </xf>
    <xf numFmtId="0" fontId="22" fillId="7" borderId="1" xfId="0" applyFont="1" applyFill="1" applyBorder="1"/>
    <xf numFmtId="164" fontId="22" fillId="7" borderId="1" xfId="1" applyNumberFormat="1" applyFont="1" applyFill="1" applyBorder="1"/>
    <xf numFmtId="43" fontId="22" fillId="7" borderId="14" xfId="1" applyFont="1" applyFill="1" applyBorder="1" applyAlignment="1">
      <alignment horizontal="right" vertical="center"/>
    </xf>
    <xf numFmtId="43" fontId="22" fillId="7" borderId="1" xfId="1" applyFont="1" applyFill="1" applyBorder="1" applyAlignment="1">
      <alignment horizontal="right" vertical="center"/>
    </xf>
    <xf numFmtId="0" fontId="25" fillId="7" borderId="0" xfId="0" applyFont="1" applyFill="1"/>
    <xf numFmtId="14" fontId="22" fillId="7" borderId="1" xfId="0" applyNumberFormat="1" applyFont="1" applyFill="1" applyBorder="1" applyAlignment="1">
      <alignment horizontal="center" vertical="center"/>
    </xf>
    <xf numFmtId="164" fontId="22" fillId="7" borderId="14" xfId="1" applyNumberFormat="1" applyFont="1" applyFill="1" applyBorder="1"/>
    <xf numFmtId="1" fontId="27" fillId="7" borderId="1" xfId="1" applyNumberFormat="1" applyFont="1" applyFill="1" applyBorder="1" applyAlignment="1">
      <alignment horizontal="center" vertical="center"/>
    </xf>
    <xf numFmtId="43" fontId="27" fillId="7" borderId="1" xfId="0" applyNumberFormat="1" applyFont="1" applyFill="1" applyBorder="1" applyAlignment="1">
      <alignment horizontal="center" vertical="center" wrapText="1"/>
    </xf>
    <xf numFmtId="43" fontId="22" fillId="7" borderId="3" xfId="1" applyFont="1" applyFill="1" applyBorder="1" applyAlignment="1">
      <alignment horizontal="right" vertical="center"/>
    </xf>
    <xf numFmtId="43" fontId="22" fillId="7" borderId="3" xfId="1" applyFont="1" applyFill="1" applyBorder="1" applyAlignment="1">
      <alignment horizontal="center" vertical="center"/>
    </xf>
    <xf numFmtId="0" fontId="25" fillId="7" borderId="1" xfId="0" applyFont="1" applyFill="1" applyBorder="1"/>
    <xf numFmtId="0" fontId="25" fillId="7" borderId="1" xfId="0" applyFont="1" applyFill="1" applyBorder="1" applyAlignment="1">
      <alignment wrapText="1"/>
    </xf>
    <xf numFmtId="164" fontId="27" fillId="7" borderId="1" xfId="1" applyNumberFormat="1" applyFont="1" applyFill="1" applyBorder="1" applyAlignment="1">
      <alignment horizontal="center" vertical="center"/>
    </xf>
    <xf numFmtId="14" fontId="25" fillId="0" borderId="0" xfId="0" applyNumberFormat="1" applyFont="1"/>
    <xf numFmtId="14" fontId="25" fillId="7" borderId="1" xfId="0" applyNumberFormat="1" applyFont="1" applyFill="1" applyBorder="1"/>
    <xf numFmtId="43" fontId="27" fillId="7" borderId="1" xfId="1" applyFont="1" applyFill="1" applyBorder="1" applyAlignment="1">
      <alignment horizontal="right" vertical="center"/>
    </xf>
    <xf numFmtId="164" fontId="25" fillId="7" borderId="1" xfId="1" applyNumberFormat="1" applyFont="1" applyFill="1" applyBorder="1" applyAlignment="1">
      <alignment wrapText="1"/>
    </xf>
    <xf numFmtId="14" fontId="25" fillId="7" borderId="1" xfId="1" applyNumberFormat="1" applyFont="1" applyFill="1" applyBorder="1" applyAlignment="1">
      <alignment wrapText="1"/>
    </xf>
    <xf numFmtId="165" fontId="25" fillId="7" borderId="1" xfId="1" applyNumberFormat="1" applyFont="1" applyFill="1" applyBorder="1" applyAlignment="1">
      <alignment wrapText="1"/>
    </xf>
    <xf numFmtId="43" fontId="25" fillId="7" borderId="1" xfId="1" applyFont="1" applyFill="1" applyBorder="1" applyAlignment="1">
      <alignment wrapText="1"/>
    </xf>
    <xf numFmtId="43" fontId="25" fillId="7" borderId="0" xfId="1" applyFont="1" applyFill="1" applyAlignment="1">
      <alignment wrapText="1"/>
    </xf>
    <xf numFmtId="0" fontId="24" fillId="6" borderId="9" xfId="0" applyFont="1" applyFill="1" applyBorder="1" applyAlignment="1">
      <alignment horizontal="center" vertical="center" wrapText="1"/>
    </xf>
    <xf numFmtId="43" fontId="24" fillId="7" borderId="9" xfId="1" applyFont="1" applyFill="1" applyBorder="1" applyAlignment="1">
      <alignment horizontal="center" vertical="center" wrapText="1"/>
    </xf>
    <xf numFmtId="43" fontId="24" fillId="4" borderId="9" xfId="1" applyFont="1" applyFill="1" applyBorder="1" applyAlignment="1">
      <alignment horizontal="center" vertical="center" wrapText="1"/>
    </xf>
    <xf numFmtId="43" fontId="22" fillId="7" borderId="14" xfId="1" applyFont="1" applyFill="1" applyBorder="1"/>
    <xf numFmtId="43" fontId="23" fillId="0" borderId="1" xfId="1" applyFont="1" applyFill="1" applyBorder="1" applyAlignment="1"/>
    <xf numFmtId="164" fontId="24" fillId="7" borderId="9" xfId="1" applyNumberFormat="1" applyFont="1" applyFill="1" applyBorder="1" applyAlignment="1">
      <alignment horizontal="center" vertical="center" wrapText="1"/>
    </xf>
    <xf numFmtId="164" fontId="24" fillId="6" borderId="9" xfId="1" applyNumberFormat="1" applyFont="1" applyFill="1" applyBorder="1" applyAlignment="1">
      <alignment horizontal="center" vertical="center" wrapText="1"/>
    </xf>
    <xf numFmtId="43" fontId="24" fillId="0" borderId="9" xfId="1" applyFont="1" applyFill="1" applyBorder="1" applyAlignment="1">
      <alignment horizontal="center" vertical="center" wrapText="1"/>
    </xf>
    <xf numFmtId="43" fontId="24" fillId="2" borderId="9" xfId="1" applyFont="1" applyFill="1" applyBorder="1" applyAlignment="1">
      <alignment horizontal="center" vertical="center" wrapText="1"/>
    </xf>
    <xf numFmtId="43" fontId="24" fillId="0" borderId="14" xfId="1" applyFont="1" applyBorder="1"/>
    <xf numFmtId="0" fontId="30" fillId="0" borderId="0" xfId="0" applyFont="1" applyAlignment="1">
      <alignment wrapText="1"/>
    </xf>
    <xf numFmtId="0" fontId="23" fillId="2" borderId="12" xfId="0" applyFont="1" applyFill="1" applyBorder="1" applyAlignment="1">
      <alignment horizontal="right"/>
    </xf>
    <xf numFmtId="0" fontId="24" fillId="0" borderId="10" xfId="0" applyFont="1" applyFill="1" applyBorder="1" applyAlignment="1">
      <alignment horizontal="center" vertical="center" wrapText="1"/>
    </xf>
    <xf numFmtId="0" fontId="24" fillId="6" borderId="10" xfId="0" applyFont="1" applyFill="1" applyBorder="1" applyAlignment="1">
      <alignment horizontal="center" vertical="center" wrapText="1"/>
    </xf>
    <xf numFmtId="164" fontId="24" fillId="0" borderId="10" xfId="1" applyNumberFormat="1" applyFont="1" applyBorder="1" applyAlignment="1">
      <alignment horizontal="center" vertical="center" wrapText="1"/>
    </xf>
    <xf numFmtId="0" fontId="19" fillId="0" borderId="0" xfId="0" applyFont="1" applyAlignment="1">
      <alignment wrapText="1"/>
    </xf>
    <xf numFmtId="164" fontId="27" fillId="7" borderId="14" xfId="1" applyNumberFormat="1" applyFont="1" applyFill="1" applyBorder="1" applyAlignment="1">
      <alignment horizontal="center" vertical="center"/>
    </xf>
    <xf numFmtId="43" fontId="27" fillId="7" borderId="14" xfId="1" applyFont="1" applyFill="1" applyBorder="1" applyAlignment="1">
      <alignment horizontal="right" vertical="center"/>
    </xf>
    <xf numFmtId="0" fontId="19" fillId="0" borderId="0" xfId="0" applyFont="1"/>
    <xf numFmtId="0" fontId="30" fillId="0" borderId="9" xfId="0" applyFont="1" applyFill="1" applyBorder="1" applyAlignment="1">
      <alignment horizontal="center" vertical="center" wrapText="1"/>
    </xf>
    <xf numFmtId="0" fontId="34" fillId="0" borderId="0" xfId="0" applyFont="1"/>
    <xf numFmtId="164" fontId="27" fillId="7" borderId="13" xfId="1" applyNumberFormat="1" applyFont="1" applyFill="1" applyBorder="1" applyAlignment="1">
      <alignment horizontal="center" vertical="center"/>
    </xf>
    <xf numFmtId="0" fontId="24" fillId="7" borderId="17" xfId="0" applyFont="1" applyFill="1" applyBorder="1" applyAlignment="1">
      <alignment horizontal="center" vertical="center" wrapText="1"/>
    </xf>
    <xf numFmtId="0" fontId="24" fillId="7" borderId="10" xfId="0" applyFont="1" applyFill="1" applyBorder="1" applyAlignment="1">
      <alignment vertical="center" wrapText="1"/>
    </xf>
    <xf numFmtId="0" fontId="24" fillId="7" borderId="9" xfId="0" applyFont="1" applyFill="1" applyBorder="1" applyAlignment="1">
      <alignment horizontal="center" vertical="center" wrapText="1"/>
    </xf>
    <xf numFmtId="14" fontId="24" fillId="2" borderId="10" xfId="0" applyNumberFormat="1" applyFont="1" applyFill="1" applyBorder="1" applyAlignment="1">
      <alignment horizontal="center" vertical="center" wrapText="1"/>
    </xf>
    <xf numFmtId="14" fontId="24" fillId="0" borderId="9" xfId="1" applyNumberFormat="1" applyFont="1" applyFill="1" applyBorder="1" applyAlignment="1">
      <alignment horizontal="center" vertical="center" wrapText="1"/>
    </xf>
    <xf numFmtId="43" fontId="24" fillId="0" borderId="9" xfId="1" applyFont="1" applyFill="1" applyBorder="1" applyAlignment="1">
      <alignment horizontal="center"/>
    </xf>
    <xf numFmtId="14" fontId="24" fillId="0" borderId="9" xfId="1" applyNumberFormat="1" applyFont="1" applyFill="1" applyBorder="1" applyAlignment="1">
      <alignment horizontal="center"/>
    </xf>
    <xf numFmtId="164" fontId="25" fillId="0" borderId="0" xfId="1" applyNumberFormat="1" applyFont="1" applyFill="1"/>
    <xf numFmtId="164" fontId="24" fillId="2" borderId="10" xfId="1" applyNumberFormat="1" applyFont="1" applyFill="1" applyBorder="1" applyAlignment="1">
      <alignment horizontal="center" vertical="center" wrapText="1"/>
    </xf>
    <xf numFmtId="43" fontId="24" fillId="0" borderId="10" xfId="1" applyFont="1" applyBorder="1" applyAlignment="1">
      <alignment horizontal="center" vertical="center" wrapText="1"/>
    </xf>
    <xf numFmtId="43" fontId="31" fillId="0" borderId="0" xfId="1" applyFont="1" applyFill="1" applyAlignment="1"/>
    <xf numFmtId="43" fontId="23" fillId="0" borderId="9" xfId="1" applyFont="1" applyFill="1" applyBorder="1" applyAlignment="1">
      <alignment horizontal="center" wrapText="1"/>
    </xf>
    <xf numFmtId="43" fontId="23" fillId="6" borderId="9" xfId="1" applyFont="1" applyFill="1" applyBorder="1" applyAlignment="1">
      <alignment horizontal="center" wrapText="1"/>
    </xf>
    <xf numFmtId="43" fontId="25" fillId="4" borderId="0" xfId="1" applyFont="1" applyFill="1"/>
    <xf numFmtId="43" fontId="28" fillId="0" borderId="0" xfId="1" applyFont="1"/>
    <xf numFmtId="43" fontId="32" fillId="7" borderId="26" xfId="1" applyFont="1" applyFill="1" applyBorder="1" applyAlignment="1">
      <alignment horizontal="center" wrapText="1"/>
    </xf>
    <xf numFmtId="43" fontId="32" fillId="6" borderId="26" xfId="1" applyFont="1" applyFill="1" applyBorder="1" applyAlignment="1">
      <alignment horizontal="center" wrapText="1"/>
    </xf>
    <xf numFmtId="43" fontId="21" fillId="7" borderId="26" xfId="1" applyFont="1" applyFill="1" applyBorder="1" applyAlignment="1">
      <alignment horizontal="center" wrapText="1"/>
    </xf>
    <xf numFmtId="43" fontId="30" fillId="6" borderId="9" xfId="1" applyFont="1" applyFill="1" applyBorder="1" applyAlignment="1">
      <alignment horizontal="center" vertical="center" wrapText="1"/>
    </xf>
    <xf numFmtId="43" fontId="34" fillId="4" borderId="0" xfId="1" applyFont="1" applyFill="1"/>
    <xf numFmtId="43" fontId="24" fillId="0" borderId="10" xfId="1" applyFont="1" applyFill="1" applyBorder="1" applyAlignment="1">
      <alignment horizontal="center" vertical="center" wrapText="1"/>
    </xf>
    <xf numFmtId="43" fontId="18" fillId="0" borderId="0" xfId="1" applyFont="1" applyFill="1"/>
    <xf numFmtId="14" fontId="30" fillId="0" borderId="9" xfId="1" applyNumberFormat="1" applyFont="1" applyFill="1" applyBorder="1" applyAlignment="1">
      <alignment horizontal="center" vertical="center" wrapText="1"/>
    </xf>
    <xf numFmtId="14" fontId="30" fillId="7" borderId="9" xfId="1" applyNumberFormat="1" applyFont="1" applyFill="1" applyBorder="1" applyAlignment="1">
      <alignment horizontal="center" vertical="center" wrapText="1"/>
    </xf>
    <xf numFmtId="43" fontId="24" fillId="0" borderId="13" xfId="1" applyFont="1" applyFill="1" applyBorder="1" applyAlignment="1">
      <alignment horizontal="right"/>
    </xf>
    <xf numFmtId="0" fontId="30" fillId="0" borderId="1" xfId="0" applyFont="1" applyBorder="1" applyAlignment="1">
      <alignment horizontal="center" wrapText="1"/>
    </xf>
    <xf numFmtId="43" fontId="36" fillId="0" borderId="10" xfId="1" applyFont="1" applyFill="1" applyBorder="1" applyAlignment="1">
      <alignment horizontal="center" vertical="center" wrapText="1"/>
    </xf>
    <xf numFmtId="164" fontId="24" fillId="5" borderId="9" xfId="1" applyNumberFormat="1" applyFont="1" applyFill="1" applyBorder="1" applyAlignment="1">
      <alignment horizontal="center" vertical="center" wrapText="1"/>
    </xf>
    <xf numFmtId="164" fontId="24" fillId="0" borderId="13" xfId="1" applyNumberFormat="1" applyFont="1" applyFill="1" applyBorder="1" applyAlignment="1">
      <alignment horizontal="right"/>
    </xf>
    <xf numFmtId="0" fontId="24" fillId="0" borderId="10" xfId="0" applyFont="1" applyBorder="1" applyAlignment="1">
      <alignment horizontal="center" vertical="center" wrapText="1"/>
    </xf>
    <xf numFmtId="14" fontId="35" fillId="0" borderId="0" xfId="0" applyNumberFormat="1" applyFont="1" applyAlignment="1"/>
    <xf numFmtId="0" fontId="25" fillId="0" borderId="1" xfId="0" applyFont="1" applyFill="1" applyBorder="1"/>
    <xf numFmtId="0" fontId="25" fillId="0" borderId="0" xfId="1" applyNumberFormat="1" applyFont="1"/>
    <xf numFmtId="0" fontId="25" fillId="0" borderId="1" xfId="0" applyFont="1" applyBorder="1"/>
    <xf numFmtId="164" fontId="25" fillId="0" borderId="0" xfId="1" applyNumberFormat="1" applyFont="1" applyAlignment="1">
      <alignment horizontal="center"/>
    </xf>
    <xf numFmtId="43" fontId="17" fillId="2" borderId="26" xfId="1" applyFont="1" applyFill="1" applyBorder="1" applyAlignment="1">
      <alignment horizontal="center" vertical="center" wrapText="1"/>
    </xf>
    <xf numFmtId="164" fontId="30" fillId="0" borderId="9" xfId="1" applyNumberFormat="1" applyFont="1" applyFill="1" applyBorder="1" applyAlignment="1">
      <alignment horizontal="center" vertical="center" wrapText="1"/>
    </xf>
    <xf numFmtId="164" fontId="22" fillId="7" borderId="1" xfId="1" applyNumberFormat="1" applyFont="1" applyFill="1" applyBorder="1" applyAlignment="1">
      <alignment horizontal="center" vertical="center"/>
    </xf>
    <xf numFmtId="0" fontId="25" fillId="7" borderId="1" xfId="0" applyFont="1" applyFill="1" applyBorder="1" applyAlignment="1">
      <alignment horizontal="center" wrapText="1"/>
    </xf>
    <xf numFmtId="0" fontId="25" fillId="0" borderId="0" xfId="0" applyFont="1" applyAlignment="1">
      <alignment horizontal="center" wrapText="1"/>
    </xf>
    <xf numFmtId="43" fontId="24" fillId="0" borderId="13" xfId="1" applyFont="1" applyFill="1" applyBorder="1" applyAlignment="1">
      <alignment horizontal="center" wrapText="1"/>
    </xf>
    <xf numFmtId="164" fontId="25" fillId="0" borderId="0" xfId="1" applyNumberFormat="1" applyFont="1" applyAlignment="1">
      <alignment horizontal="center" wrapText="1"/>
    </xf>
    <xf numFmtId="164" fontId="35" fillId="0" borderId="0" xfId="1" applyNumberFormat="1" applyFont="1" applyAlignment="1"/>
    <xf numFmtId="164" fontId="24" fillId="0" borderId="10" xfId="1" applyNumberFormat="1" applyFont="1" applyBorder="1" applyAlignment="1">
      <alignment vertical="center" wrapText="1"/>
    </xf>
    <xf numFmtId="43" fontId="22" fillId="7" borderId="1" xfId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center" wrapText="1"/>
    </xf>
    <xf numFmtId="164" fontId="24" fillId="0" borderId="9" xfId="1" applyNumberFormat="1" applyFont="1" applyBorder="1" applyAlignment="1">
      <alignment horizontal="center" vertical="center" wrapText="1"/>
    </xf>
    <xf numFmtId="164" fontId="30" fillId="0" borderId="9" xfId="1" applyNumberFormat="1" applyFont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30" fillId="0" borderId="9" xfId="1" applyNumberFormat="1" applyFont="1" applyFill="1" applyBorder="1" applyAlignment="1">
      <alignment horizontal="center" vertical="center" wrapText="1"/>
    </xf>
    <xf numFmtId="0" fontId="25" fillId="0" borderId="0" xfId="0" applyNumberFormat="1" applyFont="1" applyAlignment="1">
      <alignment horizontal="left"/>
    </xf>
    <xf numFmtId="0" fontId="22" fillId="7" borderId="1" xfId="0" applyFont="1" applyFill="1" applyBorder="1" applyAlignment="1">
      <alignment horizontal="left"/>
    </xf>
    <xf numFmtId="0" fontId="25" fillId="0" borderId="0" xfId="0" applyFont="1" applyAlignment="1">
      <alignment horizontal="left"/>
    </xf>
    <xf numFmtId="0" fontId="25" fillId="0" borderId="0" xfId="0" applyFont="1" applyFill="1" applyAlignment="1">
      <alignment horizontal="left"/>
    </xf>
    <xf numFmtId="14" fontId="40" fillId="0" borderId="9" xfId="1" applyNumberFormat="1" applyFont="1" applyFill="1" applyBorder="1" applyAlignment="1">
      <alignment horizontal="center" vertical="center" wrapText="1"/>
    </xf>
    <xf numFmtId="0" fontId="27" fillId="7" borderId="14" xfId="1" applyNumberFormat="1" applyFont="1" applyFill="1" applyBorder="1" applyAlignment="1">
      <alignment horizontal="left" vertical="center"/>
    </xf>
    <xf numFmtId="164" fontId="34" fillId="0" borderId="0" xfId="1" applyNumberFormat="1" applyFont="1"/>
    <xf numFmtId="0" fontId="30" fillId="0" borderId="9" xfId="0" applyNumberFormat="1" applyFont="1" applyFill="1" applyBorder="1" applyAlignment="1">
      <alignment horizontal="center" vertical="center" wrapText="1"/>
    </xf>
    <xf numFmtId="0" fontId="35" fillId="0" borderId="0" xfId="0" applyNumberFormat="1" applyFont="1" applyAlignment="1">
      <alignment horizontal="left"/>
    </xf>
    <xf numFmtId="164" fontId="24" fillId="0" borderId="27" xfId="1" applyNumberFormat="1" applyFont="1" applyBorder="1" applyAlignment="1">
      <alignment vertical="center" wrapText="1"/>
    </xf>
    <xf numFmtId="0" fontId="24" fillId="0" borderId="10" xfId="0" applyFont="1" applyFill="1" applyBorder="1" applyAlignment="1">
      <alignment horizontal="left" vertical="center" wrapText="1"/>
    </xf>
    <xf numFmtId="43" fontId="25" fillId="3" borderId="9" xfId="1" applyFont="1" applyFill="1" applyBorder="1" applyAlignment="1">
      <alignment horizontal="center" vertical="center" wrapText="1"/>
    </xf>
    <xf numFmtId="43" fontId="25" fillId="3" borderId="10" xfId="1" applyFont="1" applyFill="1" applyBorder="1" applyAlignment="1">
      <alignment horizontal="center" vertical="center" wrapText="1"/>
    </xf>
    <xf numFmtId="43" fontId="32" fillId="0" borderId="1" xfId="1" applyFont="1" applyFill="1" applyBorder="1" applyAlignment="1"/>
    <xf numFmtId="0" fontId="15" fillId="0" borderId="0" xfId="0" applyFont="1"/>
    <xf numFmtId="43" fontId="36" fillId="7" borderId="10" xfId="1" applyFont="1" applyFill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43" fontId="30" fillId="0" borderId="21" xfId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164" fontId="15" fillId="0" borderId="0" xfId="1" applyNumberFormat="1" applyFont="1"/>
    <xf numFmtId="0" fontId="15" fillId="0" borderId="0" xfId="0" applyNumberFormat="1" applyFont="1"/>
    <xf numFmtId="43" fontId="15" fillId="0" borderId="0" xfId="1" applyFont="1"/>
    <xf numFmtId="43" fontId="33" fillId="0" borderId="9" xfId="1" applyFont="1" applyFill="1" applyBorder="1" applyAlignment="1">
      <alignment horizontal="center" vertical="center" wrapText="1"/>
    </xf>
    <xf numFmtId="164" fontId="32" fillId="0" borderId="1" xfId="1" applyNumberFormat="1" applyFont="1" applyFill="1" applyBorder="1" applyAlignment="1"/>
    <xf numFmtId="43" fontId="44" fillId="0" borderId="1" xfId="1" applyFont="1" applyFill="1" applyBorder="1" applyAlignment="1"/>
    <xf numFmtId="43" fontId="33" fillId="6" borderId="9" xfId="1" applyFont="1" applyFill="1" applyBorder="1" applyAlignment="1">
      <alignment horizontal="center" vertical="center" wrapText="1"/>
    </xf>
    <xf numFmtId="43" fontId="37" fillId="0" borderId="0" xfId="1" applyFont="1"/>
    <xf numFmtId="14" fontId="25" fillId="0" borderId="0" xfId="1" applyNumberFormat="1" applyFont="1" applyFill="1"/>
    <xf numFmtId="0" fontId="25" fillId="0" borderId="0" xfId="0" applyNumberFormat="1" applyFont="1" applyFill="1" applyAlignment="1">
      <alignment horizontal="left"/>
    </xf>
    <xf numFmtId="14" fontId="40" fillId="2" borderId="9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48" fillId="0" borderId="0" xfId="0" applyFont="1"/>
    <xf numFmtId="0" fontId="25" fillId="0" borderId="0" xfId="0" applyFont="1" applyAlignment="1"/>
    <xf numFmtId="0" fontId="40" fillId="0" borderId="0" xfId="0" applyFont="1" applyFill="1" applyAlignment="1"/>
    <xf numFmtId="0" fontId="15" fillId="0" borderId="0" xfId="0" applyFont="1" applyFill="1" applyAlignment="1">
      <alignment horizontal="center" wrapText="1"/>
    </xf>
    <xf numFmtId="0" fontId="31" fillId="0" borderId="0" xfId="0" applyFont="1" applyFill="1" applyBorder="1" applyAlignment="1">
      <alignment wrapText="1"/>
    </xf>
    <xf numFmtId="0" fontId="13" fillId="0" borderId="0" xfId="0" applyFont="1" applyFill="1"/>
    <xf numFmtId="0" fontId="25" fillId="0" borderId="0" xfId="0" applyFont="1" applyFill="1" applyAlignment="1">
      <alignment horizontal="center"/>
    </xf>
    <xf numFmtId="43" fontId="22" fillId="7" borderId="14" xfId="1" applyFont="1" applyFill="1" applyBorder="1" applyAlignment="1">
      <alignment horizontal="center" vertical="center" wrapText="1"/>
    </xf>
    <xf numFmtId="0" fontId="25" fillId="7" borderId="14" xfId="0" applyFont="1" applyFill="1" applyBorder="1" applyAlignment="1">
      <alignment horizontal="center" wrapText="1"/>
    </xf>
    <xf numFmtId="0" fontId="25" fillId="7" borderId="14" xfId="0" applyFont="1" applyFill="1" applyBorder="1"/>
    <xf numFmtId="0" fontId="12" fillId="0" borderId="0" xfId="0" applyFont="1"/>
    <xf numFmtId="0" fontId="30" fillId="0" borderId="0" xfId="0" applyFont="1"/>
    <xf numFmtId="0" fontId="32" fillId="0" borderId="0" xfId="0" applyFont="1" applyFill="1" applyAlignment="1"/>
    <xf numFmtId="0" fontId="30" fillId="0" borderId="0" xfId="0" applyFont="1" applyAlignment="1">
      <alignment horizontal="left"/>
    </xf>
    <xf numFmtId="0" fontId="30" fillId="0" borderId="0" xfId="0" applyFont="1" applyAlignment="1"/>
    <xf numFmtId="0" fontId="48" fillId="0" borderId="0" xfId="0" applyFont="1" applyAlignment="1"/>
    <xf numFmtId="0" fontId="22" fillId="0" borderId="0" xfId="0" applyFont="1"/>
    <xf numFmtId="43" fontId="25" fillId="0" borderId="0" xfId="1" applyFont="1" applyAlignment="1">
      <alignment horizontal="left"/>
    </xf>
    <xf numFmtId="43" fontId="40" fillId="0" borderId="0" xfId="1" applyFont="1" applyAlignment="1">
      <alignment horizontal="right"/>
    </xf>
    <xf numFmtId="43" fontId="28" fillId="0" borderId="0" xfId="1" applyFont="1" applyAlignment="1">
      <alignment horizontal="right"/>
    </xf>
    <xf numFmtId="43" fontId="40" fillId="0" borderId="0" xfId="1" applyFont="1"/>
    <xf numFmtId="43" fontId="25" fillId="0" borderId="0" xfId="1" applyFont="1" applyAlignment="1">
      <alignment horizontal="right"/>
    </xf>
    <xf numFmtId="14" fontId="24" fillId="0" borderId="13" xfId="1" applyNumberFormat="1" applyFont="1" applyFill="1" applyBorder="1" applyAlignment="1">
      <alignment horizontal="right"/>
    </xf>
    <xf numFmtId="14" fontId="25" fillId="0" borderId="0" xfId="1" applyNumberFormat="1" applyFont="1"/>
    <xf numFmtId="0" fontId="11" fillId="0" borderId="0" xfId="0" applyFont="1"/>
    <xf numFmtId="0" fontId="15" fillId="0" borderId="0" xfId="0" applyFont="1" applyFill="1"/>
    <xf numFmtId="0" fontId="48" fillId="0" borderId="0" xfId="0" applyFont="1" applyAlignment="1">
      <alignment horizontal="left"/>
    </xf>
    <xf numFmtId="0" fontId="31" fillId="7" borderId="0" xfId="0" applyFont="1" applyFill="1" applyAlignment="1"/>
    <xf numFmtId="0" fontId="31" fillId="0" borderId="0" xfId="0" applyFont="1" applyFill="1" applyAlignment="1"/>
    <xf numFmtId="43" fontId="24" fillId="0" borderId="0" xfId="1" applyFont="1" applyFill="1" applyBorder="1" applyAlignment="1">
      <alignment horizontal="center" wrapText="1"/>
    </xf>
    <xf numFmtId="43" fontId="25" fillId="7" borderId="1" xfId="1" applyFont="1" applyFill="1" applyBorder="1" applyAlignment="1">
      <alignment horizontal="center" wrapText="1"/>
    </xf>
    <xf numFmtId="0" fontId="25" fillId="0" borderId="0" xfId="0" applyNumberFormat="1" applyFont="1"/>
    <xf numFmtId="43" fontId="24" fillId="0" borderId="9" xfId="1" applyFont="1" applyFill="1" applyBorder="1" applyAlignment="1">
      <alignment vertical="center" wrapText="1"/>
    </xf>
    <xf numFmtId="0" fontId="24" fillId="7" borderId="10" xfId="0" applyFont="1" applyFill="1" applyBorder="1" applyAlignment="1">
      <alignment horizontal="center" vertical="center" wrapText="1"/>
    </xf>
    <xf numFmtId="43" fontId="24" fillId="6" borderId="9" xfId="1" applyFont="1" applyFill="1" applyBorder="1" applyAlignment="1">
      <alignment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0" fontId="40" fillId="0" borderId="0" xfId="0" applyFont="1" applyFill="1" applyAlignment="1">
      <alignment wrapText="1"/>
    </xf>
    <xf numFmtId="43" fontId="25" fillId="7" borderId="0" xfId="1" applyFont="1" applyFill="1"/>
    <xf numFmtId="43" fontId="25" fillId="2" borderId="10" xfId="1" applyFont="1" applyFill="1" applyBorder="1" applyAlignment="1">
      <alignment vertical="center" wrapText="1"/>
    </xf>
    <xf numFmtId="0" fontId="25" fillId="0" borderId="9" xfId="0" applyFont="1" applyFill="1" applyBorder="1" applyAlignment="1">
      <alignment wrapText="1"/>
    </xf>
    <xf numFmtId="0" fontId="25" fillId="6" borderId="9" xfId="0" applyFont="1" applyFill="1" applyBorder="1" applyAlignment="1">
      <alignment wrapText="1"/>
    </xf>
    <xf numFmtId="0" fontId="32" fillId="7" borderId="0" xfId="0" applyFont="1" applyFill="1" applyAlignment="1"/>
    <xf numFmtId="0" fontId="23" fillId="7" borderId="0" xfId="0" applyFont="1" applyFill="1" applyAlignment="1"/>
    <xf numFmtId="0" fontId="22" fillId="7" borderId="0" xfId="0" applyFont="1" applyFill="1" applyAlignment="1"/>
    <xf numFmtId="0" fontId="22" fillId="7" borderId="0" xfId="0" applyFont="1" applyFill="1"/>
    <xf numFmtId="0" fontId="48" fillId="0" borderId="0" xfId="0" applyFont="1" applyFill="1"/>
    <xf numFmtId="0" fontId="24" fillId="0" borderId="10" xfId="0" applyFont="1" applyBorder="1" applyAlignment="1">
      <alignment vertical="center" wrapText="1"/>
    </xf>
    <xf numFmtId="164" fontId="25" fillId="0" borderId="10" xfId="1" applyNumberFormat="1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wrapText="1"/>
    </xf>
    <xf numFmtId="43" fontId="48" fillId="0" borderId="0" xfId="1" applyFont="1" applyAlignment="1"/>
    <xf numFmtId="43" fontId="22" fillId="7" borderId="0" xfId="1" applyFont="1" applyFill="1" applyAlignment="1"/>
    <xf numFmtId="0" fontId="22" fillId="0" borderId="0" xfId="0" applyFont="1" applyFill="1" applyAlignment="1"/>
    <xf numFmtId="0" fontId="22" fillId="0" borderId="0" xfId="0" applyFont="1" applyFill="1" applyAlignment="1">
      <alignment horizontal="center" wrapText="1"/>
    </xf>
    <xf numFmtId="43" fontId="48" fillId="0" borderId="0" xfId="1" applyFont="1" applyFill="1" applyAlignment="1"/>
    <xf numFmtId="43" fontId="22" fillId="0" borderId="0" xfId="1" applyFont="1" applyFill="1" applyAlignment="1"/>
    <xf numFmtId="43" fontId="48" fillId="0" borderId="0" xfId="1" applyFont="1"/>
    <xf numFmtId="43" fontId="22" fillId="7" borderId="0" xfId="1" applyFont="1" applyFill="1"/>
    <xf numFmtId="0" fontId="9" fillId="0" borderId="0" xfId="0" applyFont="1" applyAlignment="1">
      <alignment horizontal="center" wrapText="1"/>
    </xf>
    <xf numFmtId="43" fontId="48" fillId="0" borderId="0" xfId="1" applyFont="1" applyFill="1"/>
    <xf numFmtId="0" fontId="31" fillId="0" borderId="0" xfId="0" applyFont="1" applyFill="1" applyAlignment="1">
      <alignment wrapText="1"/>
    </xf>
    <xf numFmtId="0" fontId="30" fillId="0" borderId="0" xfId="0" applyFont="1" applyFill="1" applyAlignment="1">
      <alignment wrapText="1"/>
    </xf>
    <xf numFmtId="43" fontId="9" fillId="7" borderId="0" xfId="1" applyFont="1" applyFill="1"/>
    <xf numFmtId="0" fontId="9" fillId="0" borderId="0" xfId="0" applyFont="1" applyFill="1" applyAlignment="1">
      <alignment horizontal="center" wrapText="1"/>
    </xf>
    <xf numFmtId="43" fontId="47" fillId="0" borderId="0" xfId="1" applyFont="1" applyFill="1"/>
    <xf numFmtId="43" fontId="30" fillId="0" borderId="9" xfId="1" applyFont="1" applyFill="1" applyBorder="1" applyAlignment="1">
      <alignment vertical="center" wrapText="1"/>
    </xf>
    <xf numFmtId="43" fontId="30" fillId="2" borderId="9" xfId="1" applyFont="1" applyFill="1" applyBorder="1" applyAlignment="1">
      <alignment vertical="center" wrapText="1"/>
    </xf>
    <xf numFmtId="43" fontId="24" fillId="7" borderId="10" xfId="1" applyFont="1" applyFill="1" applyBorder="1" applyAlignment="1">
      <alignment horizontal="center" vertical="center" wrapText="1"/>
    </xf>
    <xf numFmtId="43" fontId="25" fillId="0" borderId="21" xfId="1" applyFont="1" applyFill="1" applyBorder="1" applyAlignment="1">
      <alignment horizontal="center" vertical="center" wrapText="1"/>
    </xf>
    <xf numFmtId="43" fontId="25" fillId="7" borderId="21" xfId="1" applyFont="1" applyFill="1" applyBorder="1" applyAlignment="1">
      <alignment horizontal="center" vertical="center" wrapText="1"/>
    </xf>
    <xf numFmtId="164" fontId="24" fillId="2" borderId="9" xfId="1" applyNumberFormat="1" applyFont="1" applyFill="1" applyBorder="1" applyAlignment="1">
      <alignment vertical="center" wrapText="1"/>
    </xf>
    <xf numFmtId="0" fontId="49" fillId="0" borderId="0" xfId="0" applyFont="1" applyAlignment="1">
      <alignment horizontal="center"/>
    </xf>
    <xf numFmtId="43" fontId="25" fillId="0" borderId="9" xfId="1" applyFont="1" applyFill="1" applyBorder="1" applyAlignment="1">
      <alignment horizontal="center" vertical="center" wrapText="1"/>
    </xf>
    <xf numFmtId="43" fontId="24" fillId="6" borderId="10" xfId="1" applyFont="1" applyFill="1" applyBorder="1" applyAlignment="1">
      <alignment horizontal="center" vertical="center" wrapText="1"/>
    </xf>
    <xf numFmtId="14" fontId="24" fillId="0" borderId="1" xfId="1" applyNumberFormat="1" applyFont="1" applyFill="1" applyBorder="1" applyAlignment="1">
      <alignment horizontal="center" vertical="center" wrapText="1"/>
    </xf>
    <xf numFmtId="14" fontId="24" fillId="0" borderId="15" xfId="1" applyNumberFormat="1" applyFont="1" applyFill="1" applyBorder="1" applyAlignment="1">
      <alignment horizontal="center" vertical="center" wrapText="1"/>
    </xf>
    <xf numFmtId="43" fontId="24" fillId="0" borderId="15" xfId="1" applyFont="1" applyFill="1" applyBorder="1" applyAlignment="1">
      <alignment horizontal="center" wrapText="1"/>
    </xf>
    <xf numFmtId="43" fontId="24" fillId="6" borderId="15" xfId="1" applyFont="1" applyFill="1" applyBorder="1" applyAlignment="1">
      <alignment horizontal="center" wrapText="1"/>
    </xf>
    <xf numFmtId="43" fontId="24" fillId="0" borderId="15" xfId="1" applyFont="1" applyFill="1" applyBorder="1" applyAlignment="1">
      <alignment horizontal="center"/>
    </xf>
    <xf numFmtId="43" fontId="24" fillId="7" borderId="15" xfId="1" applyFont="1" applyFill="1" applyBorder="1" applyAlignment="1">
      <alignment horizontal="center" wrapText="1"/>
    </xf>
    <xf numFmtId="43" fontId="24" fillId="2" borderId="15" xfId="1" applyFont="1" applyFill="1" applyBorder="1" applyAlignment="1">
      <alignment horizontal="center" wrapText="1"/>
    </xf>
    <xf numFmtId="0" fontId="25" fillId="7" borderId="1" xfId="0" applyFont="1" applyFill="1" applyBorder="1" applyAlignment="1">
      <alignment horizontal="center"/>
    </xf>
    <xf numFmtId="43" fontId="25" fillId="0" borderId="0" xfId="1" applyFont="1" applyFill="1" applyAlignment="1">
      <alignment wrapText="1"/>
    </xf>
    <xf numFmtId="0" fontId="25" fillId="0" borderId="15" xfId="0" applyFont="1" applyBorder="1"/>
    <xf numFmtId="164" fontId="25" fillId="0" borderId="1" xfId="1" applyNumberFormat="1" applyFont="1" applyBorder="1"/>
    <xf numFmtId="43" fontId="25" fillId="0" borderId="1" xfId="0" applyNumberFormat="1" applyFont="1" applyBorder="1"/>
    <xf numFmtId="0" fontId="24" fillId="0" borderId="27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43" fontId="24" fillId="7" borderId="10" xfId="1" applyFont="1" applyFill="1" applyBorder="1" applyAlignment="1">
      <alignment vertical="center" wrapText="1"/>
    </xf>
    <xf numFmtId="164" fontId="48" fillId="0" borderId="0" xfId="1" applyNumberFormat="1" applyFont="1" applyAlignment="1"/>
    <xf numFmtId="164" fontId="40" fillId="7" borderId="0" xfId="1" applyNumberFormat="1" applyFont="1" applyFill="1" applyAlignment="1"/>
    <xf numFmtId="43" fontId="48" fillId="3" borderId="0" xfId="1" applyFont="1" applyFill="1"/>
    <xf numFmtId="43" fontId="25" fillId="3" borderId="0" xfId="1" applyFont="1" applyFill="1"/>
    <xf numFmtId="43" fontId="40" fillId="7" borderId="0" xfId="1" applyFont="1" applyFill="1" applyAlignment="1"/>
    <xf numFmtId="43" fontId="22" fillId="5" borderId="0" xfId="1" applyFont="1" applyFill="1" applyAlignment="1"/>
    <xf numFmtId="43" fontId="25" fillId="10" borderId="0" xfId="1" applyFont="1" applyFill="1"/>
    <xf numFmtId="43" fontId="25" fillId="6" borderId="0" xfId="1" applyFont="1" applyFill="1"/>
    <xf numFmtId="43" fontId="24" fillId="0" borderId="9" xfId="1" applyFont="1" applyBorder="1" applyAlignment="1">
      <alignment vertical="center" wrapText="1"/>
    </xf>
    <xf numFmtId="43" fontId="25" fillId="0" borderId="9" xfId="1" applyFont="1" applyBorder="1" applyAlignment="1">
      <alignment horizontal="center" vertical="center" wrapText="1"/>
    </xf>
    <xf numFmtId="43" fontId="25" fillId="7" borderId="9" xfId="1" applyFont="1" applyFill="1" applyBorder="1" applyAlignment="1">
      <alignment horizontal="center" vertical="center" wrapText="1"/>
    </xf>
    <xf numFmtId="43" fontId="25" fillId="2" borderId="9" xfId="1" applyFont="1" applyFill="1" applyBorder="1" applyAlignment="1">
      <alignment horizontal="center" vertical="center" wrapText="1"/>
    </xf>
    <xf numFmtId="0" fontId="23" fillId="5" borderId="0" xfId="0" applyFont="1" applyFill="1" applyAlignment="1"/>
    <xf numFmtId="164" fontId="40" fillId="6" borderId="0" xfId="1" applyNumberFormat="1" applyFont="1" applyFill="1"/>
    <xf numFmtId="0" fontId="49" fillId="0" borderId="0" xfId="0" applyFont="1" applyFill="1" applyAlignment="1">
      <alignment horizontal="left"/>
    </xf>
    <xf numFmtId="43" fontId="24" fillId="0" borderId="17" xfId="1" applyFont="1" applyBorder="1" applyAlignment="1">
      <alignment horizontal="center" vertical="center" wrapText="1"/>
    </xf>
    <xf numFmtId="43" fontId="24" fillId="6" borderId="17" xfId="1" applyFont="1" applyFill="1" applyBorder="1" applyAlignment="1">
      <alignment horizontal="center" vertical="center" wrapText="1"/>
    </xf>
    <xf numFmtId="43" fontId="23" fillId="7" borderId="17" xfId="1" applyFont="1" applyFill="1" applyBorder="1" applyAlignment="1">
      <alignment horizontal="center" vertical="center" wrapText="1"/>
    </xf>
    <xf numFmtId="43" fontId="23" fillId="0" borderId="9" xfId="1" applyFont="1" applyFill="1" applyBorder="1" applyAlignment="1">
      <alignment horizontal="center" vertical="center" wrapText="1"/>
    </xf>
    <xf numFmtId="43" fontId="43" fillId="2" borderId="0" xfId="1" applyFont="1" applyFill="1" applyAlignment="1"/>
    <xf numFmtId="43" fontId="43" fillId="6" borderId="0" xfId="1" applyFont="1" applyFill="1" applyAlignment="1"/>
    <xf numFmtId="43" fontId="32" fillId="11" borderId="0" xfId="1" applyFont="1" applyFill="1" applyAlignment="1"/>
    <xf numFmtId="164" fontId="48" fillId="0" borderId="0" xfId="1" applyNumberFormat="1" applyFont="1"/>
    <xf numFmtId="3" fontId="25" fillId="0" borderId="0" xfId="0" applyNumberFormat="1" applyFont="1"/>
    <xf numFmtId="43" fontId="24" fillId="6" borderId="10" xfId="1" applyFont="1" applyFill="1" applyBorder="1" applyAlignment="1">
      <alignment horizontal="center" vertical="center" wrapText="1"/>
    </xf>
    <xf numFmtId="43" fontId="28" fillId="0" borderId="0" xfId="1" applyFont="1" applyFill="1" applyAlignment="1">
      <alignment horizontal="right"/>
    </xf>
    <xf numFmtId="43" fontId="40" fillId="0" borderId="0" xfId="1" applyFont="1" applyFill="1" applyAlignment="1">
      <alignment horizontal="right"/>
    </xf>
    <xf numFmtId="164" fontId="32" fillId="5" borderId="0" xfId="1" applyNumberFormat="1" applyFont="1" applyFill="1" applyAlignment="1"/>
    <xf numFmtId="43" fontId="25" fillId="0" borderId="10" xfId="1" applyFont="1" applyFill="1" applyBorder="1" applyAlignment="1">
      <alignment vertical="center" wrapText="1"/>
    </xf>
    <xf numFmtId="164" fontId="25" fillId="0" borderId="10" xfId="1" applyNumberFormat="1" applyFont="1" applyFill="1" applyBorder="1" applyAlignment="1">
      <alignment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4" fillId="12" borderId="9" xfId="1" applyFont="1" applyFill="1" applyBorder="1" applyAlignment="1">
      <alignment horizontal="center" vertical="center" wrapText="1"/>
    </xf>
    <xf numFmtId="164" fontId="22" fillId="12" borderId="14" xfId="1" applyNumberFormat="1" applyFont="1" applyFill="1" applyBorder="1"/>
    <xf numFmtId="43" fontId="24" fillId="0" borderId="10" xfId="1" applyFont="1" applyFill="1" applyBorder="1" applyAlignment="1">
      <alignment horizontal="center" vertical="center" wrapText="1"/>
    </xf>
    <xf numFmtId="0" fontId="31" fillId="0" borderId="0" xfId="0" applyFont="1" applyFill="1" applyAlignment="1">
      <alignment horizontal="left"/>
    </xf>
    <xf numFmtId="43" fontId="33" fillId="2" borderId="10" xfId="1" applyFont="1" applyFill="1" applyBorder="1" applyAlignment="1">
      <alignment horizontal="center" vertical="center" wrapText="1"/>
    </xf>
    <xf numFmtId="43" fontId="32" fillId="11" borderId="0" xfId="1" applyFont="1" applyFill="1" applyAlignment="1">
      <alignment horizontal="left"/>
    </xf>
    <xf numFmtId="164" fontId="42" fillId="12" borderId="1" xfId="1" applyNumberFormat="1" applyFont="1" applyFill="1" applyBorder="1" applyAlignment="1">
      <alignment horizontal="center" vertical="center"/>
    </xf>
    <xf numFmtId="0" fontId="42" fillId="12" borderId="1" xfId="1" applyNumberFormat="1" applyFont="1" applyFill="1" applyBorder="1" applyAlignment="1">
      <alignment horizontal="left" vertical="center"/>
    </xf>
    <xf numFmtId="43" fontId="21" fillId="12" borderId="1" xfId="1" applyFont="1" applyFill="1" applyBorder="1" applyAlignment="1">
      <alignment horizontal="right" vertical="center"/>
    </xf>
    <xf numFmtId="43" fontId="21" fillId="12" borderId="14" xfId="1" applyFont="1" applyFill="1" applyBorder="1" applyAlignment="1">
      <alignment horizontal="right" vertical="center"/>
    </xf>
    <xf numFmtId="0" fontId="47" fillId="12" borderId="1" xfId="0" applyFont="1" applyFill="1" applyBorder="1" applyAlignment="1">
      <alignment horizontal="center" wrapText="1"/>
    </xf>
    <xf numFmtId="43" fontId="47" fillId="12" borderId="1" xfId="1" applyFont="1" applyFill="1" applyBorder="1" applyAlignment="1">
      <alignment horizontal="center" wrapText="1"/>
    </xf>
    <xf numFmtId="0" fontId="15" fillId="12" borderId="1" xfId="0" applyFont="1" applyFill="1" applyBorder="1" applyAlignment="1">
      <alignment horizontal="center" wrapText="1"/>
    </xf>
    <xf numFmtId="0" fontId="15" fillId="12" borderId="0" xfId="0" applyFont="1" applyFill="1"/>
    <xf numFmtId="43" fontId="33" fillId="0" borderId="10" xfId="1" applyFont="1" applyFill="1" applyBorder="1" applyAlignment="1">
      <alignment vertical="center" wrapText="1"/>
    </xf>
    <xf numFmtId="43" fontId="33" fillId="0" borderId="10" xfId="1" applyFont="1" applyFill="1" applyBorder="1" applyAlignment="1">
      <alignment horizontal="center" vertical="center" wrapText="1"/>
    </xf>
    <xf numFmtId="43" fontId="24" fillId="3" borderId="9" xfId="1" applyFont="1" applyFill="1" applyBorder="1" applyAlignment="1">
      <alignment horizontal="center" vertical="center" wrapText="1"/>
    </xf>
    <xf numFmtId="164" fontId="43" fillId="0" borderId="1" xfId="1" applyNumberFormat="1" applyFont="1" applyFill="1" applyBorder="1" applyAlignment="1"/>
    <xf numFmtId="0" fontId="6" fillId="0" borderId="0" xfId="0" applyFont="1"/>
    <xf numFmtId="0" fontId="6" fillId="0" borderId="0" xfId="0" applyFont="1" applyFill="1"/>
    <xf numFmtId="0" fontId="30" fillId="0" borderId="0" xfId="0" applyFont="1" applyFill="1" applyAlignment="1"/>
    <xf numFmtId="164" fontId="25" fillId="9" borderId="14" xfId="0" applyNumberFormat="1" applyFont="1" applyFill="1" applyBorder="1" applyAlignment="1">
      <alignment horizontal="center" wrapText="1"/>
    </xf>
    <xf numFmtId="164" fontId="23" fillId="9" borderId="1" xfId="1" applyNumberFormat="1" applyFont="1" applyFill="1" applyBorder="1" applyAlignment="1"/>
    <xf numFmtId="0" fontId="32" fillId="0" borderId="0" xfId="0" applyFont="1" applyFill="1" applyBorder="1" applyAlignment="1">
      <alignment horizontal="left" wrapText="1"/>
    </xf>
    <xf numFmtId="164" fontId="25" fillId="9" borderId="1" xfId="1" applyNumberFormat="1" applyFont="1" applyFill="1" applyBorder="1" applyAlignment="1">
      <alignment horizontal="center" wrapText="1"/>
    </xf>
    <xf numFmtId="43" fontId="23" fillId="12" borderId="1" xfId="1" applyFont="1" applyFill="1" applyBorder="1" applyAlignment="1"/>
    <xf numFmtId="0" fontId="48" fillId="9" borderId="0" xfId="0" applyFont="1" applyFill="1"/>
    <xf numFmtId="43" fontId="25" fillId="9" borderId="0" xfId="1" applyFont="1" applyFill="1"/>
    <xf numFmtId="43" fontId="48" fillId="9" borderId="0" xfId="1" applyFont="1" applyFill="1"/>
    <xf numFmtId="43" fontId="25" fillId="9" borderId="1" xfId="1" applyFont="1" applyFill="1" applyBorder="1"/>
    <xf numFmtId="43" fontId="23" fillId="9" borderId="1" xfId="1" applyFont="1" applyFill="1" applyBorder="1" applyAlignment="1"/>
    <xf numFmtId="0" fontId="24" fillId="2" borderId="10" xfId="0" applyFont="1" applyFill="1" applyBorder="1" applyAlignment="1">
      <alignment horizontal="center" vertical="center" wrapText="1"/>
    </xf>
    <xf numFmtId="164" fontId="22" fillId="9" borderId="14" xfId="1" applyNumberFormat="1" applyFont="1" applyFill="1" applyBorder="1" applyAlignment="1">
      <alignment horizontal="right" vertical="center"/>
    </xf>
    <xf numFmtId="164" fontId="23" fillId="9" borderId="1" xfId="1" applyNumberFormat="1" applyFont="1" applyFill="1" applyBorder="1"/>
    <xf numFmtId="43" fontId="30" fillId="7" borderId="26" xfId="1" applyFont="1" applyFill="1" applyBorder="1" applyAlignment="1">
      <alignment horizontal="center" vertical="center" wrapText="1"/>
    </xf>
    <xf numFmtId="43" fontId="22" fillId="12" borderId="14" xfId="1" applyFont="1" applyFill="1" applyBorder="1" applyAlignment="1">
      <alignment horizontal="right" vertical="center"/>
    </xf>
    <xf numFmtId="43" fontId="23" fillId="12" borderId="1" xfId="1" applyFont="1" applyFill="1" applyBorder="1"/>
    <xf numFmtId="0" fontId="25" fillId="0" borderId="0" xfId="0" applyFont="1" applyFill="1" applyAlignment="1">
      <alignment wrapText="1"/>
    </xf>
    <xf numFmtId="0" fontId="31" fillId="0" borderId="0" xfId="0" applyFont="1" applyFill="1" applyBorder="1" applyAlignment="1">
      <alignment horizontal="left" wrapText="1"/>
    </xf>
    <xf numFmtId="164" fontId="25" fillId="7" borderId="14" xfId="1" applyNumberFormat="1" applyFont="1" applyFill="1" applyBorder="1" applyAlignment="1">
      <alignment wrapText="1"/>
    </xf>
    <xf numFmtId="0" fontId="25" fillId="7" borderId="14" xfId="0" applyFont="1" applyFill="1" applyBorder="1" applyAlignment="1">
      <alignment wrapText="1"/>
    </xf>
    <xf numFmtId="164" fontId="30" fillId="0" borderId="9" xfId="1" applyNumberFormat="1" applyFont="1" applyFill="1" applyBorder="1" applyAlignment="1">
      <alignment horizontal="center"/>
    </xf>
    <xf numFmtId="0" fontId="30" fillId="0" borderId="9" xfId="0" applyFont="1" applyBorder="1" applyAlignment="1">
      <alignment horizontal="center" wrapText="1"/>
    </xf>
    <xf numFmtId="0" fontId="24" fillId="7" borderId="9" xfId="0" applyFont="1" applyFill="1" applyBorder="1" applyAlignment="1">
      <alignment wrapText="1"/>
    </xf>
    <xf numFmtId="0" fontId="24" fillId="3" borderId="17" xfId="0" applyFont="1" applyFill="1" applyBorder="1" applyAlignment="1">
      <alignment wrapText="1"/>
    </xf>
    <xf numFmtId="0" fontId="24" fillId="3" borderId="9" xfId="0" applyFont="1" applyFill="1" applyBorder="1" applyAlignment="1">
      <alignment wrapText="1"/>
    </xf>
    <xf numFmtId="164" fontId="25" fillId="12" borderId="14" xfId="1" applyNumberFormat="1" applyFont="1" applyFill="1" applyBorder="1"/>
    <xf numFmtId="164" fontId="39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5" fillId="0" borderId="0" xfId="0" applyFont="1" applyBorder="1"/>
    <xf numFmtId="0" fontId="40" fillId="0" borderId="21" xfId="0" applyFont="1" applyBorder="1" applyAlignment="1">
      <alignment horizontal="center"/>
    </xf>
    <xf numFmtId="0" fontId="40" fillId="0" borderId="30" xfId="0" applyFont="1" applyBorder="1" applyAlignment="1">
      <alignment horizontal="center"/>
    </xf>
    <xf numFmtId="0" fontId="25" fillId="0" borderId="9" xfId="0" applyFont="1" applyBorder="1"/>
    <xf numFmtId="0" fontId="25" fillId="0" borderId="10" xfId="0" applyFont="1" applyBorder="1" applyAlignment="1"/>
    <xf numFmtId="10" fontId="25" fillId="0" borderId="9" xfId="0" applyNumberFormat="1" applyFont="1" applyBorder="1" applyAlignment="1">
      <alignment horizontal="center"/>
    </xf>
    <xf numFmtId="166" fontId="25" fillId="0" borderId="9" xfId="0" applyNumberFormat="1" applyFont="1" applyBorder="1" applyAlignment="1">
      <alignment horizontal="center"/>
    </xf>
    <xf numFmtId="0" fontId="25" fillId="0" borderId="30" xfId="0" applyFont="1" applyBorder="1"/>
    <xf numFmtId="0" fontId="25" fillId="0" borderId="9" xfId="0" applyFont="1" applyBorder="1" applyAlignment="1"/>
    <xf numFmtId="0" fontId="25" fillId="0" borderId="9" xfId="0" applyFont="1" applyBorder="1" applyAlignment="1">
      <alignment horizontal="center"/>
    </xf>
    <xf numFmtId="0" fontId="24" fillId="12" borderId="9" xfId="0" applyFont="1" applyFill="1" applyBorder="1" applyAlignment="1">
      <alignment wrapText="1"/>
    </xf>
    <xf numFmtId="0" fontId="48" fillId="12" borderId="14" xfId="0" applyFont="1" applyFill="1" applyBorder="1" applyAlignment="1">
      <alignment horizontal="center" wrapText="1"/>
    </xf>
    <xf numFmtId="43" fontId="22" fillId="12" borderId="0" xfId="1" applyFont="1" applyFill="1" applyAlignment="1"/>
    <xf numFmtId="164" fontId="22" fillId="0" borderId="1" xfId="1" applyNumberFormat="1" applyFont="1" applyFill="1" applyBorder="1"/>
    <xf numFmtId="164" fontId="25" fillId="0" borderId="14" xfId="1" applyNumberFormat="1" applyFont="1" applyFill="1" applyBorder="1"/>
    <xf numFmtId="164" fontId="48" fillId="0" borderId="1" xfId="1" applyNumberFormat="1" applyFont="1" applyFill="1" applyBorder="1"/>
    <xf numFmtId="0" fontId="25" fillId="0" borderId="1" xfId="0" applyFont="1" applyFill="1" applyBorder="1" applyAlignment="1">
      <alignment horizontal="center" wrapText="1"/>
    </xf>
    <xf numFmtId="0" fontId="14" fillId="0" borderId="0" xfId="0" applyFont="1" applyFill="1"/>
    <xf numFmtId="164" fontId="25" fillId="0" borderId="1" xfId="1" applyNumberFormat="1" applyFont="1" applyFill="1" applyBorder="1"/>
    <xf numFmtId="164" fontId="48" fillId="0" borderId="14" xfId="1" applyNumberFormat="1" applyFont="1" applyFill="1" applyBorder="1"/>
    <xf numFmtId="164" fontId="25" fillId="0" borderId="1" xfId="1" applyNumberFormat="1" applyFont="1" applyFill="1" applyBorder="1" applyAlignment="1">
      <alignment horizontal="center" wrapText="1"/>
    </xf>
    <xf numFmtId="164" fontId="25" fillId="0" borderId="14" xfId="0" applyNumberFormat="1" applyFont="1" applyFill="1" applyBorder="1" applyAlignment="1">
      <alignment horizontal="center" wrapText="1"/>
    </xf>
    <xf numFmtId="164" fontId="25" fillId="0" borderId="14" xfId="1" applyNumberFormat="1" applyFont="1" applyFill="1" applyBorder="1" applyAlignment="1">
      <alignment horizontal="center" wrapText="1"/>
    </xf>
    <xf numFmtId="43" fontId="25" fillId="0" borderId="1" xfId="1" applyFont="1" applyFill="1" applyBorder="1" applyAlignment="1">
      <alignment horizontal="center" wrapText="1"/>
    </xf>
    <xf numFmtId="43" fontId="25" fillId="0" borderId="14" xfId="0" applyNumberFormat="1" applyFont="1" applyFill="1" applyBorder="1" applyAlignment="1">
      <alignment horizontal="center" wrapText="1"/>
    </xf>
    <xf numFmtId="164" fontId="48" fillId="0" borderId="14" xfId="1" applyNumberFormat="1" applyFont="1" applyFill="1" applyBorder="1" applyAlignment="1">
      <alignment horizontal="center" vertical="center" wrapText="1"/>
    </xf>
    <xf numFmtId="164" fontId="40" fillId="0" borderId="1" xfId="1" applyNumberFormat="1" applyFont="1" applyBorder="1" applyAlignment="1">
      <alignment horizontal="center" wrapText="1"/>
    </xf>
    <xf numFmtId="164" fontId="23" fillId="0" borderId="1" xfId="1" applyNumberFormat="1" applyFont="1" applyBorder="1" applyAlignment="1">
      <alignment horizontal="center" wrapText="1"/>
    </xf>
    <xf numFmtId="43" fontId="30" fillId="7" borderId="1" xfId="1" applyFont="1" applyFill="1" applyBorder="1" applyAlignment="1">
      <alignment vertical="center" wrapText="1"/>
    </xf>
    <xf numFmtId="164" fontId="30" fillId="0" borderId="9" xfId="1" applyNumberFormat="1" applyFont="1" applyFill="1" applyBorder="1" applyAlignment="1">
      <alignment vertical="center" wrapText="1"/>
    </xf>
    <xf numFmtId="164" fontId="30" fillId="3" borderId="9" xfId="1" applyNumberFormat="1" applyFont="1" applyFill="1" applyBorder="1" applyAlignment="1">
      <alignment vertical="center" wrapText="1"/>
    </xf>
    <xf numFmtId="43" fontId="30" fillId="3" borderId="9" xfId="1" applyFont="1" applyFill="1" applyBorder="1" applyAlignment="1">
      <alignment vertical="center" wrapText="1"/>
    </xf>
    <xf numFmtId="164" fontId="30" fillId="7" borderId="9" xfId="1" applyNumberFormat="1" applyFont="1" applyFill="1" applyBorder="1" applyAlignment="1">
      <alignment vertical="center" wrapText="1"/>
    </xf>
    <xf numFmtId="43" fontId="30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7" fillId="0" borderId="0" xfId="0" applyFont="1" applyFill="1" applyAlignment="1">
      <alignment horizontal="center" wrapText="1"/>
    </xf>
    <xf numFmtId="43" fontId="22" fillId="0" borderId="0" xfId="1" applyFont="1"/>
    <xf numFmtId="0" fontId="31" fillId="6" borderId="0" xfId="0" applyFont="1" applyFill="1" applyAlignment="1"/>
    <xf numFmtId="43" fontId="48" fillId="0" borderId="0" xfId="1" applyFont="1" applyFill="1" applyBorder="1"/>
    <xf numFmtId="43" fontId="25" fillId="0" borderId="0" xfId="1" applyFont="1" applyFill="1" applyBorder="1"/>
    <xf numFmtId="43" fontId="40" fillId="0" borderId="0" xfId="0" applyNumberFormat="1" applyFont="1" applyFill="1"/>
    <xf numFmtId="164" fontId="32" fillId="11" borderId="0" xfId="1" applyNumberFormat="1" applyFont="1" applyFill="1" applyAlignment="1"/>
    <xf numFmtId="164" fontId="32" fillId="0" borderId="0" xfId="1" applyNumberFormat="1" applyFont="1" applyFill="1" applyAlignment="1"/>
    <xf numFmtId="0" fontId="39" fillId="0" borderId="0" xfId="0" applyFont="1" applyAlignment="1">
      <alignment horizontal="left"/>
    </xf>
    <xf numFmtId="43" fontId="3" fillId="0" borderId="0" xfId="1" applyFont="1"/>
    <xf numFmtId="43" fontId="30" fillId="2" borderId="0" xfId="1" applyFont="1" applyFill="1" applyAlignment="1"/>
    <xf numFmtId="43" fontId="30" fillId="0" borderId="0" xfId="1" applyFont="1" applyFill="1" applyAlignment="1"/>
    <xf numFmtId="9" fontId="25" fillId="0" borderId="0" xfId="1" applyNumberFormat="1" applyFont="1"/>
    <xf numFmtId="43" fontId="32" fillId="0" borderId="0" xfId="1" applyFont="1" applyFill="1" applyAlignment="1"/>
    <xf numFmtId="43" fontId="52" fillId="0" borderId="0" xfId="1" applyFont="1"/>
    <xf numFmtId="43" fontId="43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3" fontId="3" fillId="0" borderId="0" xfId="0" applyNumberFormat="1" applyFont="1" applyFill="1"/>
    <xf numFmtId="43" fontId="30" fillId="0" borderId="10" xfId="1" applyFont="1" applyFill="1" applyBorder="1" applyAlignment="1">
      <alignment horizontal="center" vertical="center" wrapText="1"/>
    </xf>
    <xf numFmtId="43" fontId="25" fillId="0" borderId="1" xfId="1" applyFont="1" applyBorder="1"/>
    <xf numFmtId="43" fontId="25" fillId="0" borderId="15" xfId="1" applyFont="1" applyBorder="1"/>
    <xf numFmtId="164" fontId="31" fillId="8" borderId="0" xfId="1" applyNumberFormat="1" applyFont="1" applyFill="1" applyAlignment="1"/>
    <xf numFmtId="164" fontId="31" fillId="0" borderId="0" xfId="1" applyNumberFormat="1" applyFont="1" applyFill="1" applyAlignment="1"/>
    <xf numFmtId="43" fontId="24" fillId="12" borderId="13" xfId="1" applyFont="1" applyFill="1" applyBorder="1" applyAlignment="1">
      <alignment horizontal="right"/>
    </xf>
    <xf numFmtId="0" fontId="48" fillId="7" borderId="0" xfId="0" applyFont="1" applyFill="1" applyAlignment="1">
      <alignment horizontal="left"/>
    </xf>
    <xf numFmtId="43" fontId="22" fillId="3" borderId="14" xfId="1" applyFont="1" applyFill="1" applyBorder="1"/>
    <xf numFmtId="43" fontId="25" fillId="0" borderId="6" xfId="1" applyFont="1" applyFill="1" applyBorder="1" applyAlignment="1">
      <alignment horizontal="center" wrapText="1"/>
    </xf>
    <xf numFmtId="43" fontId="25" fillId="0" borderId="14" xfId="1" applyFont="1" applyFill="1" applyBorder="1" applyAlignment="1">
      <alignment horizontal="center" wrapText="1"/>
    </xf>
    <xf numFmtId="43" fontId="24" fillId="12" borderId="14" xfId="1" applyFont="1" applyFill="1" applyBorder="1"/>
    <xf numFmtId="0" fontId="22" fillId="0" borderId="0" xfId="0" applyFont="1" applyFill="1"/>
    <xf numFmtId="43" fontId="22" fillId="0" borderId="0" xfId="1" applyFont="1" applyFill="1"/>
    <xf numFmtId="43" fontId="40" fillId="0" borderId="0" xfId="0" applyNumberFormat="1" applyFont="1" applyAlignment="1">
      <alignment horizontal="center" wrapText="1"/>
    </xf>
    <xf numFmtId="43" fontId="28" fillId="0" borderId="0" xfId="0" applyNumberFormat="1" applyFont="1" applyAlignment="1">
      <alignment horizontal="center" wrapText="1"/>
    </xf>
    <xf numFmtId="43" fontId="24" fillId="0" borderId="0" xfId="0" applyNumberFormat="1" applyFont="1" applyAlignment="1">
      <alignment horizontal="center" wrapText="1"/>
    </xf>
    <xf numFmtId="43" fontId="31" fillId="0" borderId="0" xfId="1" applyFont="1"/>
    <xf numFmtId="43" fontId="40" fillId="0" borderId="0" xfId="0" applyNumberFormat="1" applyFont="1"/>
    <xf numFmtId="43" fontId="28" fillId="0" borderId="0" xfId="0" applyNumberFormat="1" applyFont="1"/>
    <xf numFmtId="43" fontId="49" fillId="0" borderId="0" xfId="0" applyNumberFormat="1" applyFont="1"/>
    <xf numFmtId="43" fontId="48" fillId="0" borderId="0" xfId="0" applyNumberFormat="1" applyFont="1"/>
    <xf numFmtId="43" fontId="2" fillId="0" borderId="0" xfId="1" applyFont="1" applyAlignment="1">
      <alignment wrapText="1"/>
    </xf>
    <xf numFmtId="43" fontId="2" fillId="0" borderId="0" xfId="1" applyFont="1"/>
    <xf numFmtId="164" fontId="39" fillId="5" borderId="9" xfId="1" applyNumberFormat="1" applyFont="1" applyFill="1" applyBorder="1" applyAlignment="1">
      <alignment vertical="center" wrapText="1"/>
    </xf>
    <xf numFmtId="43" fontId="36" fillId="4" borderId="10" xfId="1" applyFont="1" applyFill="1" applyBorder="1" applyAlignment="1">
      <alignment horizontal="center" vertical="center" wrapText="1"/>
    </xf>
    <xf numFmtId="0" fontId="25" fillId="0" borderId="9" xfId="0" applyFont="1" applyBorder="1" applyAlignment="1">
      <alignment wrapText="1"/>
    </xf>
    <xf numFmtId="43" fontId="24" fillId="0" borderId="10" xfId="1" applyFont="1" applyFill="1" applyBorder="1" applyAlignment="1">
      <alignment horizontal="center" vertical="center" wrapText="1"/>
    </xf>
    <xf numFmtId="43" fontId="24" fillId="7" borderId="10" xfId="1" applyFont="1" applyFill="1" applyBorder="1" applyAlignment="1">
      <alignment horizontal="center" vertical="center" wrapText="1"/>
    </xf>
    <xf numFmtId="0" fontId="22" fillId="0" borderId="1" xfId="0" applyFont="1" applyFill="1" applyBorder="1"/>
    <xf numFmtId="164" fontId="27" fillId="0" borderId="2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center" vertical="center"/>
    </xf>
    <xf numFmtId="43" fontId="22" fillId="0" borderId="1" xfId="1" applyFont="1" applyFill="1" applyBorder="1"/>
    <xf numFmtId="164" fontId="27" fillId="0" borderId="1" xfId="1" applyNumberFormat="1" applyFont="1" applyFill="1" applyBorder="1" applyAlignment="1">
      <alignment vertical="center"/>
    </xf>
    <xf numFmtId="164" fontId="22" fillId="0" borderId="1" xfId="1" applyNumberFormat="1" applyFont="1" applyFill="1" applyBorder="1" applyAlignment="1">
      <alignment vertical="center"/>
    </xf>
    <xf numFmtId="43" fontId="25" fillId="5" borderId="1" xfId="1" applyFont="1" applyFill="1" applyBorder="1"/>
    <xf numFmtId="14" fontId="25" fillId="0" borderId="1" xfId="0" applyNumberFormat="1" applyFont="1" applyBorder="1"/>
    <xf numFmtId="164" fontId="27" fillId="2" borderId="2" xfId="1" applyNumberFormat="1" applyFont="1" applyFill="1" applyBorder="1" applyAlignment="1">
      <alignment horizontal="center" vertical="center"/>
    </xf>
    <xf numFmtId="43" fontId="22" fillId="3" borderId="1" xfId="1" applyFont="1" applyFill="1" applyBorder="1"/>
    <xf numFmtId="164" fontId="25" fillId="2" borderId="1" xfId="1" applyNumberFormat="1" applyFont="1" applyFill="1" applyBorder="1"/>
    <xf numFmtId="0" fontId="22" fillId="0" borderId="1" xfId="0" applyFont="1" applyFill="1" applyBorder="1" applyAlignment="1">
      <alignment horizontal="left"/>
    </xf>
    <xf numFmtId="164" fontId="22" fillId="0" borderId="14" xfId="1" applyNumberFormat="1" applyFont="1" applyFill="1" applyBorder="1"/>
    <xf numFmtId="43" fontId="22" fillId="0" borderId="1" xfId="1" applyFont="1" applyFill="1" applyBorder="1" applyAlignment="1">
      <alignment horizontal="right" vertical="center"/>
    </xf>
    <xf numFmtId="43" fontId="22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8" fillId="0" borderId="1" xfId="0" applyFont="1" applyFill="1" applyBorder="1" applyAlignment="1">
      <alignment horizontal="center" wrapText="1"/>
    </xf>
    <xf numFmtId="43" fontId="25" fillId="0" borderId="14" xfId="1" applyFont="1" applyFill="1" applyBorder="1"/>
    <xf numFmtId="0" fontId="48" fillId="0" borderId="1" xfId="0" applyFont="1" applyFill="1" applyBorder="1"/>
    <xf numFmtId="0" fontId="25" fillId="0" borderId="14" xfId="0" applyFont="1" applyFill="1" applyBorder="1"/>
    <xf numFmtId="0" fontId="48" fillId="3" borderId="1" xfId="0" applyFont="1" applyFill="1" applyBorder="1" applyAlignment="1">
      <alignment horizontal="center" wrapText="1"/>
    </xf>
    <xf numFmtId="0" fontId="42" fillId="0" borderId="13" xfId="1" applyNumberFormat="1" applyFont="1" applyFill="1" applyBorder="1" applyAlignment="1">
      <alignment horizontal="left" vertical="center"/>
    </xf>
    <xf numFmtId="43" fontId="42" fillId="0" borderId="13" xfId="1" applyFont="1" applyFill="1" applyBorder="1" applyAlignment="1">
      <alignment horizontal="center" vertical="center"/>
    </xf>
    <xf numFmtId="164" fontId="42" fillId="0" borderId="1" xfId="1" applyNumberFormat="1" applyFont="1" applyFill="1" applyBorder="1" applyAlignment="1">
      <alignment horizontal="center" vertical="center"/>
    </xf>
    <xf numFmtId="43" fontId="21" fillId="0" borderId="1" xfId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wrapText="1"/>
    </xf>
    <xf numFmtId="164" fontId="42" fillId="2" borderId="2" xfId="1" applyNumberFormat="1" applyFont="1" applyFill="1" applyBorder="1" applyAlignment="1">
      <alignment horizontal="center" vertical="center"/>
    </xf>
    <xf numFmtId="43" fontId="42" fillId="3" borderId="13" xfId="1" applyFont="1" applyFill="1" applyBorder="1" applyAlignment="1">
      <alignment horizontal="center" vertical="center"/>
    </xf>
    <xf numFmtId="43" fontId="31" fillId="6" borderId="0" xfId="1" applyFont="1" applyFill="1" applyAlignment="1"/>
    <xf numFmtId="43" fontId="32" fillId="5" borderId="0" xfId="1" applyFont="1" applyFill="1" applyAlignment="1"/>
    <xf numFmtId="164" fontId="42" fillId="6" borderId="1" xfId="1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left"/>
    </xf>
    <xf numFmtId="164" fontId="21" fillId="0" borderId="1" xfId="1" applyNumberFormat="1" applyFont="1" applyFill="1" applyBorder="1"/>
    <xf numFmtId="164" fontId="22" fillId="12" borderId="1" xfId="1" applyNumberFormat="1" applyFont="1" applyFill="1" applyBorder="1"/>
    <xf numFmtId="0" fontId="14" fillId="12" borderId="1" xfId="0" applyFont="1" applyFill="1" applyBorder="1" applyAlignment="1">
      <alignment horizontal="center" wrapText="1"/>
    </xf>
    <xf numFmtId="164" fontId="22" fillId="13" borderId="1" xfId="1" applyNumberFormat="1" applyFont="1" applyFill="1" applyBorder="1"/>
    <xf numFmtId="0" fontId="47" fillId="13" borderId="1" xfId="0" applyFont="1" applyFill="1" applyBorder="1" applyAlignment="1">
      <alignment horizontal="center" wrapText="1"/>
    </xf>
    <xf numFmtId="0" fontId="14" fillId="13" borderId="1" xfId="0" applyFont="1" applyFill="1" applyBorder="1" applyAlignment="1">
      <alignment horizontal="center" wrapText="1"/>
    </xf>
    <xf numFmtId="164" fontId="27" fillId="0" borderId="1" xfId="1" applyNumberFormat="1" applyFont="1" applyFill="1" applyBorder="1" applyAlignment="1">
      <alignment horizontal="center" vertical="center"/>
    </xf>
    <xf numFmtId="164" fontId="27" fillId="0" borderId="1" xfId="1" applyNumberFormat="1" applyFont="1" applyFill="1" applyBorder="1" applyAlignment="1">
      <alignment horizontal="center" vertical="center" wrapText="1"/>
    </xf>
    <xf numFmtId="43" fontId="22" fillId="0" borderId="3" xfId="1" applyFont="1" applyFill="1" applyBorder="1" applyAlignment="1">
      <alignment horizontal="right" vertical="center"/>
    </xf>
    <xf numFmtId="43" fontId="48" fillId="0" borderId="1" xfId="1" applyFont="1" applyFill="1" applyBorder="1" applyAlignment="1">
      <alignment horizontal="center" wrapText="1"/>
    </xf>
    <xf numFmtId="0" fontId="48" fillId="0" borderId="14" xfId="0" applyFont="1" applyFill="1" applyBorder="1" applyAlignment="1">
      <alignment horizontal="center" wrapText="1"/>
    </xf>
    <xf numFmtId="43" fontId="48" fillId="0" borderId="14" xfId="0" applyNumberFormat="1" applyFont="1" applyFill="1" applyBorder="1" applyAlignment="1">
      <alignment horizontal="center" wrapText="1"/>
    </xf>
    <xf numFmtId="43" fontId="48" fillId="0" borderId="14" xfId="1" applyFont="1" applyFill="1" applyBorder="1" applyAlignment="1">
      <alignment horizontal="center" wrapText="1"/>
    </xf>
    <xf numFmtId="43" fontId="22" fillId="6" borderId="3" xfId="1" applyFont="1" applyFill="1" applyBorder="1" applyAlignment="1">
      <alignment horizontal="right" vertical="center"/>
    </xf>
    <xf numFmtId="164" fontId="25" fillId="0" borderId="1" xfId="1" applyNumberFormat="1" applyFont="1" applyFill="1" applyBorder="1" applyAlignment="1">
      <alignment wrapText="1"/>
    </xf>
    <xf numFmtId="0" fontId="25" fillId="0" borderId="14" xfId="1" applyNumberFormat="1" applyFont="1" applyFill="1" applyBorder="1" applyAlignment="1">
      <alignment horizontal="left" wrapText="1"/>
    </xf>
    <xf numFmtId="43" fontId="48" fillId="0" borderId="14" xfId="1" applyFont="1" applyFill="1" applyBorder="1"/>
    <xf numFmtId="14" fontId="25" fillId="0" borderId="1" xfId="1" applyNumberFormat="1" applyFont="1" applyFill="1" applyBorder="1" applyAlignment="1">
      <alignment wrapText="1"/>
    </xf>
    <xf numFmtId="165" fontId="25" fillId="0" borderId="1" xfId="1" applyNumberFormat="1" applyFont="1" applyFill="1" applyBorder="1" applyAlignment="1">
      <alignment wrapText="1"/>
    </xf>
    <xf numFmtId="43" fontId="25" fillId="0" borderId="1" xfId="1" applyFont="1" applyFill="1" applyBorder="1" applyAlignment="1">
      <alignment wrapText="1"/>
    </xf>
    <xf numFmtId="164" fontId="25" fillId="2" borderId="1" xfId="1" applyNumberFormat="1" applyFont="1" applyFill="1" applyBorder="1" applyAlignment="1">
      <alignment wrapText="1"/>
    </xf>
    <xf numFmtId="165" fontId="48" fillId="0" borderId="1" xfId="1" applyNumberFormat="1" applyFont="1" applyFill="1" applyBorder="1" applyAlignment="1">
      <alignment horizontal="center" wrapText="1"/>
    </xf>
    <xf numFmtId="43" fontId="25" fillId="0" borderId="1" xfId="0" applyNumberFormat="1" applyFont="1" applyFill="1" applyBorder="1"/>
    <xf numFmtId="43" fontId="25" fillId="0" borderId="1" xfId="1" applyFont="1" applyFill="1" applyBorder="1"/>
    <xf numFmtId="0" fontId="25" fillId="2" borderId="14" xfId="0" applyFont="1" applyFill="1" applyBorder="1"/>
    <xf numFmtId="0" fontId="25" fillId="2" borderId="1" xfId="0" applyFont="1" applyFill="1" applyBorder="1"/>
    <xf numFmtId="164" fontId="25" fillId="3" borderId="14" xfId="1" applyNumberFormat="1" applyFont="1" applyFill="1" applyBorder="1"/>
    <xf numFmtId="0" fontId="46" fillId="0" borderId="1" xfId="0" applyFont="1" applyFill="1" applyBorder="1" applyAlignment="1">
      <alignment horizontal="left"/>
    </xf>
    <xf numFmtId="164" fontId="46" fillId="0" borderId="1" xfId="1" applyNumberFormat="1" applyFont="1" applyFill="1" applyBorder="1" applyAlignment="1">
      <alignment horizontal="center" vertical="center"/>
    </xf>
    <xf numFmtId="164" fontId="41" fillId="0" borderId="1" xfId="1" applyNumberFormat="1" applyFont="1" applyFill="1" applyBorder="1"/>
    <xf numFmtId="164" fontId="41" fillId="0" borderId="14" xfId="1" applyNumberFormat="1" applyFont="1" applyFill="1" applyBorder="1"/>
    <xf numFmtId="0" fontId="41" fillId="0" borderId="0" xfId="0" applyFont="1" applyFill="1"/>
    <xf numFmtId="164" fontId="45" fillId="2" borderId="2" xfId="1" applyNumberFormat="1" applyFont="1" applyFill="1" applyBorder="1" applyAlignment="1">
      <alignment horizontal="center" vertical="center"/>
    </xf>
    <xf numFmtId="164" fontId="46" fillId="4" borderId="1" xfId="1" applyNumberFormat="1" applyFont="1" applyFill="1" applyBorder="1" applyAlignment="1">
      <alignment horizontal="center" vertical="center"/>
    </xf>
    <xf numFmtId="164" fontId="41" fillId="4" borderId="14" xfId="1" applyNumberFormat="1" applyFont="1" applyFill="1" applyBorder="1"/>
    <xf numFmtId="0" fontId="48" fillId="3" borderId="1" xfId="0" applyFont="1" applyFill="1" applyBorder="1"/>
    <xf numFmtId="0" fontId="42" fillId="0" borderId="1" xfId="1" applyNumberFormat="1" applyFont="1" applyFill="1" applyBorder="1" applyAlignment="1">
      <alignment horizontal="left" vertical="center"/>
    </xf>
    <xf numFmtId="164" fontId="21" fillId="0" borderId="14" xfId="1" applyNumberFormat="1" applyFont="1" applyFill="1" applyBorder="1" applyAlignment="1">
      <alignment horizontal="right" vertical="center"/>
    </xf>
    <xf numFmtId="0" fontId="15" fillId="0" borderId="14" xfId="0" applyFont="1" applyFill="1" applyBorder="1" applyAlignment="1">
      <alignment horizontal="center" wrapText="1"/>
    </xf>
    <xf numFmtId="164" fontId="10" fillId="0" borderId="14" xfId="1" applyNumberFormat="1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164" fontId="10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164" fontId="42" fillId="2" borderId="1" xfId="1" applyNumberFormat="1" applyFont="1" applyFill="1" applyBorder="1" applyAlignment="1">
      <alignment horizontal="center" vertical="center"/>
    </xf>
    <xf numFmtId="0" fontId="27" fillId="0" borderId="1" xfId="1" applyNumberFormat="1" applyFont="1" applyFill="1" applyBorder="1" applyAlignment="1">
      <alignment horizontal="left" vertical="center"/>
    </xf>
    <xf numFmtId="164" fontId="27" fillId="2" borderId="1" xfId="1" applyNumberFormat="1" applyFont="1" applyFill="1" applyBorder="1" applyAlignment="1">
      <alignment horizontal="center" vertical="center"/>
    </xf>
    <xf numFmtId="164" fontId="27" fillId="0" borderId="14" xfId="1" applyNumberFormat="1" applyFont="1" applyFill="1" applyBorder="1" applyAlignment="1">
      <alignment horizontal="center" vertical="center"/>
    </xf>
    <xf numFmtId="164" fontId="27" fillId="0" borderId="1" xfId="1" applyNumberFormat="1" applyFont="1" applyFill="1" applyBorder="1" applyAlignment="1">
      <alignment horizontal="right" vertical="center"/>
    </xf>
    <xf numFmtId="43" fontId="22" fillId="9" borderId="14" xfId="1" applyFont="1" applyFill="1" applyBorder="1" applyAlignment="1">
      <alignment horizontal="right" vertical="center"/>
    </xf>
    <xf numFmtId="43" fontId="23" fillId="9" borderId="1" xfId="1" applyFont="1" applyFill="1" applyBorder="1"/>
    <xf numFmtId="164" fontId="22" fillId="0" borderId="14" xfId="1" applyNumberFormat="1" applyFont="1" applyFill="1" applyBorder="1" applyAlignment="1">
      <alignment horizontal="center" vertical="center"/>
    </xf>
    <xf numFmtId="0" fontId="22" fillId="0" borderId="14" xfId="0" applyFont="1" applyFill="1" applyBorder="1" applyAlignment="1">
      <alignment horizontal="left"/>
    </xf>
    <xf numFmtId="14" fontId="25" fillId="0" borderId="1" xfId="0" applyNumberFormat="1" applyFont="1" applyFill="1" applyBorder="1"/>
    <xf numFmtId="164" fontId="25" fillId="0" borderId="1" xfId="1" applyNumberFormat="1" applyFont="1" applyFill="1" applyBorder="1" applyAlignment="1">
      <alignment horizontal="center"/>
    </xf>
    <xf numFmtId="164" fontId="27" fillId="2" borderId="18" xfId="1" applyNumberFormat="1" applyFont="1" applyFill="1" applyBorder="1" applyAlignment="1">
      <alignment horizontal="center" vertical="center"/>
    </xf>
    <xf numFmtId="43" fontId="24" fillId="0" borderId="10" xfId="1" applyFont="1" applyFill="1" applyBorder="1" applyAlignment="1">
      <alignment horizontal="center" vertical="center" wrapText="1"/>
    </xf>
    <xf numFmtId="0" fontId="40" fillId="0" borderId="1" xfId="0" applyFont="1" applyBorder="1" applyAlignment="1">
      <alignment horizontal="center"/>
    </xf>
    <xf numFmtId="164" fontId="42" fillId="0" borderId="2" xfId="1" applyNumberFormat="1" applyFont="1" applyFill="1" applyBorder="1" applyAlignment="1">
      <alignment horizontal="center" vertical="center"/>
    </xf>
    <xf numFmtId="43" fontId="21" fillId="5" borderId="1" xfId="1" applyFont="1" applyFill="1" applyBorder="1" applyAlignment="1">
      <alignment horizontal="right" vertical="center"/>
    </xf>
    <xf numFmtId="0" fontId="47" fillId="0" borderId="1" xfId="0" applyFont="1" applyFill="1" applyBorder="1" applyAlignment="1">
      <alignment horizontal="center" wrapText="1"/>
    </xf>
    <xf numFmtId="0" fontId="14" fillId="0" borderId="1" xfId="0" applyFont="1" applyFill="1" applyBorder="1" applyAlignment="1">
      <alignment horizontal="center" wrapText="1"/>
    </xf>
    <xf numFmtId="43" fontId="21" fillId="13" borderId="1" xfId="1" applyFont="1" applyFill="1" applyBorder="1" applyAlignment="1">
      <alignment horizontal="right" vertical="center"/>
    </xf>
    <xf numFmtId="164" fontId="27" fillId="14" borderId="1" xfId="1" applyNumberFormat="1" applyFont="1" applyFill="1" applyBorder="1" applyAlignment="1">
      <alignment horizontal="center" vertical="center" wrapText="1"/>
    </xf>
    <xf numFmtId="164" fontId="27" fillId="0" borderId="18" xfId="1" applyNumberFormat="1" applyFont="1" applyFill="1" applyBorder="1" applyAlignment="1">
      <alignment horizontal="center" vertical="center"/>
    </xf>
    <xf numFmtId="164" fontId="25" fillId="0" borderId="1" xfId="1" applyNumberFormat="1" applyFont="1" applyFill="1" applyBorder="1" applyAlignment="1">
      <alignment horizontal="left"/>
    </xf>
    <xf numFmtId="43" fontId="24" fillId="0" borderId="9" xfId="1" applyFont="1" applyFill="1" applyBorder="1" applyAlignment="1">
      <alignment wrapText="1"/>
    </xf>
    <xf numFmtId="43" fontId="22" fillId="0" borderId="0" xfId="1" applyFont="1" applyFill="1" applyAlignment="1">
      <alignment horizontal="center" wrapText="1"/>
    </xf>
    <xf numFmtId="43" fontId="25" fillId="0" borderId="0" xfId="1" applyFont="1" applyFill="1" applyAlignment="1">
      <alignment horizontal="center" wrapText="1"/>
    </xf>
    <xf numFmtId="43" fontId="25" fillId="0" borderId="0" xfId="1" applyFont="1" applyAlignment="1">
      <alignment horizontal="center" wrapText="1"/>
    </xf>
    <xf numFmtId="43" fontId="40" fillId="0" borderId="0" xfId="1" applyFont="1" applyAlignment="1">
      <alignment horizontal="center" wrapText="1"/>
    </xf>
    <xf numFmtId="43" fontId="28" fillId="0" borderId="0" xfId="1" applyFont="1" applyAlignment="1">
      <alignment horizontal="center" wrapText="1"/>
    </xf>
    <xf numFmtId="164" fontId="45" fillId="0" borderId="2" xfId="1" applyNumberFormat="1" applyFont="1" applyFill="1" applyBorder="1" applyAlignment="1">
      <alignment horizontal="center" vertical="center"/>
    </xf>
    <xf numFmtId="43" fontId="24" fillId="6" borderId="9" xfId="1" applyFont="1" applyFill="1" applyBorder="1" applyAlignment="1">
      <alignment horizontal="center" vertical="center" wrapText="1"/>
    </xf>
    <xf numFmtId="43" fontId="24" fillId="0" borderId="19" xfId="1" applyFont="1" applyFill="1" applyBorder="1" applyAlignment="1">
      <alignment horizontal="center" vertical="center" wrapText="1"/>
    </xf>
    <xf numFmtId="0" fontId="25" fillId="5" borderId="15" xfId="0" applyFont="1" applyFill="1" applyBorder="1" applyAlignment="1">
      <alignment horizontal="center"/>
    </xf>
    <xf numFmtId="43" fontId="25" fillId="3" borderId="1" xfId="1" applyFont="1" applyFill="1" applyBorder="1"/>
    <xf numFmtId="43" fontId="27" fillId="0" borderId="1" xfId="1" applyFont="1" applyFill="1" applyBorder="1" applyAlignment="1">
      <alignment horizontal="center" vertical="center" wrapText="1"/>
    </xf>
    <xf numFmtId="43" fontId="25" fillId="3" borderId="14" xfId="1" applyFont="1" applyFill="1" applyBorder="1"/>
    <xf numFmtId="43" fontId="23" fillId="0" borderId="10" xfId="1" applyFont="1" applyFill="1" applyBorder="1" applyAlignment="1">
      <alignment horizontal="center" vertical="center" wrapText="1"/>
    </xf>
    <xf numFmtId="43" fontId="23" fillId="6" borderId="21" xfId="1" applyFont="1" applyFill="1" applyBorder="1" applyAlignment="1">
      <alignment horizontal="center" vertical="center" wrapText="1"/>
    </xf>
    <xf numFmtId="43" fontId="22" fillId="0" borderId="14" xfId="1" applyFont="1" applyFill="1" applyBorder="1" applyAlignment="1">
      <alignment horizontal="center" wrapText="1"/>
    </xf>
    <xf numFmtId="0" fontId="22" fillId="0" borderId="0" xfId="0" applyFont="1" applyAlignment="1"/>
    <xf numFmtId="0" fontId="22" fillId="0" borderId="0" xfId="0" applyFont="1" applyAlignment="1">
      <alignment horizontal="center" wrapText="1"/>
    </xf>
    <xf numFmtId="164" fontId="27" fillId="3" borderId="1" xfId="1" applyNumberFormat="1" applyFont="1" applyFill="1" applyBorder="1" applyAlignment="1">
      <alignment horizontal="right" vertical="center"/>
    </xf>
    <xf numFmtId="43" fontId="27" fillId="14" borderId="1" xfId="1" applyFont="1" applyFill="1" applyBorder="1" applyAlignment="1">
      <alignment horizontal="center" vertical="center" wrapText="1"/>
    </xf>
    <xf numFmtId="43" fontId="48" fillId="0" borderId="1" xfId="0" applyNumberFormat="1" applyFont="1" applyFill="1" applyBorder="1" applyAlignment="1">
      <alignment horizontal="center" wrapText="1"/>
    </xf>
    <xf numFmtId="164" fontId="48" fillId="0" borderId="1" xfId="1" applyNumberFormat="1" applyFont="1" applyFill="1" applyBorder="1" applyAlignment="1">
      <alignment horizontal="center"/>
    </xf>
    <xf numFmtId="0" fontId="53" fillId="0" borderId="1" xfId="0" applyFont="1" applyFill="1" applyBorder="1" applyAlignment="1">
      <alignment horizontal="left"/>
    </xf>
    <xf numFmtId="43" fontId="22" fillId="14" borderId="3" xfId="1" applyFont="1" applyFill="1" applyBorder="1" applyAlignment="1">
      <alignment horizontal="right" vertical="center"/>
    </xf>
    <xf numFmtId="0" fontId="54" fillId="0" borderId="14" xfId="0" applyFont="1" applyFill="1" applyBorder="1" applyAlignment="1">
      <alignment horizontal="left"/>
    </xf>
    <xf numFmtId="0" fontId="25" fillId="12" borderId="1" xfId="0" applyFont="1" applyFill="1" applyBorder="1"/>
    <xf numFmtId="43" fontId="25" fillId="9" borderId="14" xfId="1" applyFont="1" applyFill="1" applyBorder="1"/>
    <xf numFmtId="164" fontId="25" fillId="9" borderId="1" xfId="1" applyNumberFormat="1" applyFont="1" applyFill="1" applyBorder="1"/>
    <xf numFmtId="164" fontId="15" fillId="0" borderId="1" xfId="1" applyNumberFormat="1" applyFont="1" applyFill="1" applyBorder="1"/>
    <xf numFmtId="43" fontId="15" fillId="0" borderId="1" xfId="1" applyFont="1" applyFill="1" applyBorder="1"/>
    <xf numFmtId="164" fontId="15" fillId="6" borderId="1" xfId="1" applyNumberFormat="1" applyFont="1" applyFill="1" applyBorder="1"/>
    <xf numFmtId="164" fontId="14" fillId="0" borderId="1" xfId="1" applyNumberFormat="1" applyFont="1" applyFill="1" applyBorder="1"/>
    <xf numFmtId="164" fontId="22" fillId="2" borderId="14" xfId="1" applyNumberFormat="1" applyFont="1" applyFill="1" applyBorder="1"/>
    <xf numFmtId="43" fontId="22" fillId="15" borderId="1" xfId="1" applyFont="1" applyFill="1" applyBorder="1" applyAlignment="1">
      <alignment horizontal="right" vertical="center"/>
    </xf>
    <xf numFmtId="0" fontId="25" fillId="15" borderId="1" xfId="0" applyFont="1" applyFill="1" applyBorder="1" applyAlignment="1">
      <alignment horizontal="center" wrapText="1"/>
    </xf>
    <xf numFmtId="0" fontId="55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 wrapText="1"/>
    </xf>
    <xf numFmtId="43" fontId="25" fillId="7" borderId="0" xfId="1" applyFont="1" applyFill="1" applyAlignment="1">
      <alignment horizontal="center" wrapText="1"/>
    </xf>
    <xf numFmtId="43" fontId="48" fillId="0" borderId="0" xfId="1" applyFont="1" applyFill="1" applyAlignment="1">
      <alignment horizontal="center" wrapText="1"/>
    </xf>
    <xf numFmtId="0" fontId="22" fillId="15" borderId="14" xfId="0" applyFont="1" applyFill="1" applyBorder="1"/>
    <xf numFmtId="0" fontId="22" fillId="15" borderId="1" xfId="0" applyFont="1" applyFill="1" applyBorder="1"/>
    <xf numFmtId="43" fontId="22" fillId="6" borderId="1" xfId="1" applyFont="1" applyFill="1" applyBorder="1"/>
    <xf numFmtId="164" fontId="22" fillId="3" borderId="1" xfId="1" applyNumberFormat="1" applyFont="1" applyFill="1" applyBorder="1"/>
    <xf numFmtId="0" fontId="47" fillId="3" borderId="1" xfId="0" applyFont="1" applyFill="1" applyBorder="1" applyAlignment="1">
      <alignment horizontal="center" wrapText="1"/>
    </xf>
    <xf numFmtId="0" fontId="25" fillId="6" borderId="1" xfId="0" applyFont="1" applyFill="1" applyBorder="1"/>
    <xf numFmtId="164" fontId="27" fillId="8" borderId="2" xfId="1" applyNumberFormat="1" applyFont="1" applyFill="1" applyBorder="1" applyAlignment="1">
      <alignment horizontal="center" vertical="center"/>
    </xf>
    <xf numFmtId="164" fontId="25" fillId="8" borderId="1" xfId="1" applyNumberFormat="1" applyFont="1" applyFill="1" applyBorder="1"/>
    <xf numFmtId="164" fontId="42" fillId="8" borderId="2" xfId="1" applyNumberFormat="1" applyFont="1" applyFill="1" applyBorder="1" applyAlignment="1">
      <alignment horizontal="center" vertical="center"/>
    </xf>
    <xf numFmtId="164" fontId="25" fillId="3" borderId="1" xfId="1" applyNumberFormat="1" applyFont="1" applyFill="1" applyBorder="1"/>
    <xf numFmtId="164" fontId="25" fillId="8" borderId="1" xfId="1" applyNumberFormat="1" applyFont="1" applyFill="1" applyBorder="1" applyAlignment="1">
      <alignment wrapText="1"/>
    </xf>
    <xf numFmtId="0" fontId="25" fillId="8" borderId="1" xfId="0" applyFont="1" applyFill="1" applyBorder="1"/>
    <xf numFmtId="0" fontId="25" fillId="8" borderId="14" xfId="0" applyFont="1" applyFill="1" applyBorder="1"/>
    <xf numFmtId="164" fontId="45" fillId="8" borderId="2" xfId="1" applyNumberFormat="1" applyFont="1" applyFill="1" applyBorder="1" applyAlignment="1">
      <alignment horizontal="center" vertical="center"/>
    </xf>
    <xf numFmtId="164" fontId="42" fillId="8" borderId="1" xfId="1" applyNumberFormat="1" applyFont="1" applyFill="1" applyBorder="1" applyAlignment="1">
      <alignment horizontal="center" vertical="center"/>
    </xf>
    <xf numFmtId="164" fontId="27" fillId="8" borderId="1" xfId="1" applyNumberFormat="1" applyFont="1" applyFill="1" applyBorder="1" applyAlignment="1">
      <alignment horizontal="center" vertical="center"/>
    </xf>
    <xf numFmtId="164" fontId="27" fillId="8" borderId="18" xfId="1" applyNumberFormat="1" applyFont="1" applyFill="1" applyBorder="1" applyAlignment="1">
      <alignment horizontal="center" vertical="center"/>
    </xf>
    <xf numFmtId="164" fontId="25" fillId="15" borderId="1" xfId="1" applyNumberFormat="1" applyFont="1" applyFill="1" applyBorder="1"/>
    <xf numFmtId="43" fontId="22" fillId="15" borderId="3" xfId="1" applyFont="1" applyFill="1" applyBorder="1" applyAlignment="1">
      <alignment horizontal="right" vertical="center"/>
    </xf>
    <xf numFmtId="164" fontId="27" fillId="4" borderId="2" xfId="1" applyNumberFormat="1" applyFont="1" applyFill="1" applyBorder="1" applyAlignment="1">
      <alignment horizontal="center" vertical="center"/>
    </xf>
    <xf numFmtId="164" fontId="48" fillId="3" borderId="1" xfId="1" applyNumberFormat="1" applyFont="1" applyFill="1" applyBorder="1"/>
    <xf numFmtId="164" fontId="25" fillId="4" borderId="1" xfId="1" applyNumberFormat="1" applyFont="1" applyFill="1" applyBorder="1"/>
    <xf numFmtId="43" fontId="25" fillId="4" borderId="1" xfId="1" applyFont="1" applyFill="1" applyBorder="1"/>
    <xf numFmtId="0" fontId="25" fillId="4" borderId="1" xfId="0" applyFont="1" applyFill="1" applyBorder="1"/>
    <xf numFmtId="164" fontId="42" fillId="4" borderId="2" xfId="1" applyNumberFormat="1" applyFont="1" applyFill="1" applyBorder="1" applyAlignment="1">
      <alignment horizontal="center" vertical="center"/>
    </xf>
    <xf numFmtId="164" fontId="25" fillId="4" borderId="1" xfId="1" applyNumberFormat="1" applyFont="1" applyFill="1" applyBorder="1" applyAlignment="1">
      <alignment wrapText="1"/>
    </xf>
    <xf numFmtId="0" fontId="25" fillId="3" borderId="1" xfId="0" applyFont="1" applyFill="1" applyBorder="1"/>
    <xf numFmtId="0" fontId="25" fillId="4" borderId="14" xfId="0" applyFont="1" applyFill="1" applyBorder="1"/>
    <xf numFmtId="164" fontId="45" fillId="4" borderId="2" xfId="1" applyNumberFormat="1" applyFont="1" applyFill="1" applyBorder="1" applyAlignment="1">
      <alignment horizontal="center" vertical="center"/>
    </xf>
    <xf numFmtId="164" fontId="42" fillId="4" borderId="1" xfId="1" applyNumberFormat="1" applyFont="1" applyFill="1" applyBorder="1" applyAlignment="1">
      <alignment horizontal="center" vertical="center"/>
    </xf>
    <xf numFmtId="164" fontId="27" fillId="4" borderId="1" xfId="1" applyNumberFormat="1" applyFont="1" applyFill="1" applyBorder="1" applyAlignment="1">
      <alignment horizontal="center" vertical="center"/>
    </xf>
    <xf numFmtId="43" fontId="22" fillId="3" borderId="14" xfId="1" applyFont="1" applyFill="1" applyBorder="1" applyAlignment="1">
      <alignment horizontal="right" vertical="center"/>
    </xf>
    <xf numFmtId="164" fontId="27" fillId="4" borderId="18" xfId="1" applyNumberFormat="1" applyFont="1" applyFill="1" applyBorder="1" applyAlignment="1">
      <alignment horizontal="center" vertical="center"/>
    </xf>
    <xf numFmtId="0" fontId="25" fillId="15" borderId="1" xfId="0" applyFont="1" applyFill="1" applyBorder="1"/>
    <xf numFmtId="43" fontId="21" fillId="6" borderId="1" xfId="1" applyFont="1" applyFill="1" applyBorder="1" applyAlignment="1">
      <alignment horizontal="right" vertical="center"/>
    </xf>
    <xf numFmtId="43" fontId="15" fillId="6" borderId="1" xfId="1" applyFont="1" applyFill="1" applyBorder="1"/>
    <xf numFmtId="164" fontId="14" fillId="3" borderId="1" xfId="1" applyNumberFormat="1" applyFont="1" applyFill="1" applyBorder="1"/>
    <xf numFmtId="43" fontId="46" fillId="0" borderId="14" xfId="1" applyFont="1" applyFill="1" applyBorder="1"/>
    <xf numFmtId="43" fontId="46" fillId="3" borderId="14" xfId="1" applyFont="1" applyFill="1" applyBorder="1"/>
    <xf numFmtId="0" fontId="48" fillId="0" borderId="1" xfId="0" applyFont="1" applyBorder="1"/>
    <xf numFmtId="43" fontId="41" fillId="4" borderId="1" xfId="1" applyFont="1" applyFill="1" applyBorder="1"/>
    <xf numFmtId="43" fontId="41" fillId="0" borderId="1" xfId="1" applyFont="1" applyFill="1" applyBorder="1"/>
    <xf numFmtId="43" fontId="46" fillId="4" borderId="1" xfId="1" applyFont="1" applyFill="1" applyBorder="1" applyAlignment="1">
      <alignment horizontal="center" vertical="center"/>
    </xf>
    <xf numFmtId="43" fontId="46" fillId="0" borderId="1" xfId="1" applyFont="1" applyFill="1" applyBorder="1" applyAlignment="1">
      <alignment horizontal="center" vertical="center"/>
    </xf>
    <xf numFmtId="43" fontId="43" fillId="0" borderId="1" xfId="1" applyFont="1" applyFill="1" applyBorder="1" applyAlignment="1"/>
    <xf numFmtId="164" fontId="25" fillId="2" borderId="14" xfId="1" applyNumberFormat="1" applyFont="1" applyFill="1" applyBorder="1"/>
    <xf numFmtId="164" fontId="25" fillId="8" borderId="14" xfId="1" applyNumberFormat="1" applyFont="1" applyFill="1" applyBorder="1"/>
    <xf numFmtId="164" fontId="24" fillId="0" borderId="14" xfId="1" applyNumberFormat="1" applyFont="1" applyBorder="1"/>
    <xf numFmtId="0" fontId="30" fillId="0" borderId="0" xfId="0" applyFont="1" applyAlignment="1">
      <alignment horizontal="left"/>
    </xf>
    <xf numFmtId="0" fontId="31" fillId="7" borderId="0" xfId="0" applyFont="1" applyFill="1" applyAlignment="1">
      <alignment horizontal="left"/>
    </xf>
    <xf numFmtId="43" fontId="40" fillId="0" borderId="0" xfId="1" applyFont="1" applyFill="1"/>
    <xf numFmtId="43" fontId="40" fillId="12" borderId="0" xfId="1" applyFont="1" applyFill="1"/>
    <xf numFmtId="43" fontId="28" fillId="0" borderId="0" xfId="1" applyFont="1" applyFill="1"/>
    <xf numFmtId="0" fontId="56" fillId="0" borderId="14" xfId="0" applyFont="1" applyFill="1" applyBorder="1" applyAlignment="1">
      <alignment horizontal="left"/>
    </xf>
    <xf numFmtId="0" fontId="57" fillId="0" borderId="10" xfId="1" applyNumberFormat="1" applyFont="1" applyFill="1" applyBorder="1" applyAlignment="1">
      <alignment horizontal="center" vertical="center" wrapText="1"/>
    </xf>
    <xf numFmtId="0" fontId="58" fillId="0" borderId="10" xfId="0" applyFont="1" applyBorder="1" applyAlignment="1"/>
    <xf numFmtId="0" fontId="58" fillId="5" borderId="10" xfId="0" applyFont="1" applyFill="1" applyBorder="1" applyAlignment="1"/>
    <xf numFmtId="43" fontId="25" fillId="7" borderId="3" xfId="1" applyFont="1" applyFill="1" applyBorder="1" applyAlignment="1">
      <alignment horizontal="center" vertical="center" wrapText="1"/>
    </xf>
    <xf numFmtId="43" fontId="25" fillId="7" borderId="13" xfId="1" applyFont="1" applyFill="1" applyBorder="1" applyAlignment="1">
      <alignment horizontal="center" vertical="center" wrapText="1"/>
    </xf>
    <xf numFmtId="43" fontId="25" fillId="2" borderId="1" xfId="1" applyFont="1" applyFill="1" applyBorder="1" applyAlignment="1">
      <alignment horizontal="center" vertical="center" wrapText="1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3" fillId="2" borderId="3" xfId="0" applyFont="1" applyFill="1" applyBorder="1" applyAlignment="1">
      <alignment horizontal="right"/>
    </xf>
    <xf numFmtId="0" fontId="23" fillId="2" borderId="12" xfId="0" applyFont="1" applyFill="1" applyBorder="1" applyAlignment="1">
      <alignment horizontal="right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164" fontId="24" fillId="0" borderId="6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vertical="center" wrapText="1"/>
    </xf>
    <xf numFmtId="43" fontId="24" fillId="7" borderId="12" xfId="1" applyFont="1" applyFill="1" applyBorder="1" applyAlignment="1">
      <alignment horizontal="center" vertical="center" wrapText="1"/>
    </xf>
    <xf numFmtId="164" fontId="25" fillId="0" borderId="3" xfId="1" applyNumberFormat="1" applyFont="1" applyBorder="1" applyAlignment="1">
      <alignment horizontal="right"/>
    </xf>
    <xf numFmtId="164" fontId="25" fillId="0" borderId="12" xfId="1" applyNumberFormat="1" applyFont="1" applyBorder="1" applyAlignment="1">
      <alignment horizontal="right"/>
    </xf>
    <xf numFmtId="164" fontId="25" fillId="0" borderId="13" xfId="1" applyNumberFormat="1" applyFont="1" applyBorder="1" applyAlignment="1">
      <alignment horizontal="right"/>
    </xf>
    <xf numFmtId="0" fontId="25" fillId="6" borderId="3" xfId="0" applyFont="1" applyFill="1" applyBorder="1" applyAlignment="1">
      <alignment horizontal="center"/>
    </xf>
    <xf numFmtId="0" fontId="25" fillId="6" borderId="12" xfId="0" applyFont="1" applyFill="1" applyBorder="1" applyAlignment="1">
      <alignment horizontal="center"/>
    </xf>
    <xf numFmtId="0" fontId="25" fillId="7" borderId="28" xfId="0" applyFont="1" applyFill="1" applyBorder="1" applyAlignment="1">
      <alignment horizontal="center"/>
    </xf>
    <xf numFmtId="0" fontId="25" fillId="7" borderId="29" xfId="0" applyFont="1" applyFill="1" applyBorder="1" applyAlignment="1">
      <alignment horizontal="center"/>
    </xf>
    <xf numFmtId="0" fontId="30" fillId="7" borderId="25" xfId="0" applyFont="1" applyFill="1" applyBorder="1" applyAlignment="1">
      <alignment horizontal="center" wrapText="1"/>
    </xf>
    <xf numFmtId="0" fontId="30" fillId="7" borderId="28" xfId="0" applyFont="1" applyFill="1" applyBorder="1" applyAlignment="1">
      <alignment horizontal="center" wrapText="1"/>
    </xf>
    <xf numFmtId="0" fontId="30" fillId="7" borderId="29" xfId="0" applyFont="1" applyFill="1" applyBorder="1" applyAlignment="1">
      <alignment horizontal="center" wrapText="1"/>
    </xf>
    <xf numFmtId="0" fontId="30" fillId="7" borderId="21" xfId="0" applyFont="1" applyFill="1" applyBorder="1" applyAlignment="1">
      <alignment horizontal="center" wrapText="1"/>
    </xf>
    <xf numFmtId="0" fontId="30" fillId="7" borderId="30" xfId="0" applyFont="1" applyFill="1" applyBorder="1" applyAlignment="1">
      <alignment horizontal="center" wrapText="1"/>
    </xf>
    <xf numFmtId="0" fontId="30" fillId="7" borderId="17" xfId="0" applyFont="1" applyFill="1" applyBorder="1" applyAlignment="1">
      <alignment horizontal="center" wrapText="1"/>
    </xf>
    <xf numFmtId="0" fontId="31" fillId="6" borderId="3" xfId="0" applyFont="1" applyFill="1" applyBorder="1" applyAlignment="1">
      <alignment horizontal="center" vertical="center" wrapText="1"/>
    </xf>
    <xf numFmtId="0" fontId="31" fillId="6" borderId="12" xfId="0" applyFont="1" applyFill="1" applyBorder="1" applyAlignment="1">
      <alignment horizontal="center" vertical="center" wrapText="1"/>
    </xf>
    <xf numFmtId="164" fontId="30" fillId="0" borderId="5" xfId="1" applyNumberFormat="1" applyFont="1" applyBorder="1" applyAlignment="1">
      <alignment horizontal="center" vertical="center" wrapText="1"/>
    </xf>
    <xf numFmtId="164" fontId="30" fillId="0" borderId="8" xfId="1" applyNumberFormat="1" applyFont="1" applyBorder="1" applyAlignment="1">
      <alignment horizontal="center" vertical="center" wrapText="1"/>
    </xf>
    <xf numFmtId="0" fontId="30" fillId="0" borderId="4" xfId="0" applyFont="1" applyFill="1" applyBorder="1" applyAlignment="1">
      <alignment horizontal="center" vertical="center" wrapText="1"/>
    </xf>
    <xf numFmtId="0" fontId="30" fillId="0" borderId="10" xfId="0" applyFont="1" applyFill="1" applyBorder="1" applyAlignment="1">
      <alignment horizontal="center" vertical="center" wrapText="1"/>
    </xf>
    <xf numFmtId="43" fontId="30" fillId="0" borderId="4" xfId="1" applyFont="1" applyFill="1" applyBorder="1" applyAlignment="1">
      <alignment horizontal="center" vertical="center" wrapText="1"/>
    </xf>
    <xf numFmtId="43" fontId="30" fillId="0" borderId="10" xfId="1" applyFont="1" applyFill="1" applyBorder="1" applyAlignment="1">
      <alignment horizontal="center" vertical="center" wrapText="1"/>
    </xf>
    <xf numFmtId="0" fontId="32" fillId="7" borderId="12" xfId="0" applyFont="1" applyFill="1" applyBorder="1" applyAlignment="1">
      <alignment horizontal="center" vertical="center" wrapText="1"/>
    </xf>
    <xf numFmtId="0" fontId="32" fillId="7" borderId="13" xfId="0" applyFont="1" applyFill="1" applyBorder="1" applyAlignment="1">
      <alignment horizontal="center" vertical="center" wrapText="1"/>
    </xf>
    <xf numFmtId="0" fontId="23" fillId="2" borderId="15" xfId="0" applyFont="1" applyFill="1" applyBorder="1" applyAlignment="1">
      <alignment horizontal="center" vertical="center" wrapText="1"/>
    </xf>
    <xf numFmtId="0" fontId="23" fillId="2" borderId="10" xfId="0" applyFont="1" applyFill="1" applyBorder="1" applyAlignment="1">
      <alignment horizontal="center" vertical="center" wrapText="1"/>
    </xf>
    <xf numFmtId="0" fontId="30" fillId="6" borderId="25" xfId="0" applyFont="1" applyFill="1" applyBorder="1" applyAlignment="1">
      <alignment horizontal="center" wrapText="1"/>
    </xf>
    <xf numFmtId="0" fontId="30" fillId="6" borderId="28" xfId="0" applyFont="1" applyFill="1" applyBorder="1" applyAlignment="1">
      <alignment horizontal="center" wrapText="1"/>
    </xf>
    <xf numFmtId="0" fontId="30" fillId="6" borderId="29" xfId="0" applyFont="1" applyFill="1" applyBorder="1" applyAlignment="1">
      <alignment horizontal="center" wrapText="1"/>
    </xf>
    <xf numFmtId="0" fontId="30" fillId="6" borderId="21" xfId="0" applyFont="1" applyFill="1" applyBorder="1" applyAlignment="1">
      <alignment horizontal="center" wrapText="1"/>
    </xf>
    <xf numFmtId="0" fontId="30" fillId="6" borderId="30" xfId="0" applyFont="1" applyFill="1" applyBorder="1" applyAlignment="1">
      <alignment horizontal="center" wrapText="1"/>
    </xf>
    <xf numFmtId="0" fontId="30" fillId="6" borderId="17" xfId="0" applyFont="1" applyFill="1" applyBorder="1" applyAlignment="1">
      <alignment horizontal="center" wrapText="1"/>
    </xf>
    <xf numFmtId="0" fontId="32" fillId="2" borderId="3" xfId="0" applyFont="1" applyFill="1" applyBorder="1" applyAlignment="1">
      <alignment horizontal="right"/>
    </xf>
    <xf numFmtId="0" fontId="32" fillId="2" borderId="12" xfId="0" applyFont="1" applyFill="1" applyBorder="1" applyAlignment="1">
      <alignment horizontal="right"/>
    </xf>
    <xf numFmtId="0" fontId="32" fillId="2" borderId="13" xfId="0" applyFont="1" applyFill="1" applyBorder="1" applyAlignment="1">
      <alignment horizontal="right"/>
    </xf>
    <xf numFmtId="0" fontId="24" fillId="0" borderId="5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164" fontId="30" fillId="2" borderId="3" xfId="1" applyNumberFormat="1" applyFont="1" applyFill="1" applyBorder="1" applyAlignment="1">
      <alignment horizontal="center" vertical="center" wrapText="1"/>
    </xf>
    <xf numFmtId="164" fontId="30" fillId="2" borderId="13" xfId="1" applyNumberFormat="1" applyFont="1" applyFill="1" applyBorder="1" applyAlignment="1">
      <alignment horizontal="center" vertical="center" wrapText="1"/>
    </xf>
    <xf numFmtId="43" fontId="38" fillId="7" borderId="3" xfId="1" applyFont="1" applyFill="1" applyBorder="1" applyAlignment="1">
      <alignment horizontal="center" vertical="center" wrapText="1"/>
    </xf>
    <xf numFmtId="43" fontId="38" fillId="7" borderId="12" xfId="1" applyFont="1" applyFill="1" applyBorder="1" applyAlignment="1">
      <alignment horizontal="center" vertical="center" wrapText="1"/>
    </xf>
    <xf numFmtId="0" fontId="30" fillId="0" borderId="19" xfId="0" applyNumberFormat="1" applyFont="1" applyBorder="1" applyAlignment="1">
      <alignment horizontal="center" vertical="center" wrapText="1"/>
    </xf>
    <xf numFmtId="0" fontId="30" fillId="0" borderId="10" xfId="0" applyNumberFormat="1" applyFont="1" applyBorder="1" applyAlignment="1">
      <alignment horizontal="center" vertical="center" wrapText="1"/>
    </xf>
    <xf numFmtId="43" fontId="30" fillId="0" borderId="19" xfId="1" applyFont="1" applyBorder="1" applyAlignment="1">
      <alignment horizontal="center" vertical="center" wrapText="1"/>
    </xf>
    <xf numFmtId="43" fontId="30" fillId="0" borderId="10" xfId="1" applyFont="1" applyBorder="1" applyAlignment="1">
      <alignment horizontal="center" vertical="center" wrapText="1"/>
    </xf>
    <xf numFmtId="0" fontId="30" fillId="7" borderId="1" xfId="0" applyFont="1" applyFill="1" applyBorder="1" applyAlignment="1">
      <alignment horizontal="center" vertical="center" wrapText="1"/>
    </xf>
    <xf numFmtId="0" fontId="30" fillId="6" borderId="1" xfId="0" applyFont="1" applyFill="1" applyBorder="1" applyAlignment="1">
      <alignment horizontal="center" vertical="center" wrapText="1"/>
    </xf>
    <xf numFmtId="43" fontId="24" fillId="2" borderId="15" xfId="1" applyFont="1" applyFill="1" applyBorder="1" applyAlignment="1">
      <alignment horizontal="center" vertical="center" wrapText="1"/>
    </xf>
    <xf numFmtId="43" fontId="24" fillId="2" borderId="10" xfId="1" applyFont="1" applyFill="1" applyBorder="1" applyAlignment="1">
      <alignment horizontal="center" vertical="center" wrapText="1"/>
    </xf>
    <xf numFmtId="0" fontId="24" fillId="7" borderId="4" xfId="0" applyFont="1" applyFill="1" applyBorder="1" applyAlignment="1">
      <alignment horizontal="center" vertical="center" wrapText="1"/>
    </xf>
    <xf numFmtId="0" fontId="24" fillId="7" borderId="10" xfId="0" applyFont="1" applyFill="1" applyBorder="1" applyAlignment="1">
      <alignment horizontal="center" vertical="center" wrapText="1"/>
    </xf>
    <xf numFmtId="0" fontId="23" fillId="2" borderId="13" xfId="0" applyFont="1" applyFill="1" applyBorder="1" applyAlignment="1">
      <alignment horizontal="right"/>
    </xf>
    <xf numFmtId="0" fontId="24" fillId="7" borderId="1" xfId="0" applyFont="1" applyFill="1" applyBorder="1" applyAlignment="1">
      <alignment horizont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7" borderId="3" xfId="0" applyFont="1" applyFill="1" applyBorder="1" applyAlignment="1">
      <alignment horizontal="center" vertical="center" wrapText="1"/>
    </xf>
    <xf numFmtId="0" fontId="24" fillId="7" borderId="13" xfId="0" applyFont="1" applyFill="1" applyBorder="1" applyAlignment="1">
      <alignment horizontal="center" vertical="center" wrapText="1"/>
    </xf>
    <xf numFmtId="43" fontId="25" fillId="2" borderId="22" xfId="1" applyFont="1" applyFill="1" applyBorder="1" applyAlignment="1">
      <alignment horizontal="center" vertical="center" wrapText="1"/>
    </xf>
    <xf numFmtId="43" fontId="25" fillId="2" borderId="23" xfId="1" applyFont="1" applyFill="1" applyBorder="1" applyAlignment="1">
      <alignment horizontal="center" vertical="center" wrapText="1"/>
    </xf>
    <xf numFmtId="43" fontId="25" fillId="2" borderId="24" xfId="1" applyFont="1" applyFill="1" applyBorder="1" applyAlignment="1">
      <alignment horizontal="center" vertical="center" wrapText="1"/>
    </xf>
    <xf numFmtId="43" fontId="24" fillId="7" borderId="22" xfId="1" applyFont="1" applyFill="1" applyBorder="1" applyAlignment="1">
      <alignment horizontal="center" vertical="center" wrapText="1"/>
    </xf>
    <xf numFmtId="43" fontId="24" fillId="7" borderId="24" xfId="1" applyFont="1" applyFill="1" applyBorder="1" applyAlignment="1">
      <alignment horizontal="center" vertical="center" wrapText="1"/>
    </xf>
    <xf numFmtId="43" fontId="24" fillId="6" borderId="22" xfId="1" applyFont="1" applyFill="1" applyBorder="1" applyAlignment="1">
      <alignment horizontal="center" vertical="center" wrapText="1"/>
    </xf>
    <xf numFmtId="43" fontId="24" fillId="6" borderId="24" xfId="1" applyFont="1" applyFill="1" applyBorder="1" applyAlignment="1">
      <alignment horizontal="center" vertical="center" wrapText="1"/>
    </xf>
    <xf numFmtId="43" fontId="24" fillId="4" borderId="19" xfId="1" applyFont="1" applyFill="1" applyBorder="1" applyAlignment="1">
      <alignment horizontal="center" vertical="center" wrapText="1"/>
    </xf>
    <xf numFmtId="43" fontId="24" fillId="4" borderId="10" xfId="1" applyFont="1" applyFill="1" applyBorder="1" applyAlignment="1">
      <alignment horizontal="center" vertical="center" wrapText="1"/>
    </xf>
    <xf numFmtId="43" fontId="24" fillId="2" borderId="3" xfId="1" applyFont="1" applyFill="1" applyBorder="1" applyAlignment="1">
      <alignment horizontal="right"/>
    </xf>
    <xf numFmtId="43" fontId="24" fillId="2" borderId="12" xfId="1" applyFont="1" applyFill="1" applyBorder="1" applyAlignment="1">
      <alignment horizontal="right"/>
    </xf>
    <xf numFmtId="43" fontId="24" fillId="2" borderId="13" xfId="1" applyFont="1" applyFill="1" applyBorder="1" applyAlignment="1">
      <alignment horizontal="right"/>
    </xf>
    <xf numFmtId="164" fontId="30" fillId="7" borderId="3" xfId="1" applyNumberFormat="1" applyFont="1" applyFill="1" applyBorder="1" applyAlignment="1">
      <alignment horizontal="center"/>
    </xf>
    <xf numFmtId="164" fontId="30" fillId="7" borderId="12" xfId="1" applyNumberFormat="1" applyFont="1" applyFill="1" applyBorder="1" applyAlignment="1">
      <alignment horizontal="center"/>
    </xf>
    <xf numFmtId="164" fontId="30" fillId="7" borderId="13" xfId="1" applyNumberFormat="1" applyFont="1" applyFill="1" applyBorder="1" applyAlignment="1">
      <alignment horizontal="center"/>
    </xf>
    <xf numFmtId="164" fontId="30" fillId="6" borderId="1" xfId="1" applyNumberFormat="1" applyFont="1" applyFill="1" applyBorder="1" applyAlignment="1">
      <alignment horizontal="center"/>
    </xf>
    <xf numFmtId="164" fontId="30" fillId="2" borderId="3" xfId="1" applyNumberFormat="1" applyFont="1" applyFill="1" applyBorder="1" applyAlignment="1">
      <alignment horizontal="center"/>
    </xf>
    <xf numFmtId="164" fontId="30" fillId="2" borderId="12" xfId="1" applyNumberFormat="1" applyFont="1" applyFill="1" applyBorder="1" applyAlignment="1">
      <alignment horizontal="center"/>
    </xf>
    <xf numFmtId="164" fontId="24" fillId="4" borderId="19" xfId="1" applyNumberFormat="1" applyFont="1" applyFill="1" applyBorder="1" applyAlignment="1">
      <alignment horizontal="center" vertical="center" wrapText="1"/>
    </xf>
    <xf numFmtId="164" fontId="24" fillId="4" borderId="10" xfId="1" applyNumberFormat="1" applyFont="1" applyFill="1" applyBorder="1" applyAlignment="1">
      <alignment horizontal="center" vertical="center" wrapText="1"/>
    </xf>
    <xf numFmtId="43" fontId="24" fillId="7" borderId="26" xfId="1" applyFont="1" applyFill="1" applyBorder="1" applyAlignment="1">
      <alignment horizontal="center" vertical="center" wrapText="1"/>
    </xf>
    <xf numFmtId="43" fontId="24" fillId="7" borderId="31" xfId="1" applyFont="1" applyFill="1" applyBorder="1" applyAlignment="1">
      <alignment horizontal="center" vertical="center" wrapText="1"/>
    </xf>
    <xf numFmtId="43" fontId="24" fillId="6" borderId="26" xfId="1" applyFont="1" applyFill="1" applyBorder="1" applyAlignment="1">
      <alignment horizontal="center" vertical="center" wrapText="1"/>
    </xf>
    <xf numFmtId="43" fontId="24" fillId="6" borderId="31" xfId="1" applyFont="1" applyFill="1" applyBorder="1" applyAlignment="1">
      <alignment horizontal="center" vertical="center" wrapText="1"/>
    </xf>
    <xf numFmtId="43" fontId="24" fillId="0" borderId="26" xfId="1" applyFont="1" applyFill="1" applyBorder="1" applyAlignment="1">
      <alignment horizontal="center" vertical="center" wrapText="1"/>
    </xf>
    <xf numFmtId="43" fontId="24" fillId="0" borderId="33" xfId="1" applyFont="1" applyFill="1" applyBorder="1" applyAlignment="1">
      <alignment horizontal="center" vertical="center" wrapText="1"/>
    </xf>
    <xf numFmtId="43" fontId="24" fillId="0" borderId="31" xfId="1" applyFont="1" applyFill="1" applyBorder="1" applyAlignment="1">
      <alignment horizontal="center" vertical="center" wrapText="1"/>
    </xf>
    <xf numFmtId="164" fontId="24" fillId="6" borderId="19" xfId="1" applyNumberFormat="1" applyFont="1" applyFill="1" applyBorder="1" applyAlignment="1">
      <alignment horizontal="center" vertical="center" wrapText="1"/>
    </xf>
    <xf numFmtId="164" fontId="24" fillId="6" borderId="10" xfId="1" applyNumberFormat="1" applyFont="1" applyFill="1" applyBorder="1" applyAlignment="1">
      <alignment horizontal="center" vertical="center" wrapText="1"/>
    </xf>
    <xf numFmtId="164" fontId="30" fillId="2" borderId="1" xfId="1" applyNumberFormat="1" applyFont="1" applyFill="1" applyBorder="1" applyAlignment="1">
      <alignment horizontal="center"/>
    </xf>
    <xf numFmtId="43" fontId="33" fillId="7" borderId="3" xfId="1" applyFont="1" applyFill="1" applyBorder="1" applyAlignment="1">
      <alignment horizontal="center"/>
    </xf>
    <xf numFmtId="43" fontId="33" fillId="7" borderId="12" xfId="1" applyFont="1" applyFill="1" applyBorder="1" applyAlignment="1">
      <alignment horizontal="center"/>
    </xf>
    <xf numFmtId="43" fontId="33" fillId="7" borderId="13" xfId="1" applyFont="1" applyFill="1" applyBorder="1" applyAlignment="1">
      <alignment horizontal="center"/>
    </xf>
    <xf numFmtId="164" fontId="24" fillId="6" borderId="1" xfId="1" applyNumberFormat="1" applyFont="1" applyFill="1" applyBorder="1" applyAlignment="1">
      <alignment horizontal="center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1" xfId="1" applyFont="1" applyFill="1" applyBorder="1" applyAlignment="1">
      <alignment horizontal="center" vertical="center" wrapText="1"/>
    </xf>
    <xf numFmtId="43" fontId="24" fillId="7" borderId="30" xfId="1" applyFont="1" applyFill="1" applyBorder="1" applyAlignment="1">
      <alignment horizontal="center" vertical="center" wrapText="1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43" fontId="24" fillId="2" borderId="26" xfId="1" applyFont="1" applyFill="1" applyBorder="1" applyAlignment="1">
      <alignment horizontal="center" vertical="center" wrapText="1"/>
    </xf>
    <xf numFmtId="43" fontId="24" fillId="2" borderId="33" xfId="1" applyFont="1" applyFill="1" applyBorder="1" applyAlignment="1">
      <alignment horizontal="center" vertical="center" wrapText="1"/>
    </xf>
    <xf numFmtId="43" fontId="24" fillId="2" borderId="31" xfId="1" applyFont="1" applyFill="1" applyBorder="1" applyAlignment="1">
      <alignment horizontal="center" vertical="center" wrapText="1"/>
    </xf>
    <xf numFmtId="0" fontId="30" fillId="6" borderId="22" xfId="0" applyFont="1" applyFill="1" applyBorder="1" applyAlignment="1">
      <alignment horizontal="center" wrapText="1"/>
    </xf>
    <xf numFmtId="0" fontId="30" fillId="6" borderId="23" xfId="0" applyFont="1" applyFill="1" applyBorder="1" applyAlignment="1">
      <alignment horizontal="center" wrapText="1"/>
    </xf>
    <xf numFmtId="0" fontId="30" fillId="6" borderId="24" xfId="0" applyFont="1" applyFill="1" applyBorder="1" applyAlignment="1">
      <alignment horizontal="center" wrapText="1"/>
    </xf>
    <xf numFmtId="0" fontId="32" fillId="5" borderId="15" xfId="0" applyFont="1" applyFill="1" applyBorder="1" applyAlignment="1">
      <alignment horizontal="center" wrapText="1"/>
    </xf>
    <xf numFmtId="0" fontId="32" fillId="5" borderId="10" xfId="0" applyFont="1" applyFill="1" applyBorder="1" applyAlignment="1">
      <alignment horizontal="center" wrapText="1"/>
    </xf>
    <xf numFmtId="0" fontId="30" fillId="0" borderId="20" xfId="0" applyFont="1" applyBorder="1" applyAlignment="1">
      <alignment horizontal="center" wrapText="1"/>
    </xf>
    <xf numFmtId="0" fontId="30" fillId="0" borderId="0" xfId="0" applyFont="1" applyBorder="1" applyAlignment="1">
      <alignment horizontal="center" wrapText="1"/>
    </xf>
    <xf numFmtId="0" fontId="30" fillId="0" borderId="32" xfId="0" applyFont="1" applyBorder="1" applyAlignment="1">
      <alignment horizontal="center" wrapText="1"/>
    </xf>
    <xf numFmtId="0" fontId="30" fillId="0" borderId="21" xfId="0" applyFont="1" applyBorder="1" applyAlignment="1">
      <alignment horizontal="center" wrapText="1"/>
    </xf>
    <xf numFmtId="0" fontId="30" fillId="0" borderId="30" xfId="0" applyFont="1" applyBorder="1" applyAlignment="1">
      <alignment horizontal="center" wrapText="1"/>
    </xf>
    <xf numFmtId="0" fontId="30" fillId="0" borderId="17" xfId="0" applyFont="1" applyBorder="1" applyAlignment="1">
      <alignment horizontal="center" wrapText="1"/>
    </xf>
    <xf numFmtId="0" fontId="25" fillId="0" borderId="3" xfId="0" applyFont="1" applyBorder="1" applyAlignment="1">
      <alignment horizontal="right"/>
    </xf>
    <xf numFmtId="0" fontId="25" fillId="0" borderId="12" xfId="0" applyFont="1" applyBorder="1" applyAlignment="1">
      <alignment horizontal="right"/>
    </xf>
    <xf numFmtId="0" fontId="25" fillId="0" borderId="13" xfId="0" applyFont="1" applyBorder="1" applyAlignment="1">
      <alignment horizontal="right"/>
    </xf>
    <xf numFmtId="0" fontId="31" fillId="0" borderId="3" xfId="0" applyFont="1" applyBorder="1" applyAlignment="1">
      <alignment horizontal="center"/>
    </xf>
    <xf numFmtId="0" fontId="31" fillId="0" borderId="12" xfId="0" applyFont="1" applyBorder="1" applyAlignment="1">
      <alignment horizontal="center"/>
    </xf>
    <xf numFmtId="0" fontId="43" fillId="2" borderId="15" xfId="0" applyFont="1" applyFill="1" applyBorder="1" applyAlignment="1">
      <alignment horizontal="center"/>
    </xf>
    <xf numFmtId="0" fontId="43" fillId="2" borderId="10" xfId="0" applyFont="1" applyFill="1" applyBorder="1" applyAlignment="1">
      <alignment horizontal="center"/>
    </xf>
    <xf numFmtId="0" fontId="50" fillId="8" borderId="15" xfId="0" applyFont="1" applyFill="1" applyBorder="1" applyAlignment="1">
      <alignment horizontal="center"/>
    </xf>
    <xf numFmtId="0" fontId="50" fillId="8" borderId="10" xfId="0" applyFont="1" applyFill="1" applyBorder="1" applyAlignment="1">
      <alignment horizontal="center"/>
    </xf>
    <xf numFmtId="0" fontId="51" fillId="0" borderId="15" xfId="0" applyFont="1" applyBorder="1" applyAlignment="1">
      <alignment horizontal="center"/>
    </xf>
    <xf numFmtId="0" fontId="51" fillId="0" borderId="10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25" fillId="0" borderId="13" xfId="0" applyFont="1" applyBorder="1" applyAlignment="1">
      <alignment horizontal="center"/>
    </xf>
    <xf numFmtId="0" fontId="24" fillId="0" borderId="3" xfId="0" applyFont="1" applyBorder="1" applyAlignment="1">
      <alignment horizontal="right"/>
    </xf>
    <xf numFmtId="0" fontId="24" fillId="0" borderId="12" xfId="0" applyFont="1" applyBorder="1" applyAlignment="1">
      <alignment horizontal="right"/>
    </xf>
    <xf numFmtId="0" fontId="24" fillId="0" borderId="13" xfId="0" applyFont="1" applyBorder="1" applyAlignment="1">
      <alignment horizontal="right"/>
    </xf>
    <xf numFmtId="43" fontId="30" fillId="2" borderId="1" xfId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/>
    </xf>
    <xf numFmtId="0" fontId="25" fillId="0" borderId="15" xfId="0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164" fontId="30" fillId="0" borderId="15" xfId="1" applyNumberFormat="1" applyFont="1" applyBorder="1" applyAlignment="1">
      <alignment horizontal="center"/>
    </xf>
    <xf numFmtId="164" fontId="30" fillId="0" borderId="10" xfId="1" applyNumberFormat="1" applyFont="1" applyBorder="1" applyAlignment="1">
      <alignment horizontal="center"/>
    </xf>
    <xf numFmtId="164" fontId="24" fillId="0" borderId="15" xfId="1" applyNumberFormat="1" applyFont="1" applyBorder="1" applyAlignment="1">
      <alignment horizontal="center"/>
    </xf>
    <xf numFmtId="164" fontId="24" fillId="0" borderId="10" xfId="1" applyNumberFormat="1" applyFont="1" applyBorder="1" applyAlignment="1">
      <alignment horizontal="center"/>
    </xf>
    <xf numFmtId="0" fontId="30" fillId="0" borderId="15" xfId="0" applyFont="1" applyFill="1" applyBorder="1" applyAlignment="1">
      <alignment horizontal="center"/>
    </xf>
    <xf numFmtId="0" fontId="30" fillId="0" borderId="10" xfId="0" applyFont="1" applyFill="1" applyBorder="1" applyAlignment="1">
      <alignment horizontal="center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43" fontId="30" fillId="2" borderId="3" xfId="1" applyFont="1" applyFill="1" applyBorder="1" applyAlignment="1">
      <alignment horizontal="center" vertical="center" wrapText="1"/>
    </xf>
    <xf numFmtId="43" fontId="30" fillId="2" borderId="12" xfId="1" applyFont="1" applyFill="1" applyBorder="1" applyAlignment="1">
      <alignment horizontal="center" vertical="center" wrapText="1"/>
    </xf>
    <xf numFmtId="43" fontId="30" fillId="2" borderId="13" xfId="1" applyFont="1" applyFill="1" applyBorder="1" applyAlignment="1">
      <alignment horizontal="center" vertical="center" wrapText="1"/>
    </xf>
    <xf numFmtId="43" fontId="30" fillId="6" borderId="1" xfId="1" applyFont="1" applyFill="1" applyBorder="1" applyAlignment="1">
      <alignment horizontal="center" vertical="center" wrapText="1"/>
    </xf>
    <xf numFmtId="0" fontId="30" fillId="0" borderId="6" xfId="0" applyNumberFormat="1" applyFont="1" applyFill="1" applyBorder="1" applyAlignment="1">
      <alignment horizontal="center" vertical="center" wrapText="1"/>
    </xf>
    <xf numFmtId="0" fontId="30" fillId="0" borderId="9" xfId="0" applyNumberFormat="1" applyFont="1" applyFill="1" applyBorder="1" applyAlignment="1">
      <alignment horizontal="center" vertical="center" wrapText="1"/>
    </xf>
    <xf numFmtId="43" fontId="30" fillId="7" borderId="15" xfId="1" applyFont="1" applyFill="1" applyBorder="1" applyAlignment="1">
      <alignment horizontal="center" vertical="center" wrapText="1"/>
    </xf>
    <xf numFmtId="43" fontId="30" fillId="7" borderId="10" xfId="1" applyFont="1" applyFill="1" applyBorder="1" applyAlignment="1">
      <alignment horizontal="center" vertical="center" wrapText="1"/>
    </xf>
    <xf numFmtId="0" fontId="30" fillId="7" borderId="20" xfId="0" applyFont="1" applyFill="1" applyBorder="1" applyAlignment="1">
      <alignment horizontal="center" wrapText="1"/>
    </xf>
    <xf numFmtId="0" fontId="30" fillId="7" borderId="0" xfId="0" applyFont="1" applyFill="1" applyBorder="1" applyAlignment="1">
      <alignment horizontal="center" wrapText="1"/>
    </xf>
    <xf numFmtId="0" fontId="30" fillId="7" borderId="32" xfId="0" applyFont="1" applyFill="1" applyBorder="1" applyAlignment="1">
      <alignment horizontal="center" wrapText="1"/>
    </xf>
    <xf numFmtId="43" fontId="24" fillId="4" borderId="15" xfId="1" applyFont="1" applyFill="1" applyBorder="1" applyAlignment="1">
      <alignment horizontal="center" wrapText="1"/>
    </xf>
    <xf numFmtId="43" fontId="24" fillId="4" borderId="10" xfId="1" applyFont="1" applyFill="1" applyBorder="1" applyAlignment="1">
      <alignment horizontal="center" wrapText="1"/>
    </xf>
    <xf numFmtId="43" fontId="36" fillId="7" borderId="7" xfId="1" applyFont="1" applyFill="1" applyBorder="1" applyAlignment="1">
      <alignment horizontal="center" vertical="center" wrapText="1"/>
    </xf>
    <xf numFmtId="43" fontId="36" fillId="7" borderId="11" xfId="1" applyFont="1" applyFill="1" applyBorder="1" applyAlignment="1">
      <alignment horizontal="center" vertical="center" wrapText="1"/>
    </xf>
    <xf numFmtId="43" fontId="33" fillId="2" borderId="22" xfId="1" applyFont="1" applyFill="1" applyBorder="1" applyAlignment="1">
      <alignment horizontal="center" vertical="center" wrapText="1"/>
    </xf>
    <xf numFmtId="43" fontId="33" fillId="2" borderId="23" xfId="1" applyFont="1" applyFill="1" applyBorder="1" applyAlignment="1">
      <alignment horizontal="center" vertical="center" wrapText="1"/>
    </xf>
    <xf numFmtId="43" fontId="33" fillId="2" borderId="24" xfId="1" applyFont="1" applyFill="1" applyBorder="1" applyAlignment="1">
      <alignment horizontal="center" vertical="center" wrapText="1"/>
    </xf>
    <xf numFmtId="43" fontId="30" fillId="7" borderId="25" xfId="1" applyFont="1" applyFill="1" applyBorder="1" applyAlignment="1">
      <alignment horizontal="center" vertical="center" wrapText="1"/>
    </xf>
    <xf numFmtId="43" fontId="30" fillId="7" borderId="28" xfId="1" applyFont="1" applyFill="1" applyBorder="1" applyAlignment="1">
      <alignment horizontal="center" vertical="center" wrapText="1"/>
    </xf>
    <xf numFmtId="43" fontId="30" fillId="7" borderId="29" xfId="1" applyFont="1" applyFill="1" applyBorder="1" applyAlignment="1">
      <alignment horizontal="center" vertical="center" wrapText="1"/>
    </xf>
    <xf numFmtId="43" fontId="24" fillId="5" borderId="1" xfId="1" applyFont="1" applyFill="1" applyBorder="1" applyAlignment="1">
      <alignment horizontal="center" vertical="center" wrapText="1"/>
    </xf>
    <xf numFmtId="43" fontId="24" fillId="7" borderId="1" xfId="1" applyFont="1" applyFill="1" applyBorder="1" applyAlignment="1">
      <alignment horizontal="center" vertical="center" wrapText="1"/>
    </xf>
    <xf numFmtId="43" fontId="24" fillId="2" borderId="1" xfId="1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vertical="center"/>
    </xf>
    <xf numFmtId="43" fontId="24" fillId="7" borderId="12" xfId="1" applyFont="1" applyFill="1" applyBorder="1" applyAlignment="1">
      <alignment horizontal="center" vertical="center"/>
    </xf>
    <xf numFmtId="43" fontId="24" fillId="7" borderId="13" xfId="1" applyFont="1" applyFill="1" applyBorder="1" applyAlignment="1">
      <alignment horizontal="center" vertical="center"/>
    </xf>
    <xf numFmtId="43" fontId="24" fillId="2" borderId="3" xfId="1" applyFont="1" applyFill="1" applyBorder="1" applyAlignment="1">
      <alignment horizontal="center" vertical="center"/>
    </xf>
    <xf numFmtId="43" fontId="24" fillId="2" borderId="12" xfId="1" applyFont="1" applyFill="1" applyBorder="1" applyAlignment="1">
      <alignment horizontal="center" vertical="center"/>
    </xf>
    <xf numFmtId="43" fontId="24" fillId="2" borderId="13" xfId="1" applyFont="1" applyFill="1" applyBorder="1" applyAlignment="1">
      <alignment horizontal="center" vertical="center"/>
    </xf>
    <xf numFmtId="43" fontId="24" fillId="7" borderId="1" xfId="1" applyFont="1" applyFill="1" applyBorder="1" applyAlignment="1">
      <alignment horizontal="center" vertical="center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43" fontId="23" fillId="6" borderId="3" xfId="1" applyFont="1" applyFill="1" applyBorder="1" applyAlignment="1">
      <alignment horizontal="center" vertical="center" wrapText="1"/>
    </xf>
    <xf numFmtId="43" fontId="23" fillId="6" borderId="13" xfId="1" applyFont="1" applyFill="1" applyBorder="1" applyAlignment="1">
      <alignment horizontal="center" vertical="center" wrapText="1"/>
    </xf>
    <xf numFmtId="43" fontId="24" fillId="6" borderId="3" xfId="1" applyFont="1" applyFill="1" applyBorder="1" applyAlignment="1">
      <alignment horizontal="center" vertical="center"/>
    </xf>
    <xf numFmtId="43" fontId="24" fillId="6" borderId="12" xfId="1" applyFont="1" applyFill="1" applyBorder="1" applyAlignment="1">
      <alignment horizontal="center" vertical="center"/>
    </xf>
    <xf numFmtId="43" fontId="24" fillId="6" borderId="13" xfId="1" applyFont="1" applyFill="1" applyBorder="1" applyAlignment="1">
      <alignment horizontal="center" vertical="center"/>
    </xf>
    <xf numFmtId="43" fontId="24" fillId="7" borderId="15" xfId="1" applyFont="1" applyFill="1" applyBorder="1" applyAlignment="1">
      <alignment horizontal="center" vertical="center" wrapText="1"/>
    </xf>
    <xf numFmtId="43" fontId="24" fillId="7" borderId="10" xfId="1" applyFont="1" applyFill="1" applyBorder="1" applyAlignment="1">
      <alignment horizontal="center" vertical="center" wrapText="1"/>
    </xf>
    <xf numFmtId="164" fontId="24" fillId="2" borderId="1" xfId="1" applyNumberFormat="1" applyFont="1" applyFill="1" applyBorder="1" applyAlignment="1">
      <alignment horizontal="center" vertical="center" wrapText="1"/>
    </xf>
    <xf numFmtId="164" fontId="24" fillId="0" borderId="26" xfId="1" applyNumberFormat="1" applyFont="1" applyFill="1" applyBorder="1" applyAlignment="1">
      <alignment horizontal="center" vertical="center" wrapText="1"/>
    </xf>
    <xf numFmtId="164" fontId="24" fillId="0" borderId="33" xfId="1" applyNumberFormat="1" applyFont="1" applyFill="1" applyBorder="1" applyAlignment="1">
      <alignment horizontal="center" vertical="center" wrapText="1"/>
    </xf>
    <xf numFmtId="164" fontId="24" fillId="0" borderId="31" xfId="1" applyNumberFormat="1" applyFont="1" applyFill="1" applyBorder="1" applyAlignment="1">
      <alignment horizontal="center" vertical="center" wrapText="1"/>
    </xf>
    <xf numFmtId="43" fontId="24" fillId="7" borderId="13" xfId="1" applyFont="1" applyFill="1" applyBorder="1" applyAlignment="1">
      <alignment horizontal="center" vertical="center" wrapText="1"/>
    </xf>
    <xf numFmtId="43" fontId="24" fillId="6" borderId="15" xfId="1" applyFont="1" applyFill="1" applyBorder="1" applyAlignment="1">
      <alignment horizontal="center" vertical="center" wrapText="1"/>
    </xf>
    <xf numFmtId="43" fontId="24" fillId="6" borderId="10" xfId="1" applyFont="1" applyFill="1" applyBorder="1" applyAlignment="1">
      <alignment horizontal="center" vertical="center" wrapText="1"/>
    </xf>
    <xf numFmtId="43" fontId="23" fillId="7" borderId="3" xfId="1" applyFont="1" applyFill="1" applyBorder="1" applyAlignment="1">
      <alignment horizontal="center" wrapText="1"/>
    </xf>
    <xf numFmtId="43" fontId="23" fillId="7" borderId="13" xfId="1" applyFont="1" applyFill="1" applyBorder="1" applyAlignment="1">
      <alignment horizontal="center" wrapText="1"/>
    </xf>
    <xf numFmtId="43" fontId="23" fillId="6" borderId="3" xfId="1" applyFont="1" applyFill="1" applyBorder="1" applyAlignment="1">
      <alignment horizontal="center" wrapText="1"/>
    </xf>
    <xf numFmtId="43" fontId="23" fillId="6" borderId="13" xfId="1" applyFont="1" applyFill="1" applyBorder="1" applyAlignment="1">
      <alignment horizontal="center" wrapText="1"/>
    </xf>
    <xf numFmtId="0" fontId="23" fillId="2" borderId="1" xfId="0" applyFont="1" applyFill="1" applyBorder="1" applyAlignment="1">
      <alignment horizontal="right"/>
    </xf>
    <xf numFmtId="164" fontId="24" fillId="0" borderId="15" xfId="1" applyNumberFormat="1" applyFont="1" applyBorder="1" applyAlignment="1">
      <alignment horizontal="center" vertical="center" wrapText="1"/>
    </xf>
    <xf numFmtId="164" fontId="24" fillId="0" borderId="10" xfId="1" applyNumberFormat="1" applyFont="1" applyBorder="1" applyAlignment="1">
      <alignment horizontal="center" vertical="center" wrapText="1"/>
    </xf>
    <xf numFmtId="164" fontId="25" fillId="0" borderId="15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24" fillId="0" borderId="15" xfId="0" applyNumberFormat="1" applyFont="1" applyFill="1" applyBorder="1" applyAlignment="1">
      <alignment horizontal="center" vertical="center" wrapText="1"/>
    </xf>
    <xf numFmtId="0" fontId="24" fillId="0" borderId="10" xfId="0" applyNumberFormat="1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0" fontId="31" fillId="0" borderId="23" xfId="0" applyFont="1" applyBorder="1" applyAlignment="1">
      <alignment horizontal="center"/>
    </xf>
    <xf numFmtId="0" fontId="31" fillId="7" borderId="0" xfId="0" applyFont="1" applyFill="1" applyBorder="1" applyAlignment="1">
      <alignment horizontal="left" wrapText="1"/>
    </xf>
    <xf numFmtId="0" fontId="32" fillId="0" borderId="0" xfId="0" applyFont="1" applyFill="1" applyBorder="1" applyAlignment="1">
      <alignment horizontal="left" wrapText="1"/>
    </xf>
    <xf numFmtId="0" fontId="37" fillId="0" borderId="23" xfId="0" applyFont="1" applyBorder="1" applyAlignment="1">
      <alignment horizontal="center"/>
    </xf>
    <xf numFmtId="0" fontId="30" fillId="0" borderId="26" xfId="0" applyFont="1" applyFill="1" applyBorder="1" applyAlignment="1">
      <alignment horizontal="center" wrapText="1"/>
    </xf>
    <xf numFmtId="0" fontId="30" fillId="0" borderId="33" xfId="0" applyFont="1" applyFill="1" applyBorder="1" applyAlignment="1">
      <alignment horizontal="center" wrapText="1"/>
    </xf>
    <xf numFmtId="0" fontId="30" fillId="0" borderId="31" xfId="0" applyFont="1" applyFill="1" applyBorder="1" applyAlignment="1">
      <alignment horizontal="center" wrapText="1"/>
    </xf>
    <xf numFmtId="0" fontId="30" fillId="6" borderId="26" xfId="0" applyFont="1" applyFill="1" applyBorder="1" applyAlignment="1">
      <alignment horizontal="center" wrapText="1"/>
    </xf>
    <xf numFmtId="0" fontId="30" fillId="6" borderId="33" xfId="0" applyFont="1" applyFill="1" applyBorder="1" applyAlignment="1">
      <alignment horizontal="center" wrapText="1"/>
    </xf>
    <xf numFmtId="0" fontId="30" fillId="6" borderId="31" xfId="0" applyFont="1" applyFill="1" applyBorder="1" applyAlignment="1">
      <alignment horizontal="center" wrapText="1"/>
    </xf>
    <xf numFmtId="0" fontId="30" fillId="2" borderId="26" xfId="0" applyFont="1" applyFill="1" applyBorder="1" applyAlignment="1">
      <alignment horizontal="center" wrapText="1"/>
    </xf>
    <xf numFmtId="0" fontId="30" fillId="2" borderId="33" xfId="0" applyFont="1" applyFill="1" applyBorder="1" applyAlignment="1">
      <alignment horizontal="center" wrapText="1"/>
    </xf>
    <xf numFmtId="0" fontId="30" fillId="2" borderId="31" xfId="0" applyFont="1" applyFill="1" applyBorder="1" applyAlignment="1">
      <alignment horizontal="center" wrapText="1"/>
    </xf>
    <xf numFmtId="0" fontId="30" fillId="0" borderId="0" xfId="0" applyFont="1" applyAlignment="1">
      <alignment horizontal="left"/>
    </xf>
    <xf numFmtId="0" fontId="30" fillId="0" borderId="26" xfId="0" applyFont="1" applyBorder="1" applyAlignment="1">
      <alignment horizontal="center" wrapText="1"/>
    </xf>
    <xf numFmtId="0" fontId="30" fillId="0" borderId="33" xfId="0" applyFont="1" applyBorder="1" applyAlignment="1">
      <alignment horizontal="center" wrapText="1"/>
    </xf>
    <xf numFmtId="0" fontId="30" fillId="0" borderId="31" xfId="0" applyFont="1" applyBorder="1" applyAlignment="1">
      <alignment horizontal="center" wrapText="1"/>
    </xf>
    <xf numFmtId="0" fontId="32" fillId="6" borderId="0" xfId="0" applyFont="1" applyFill="1" applyBorder="1" applyAlignment="1">
      <alignment horizontal="left" wrapText="1"/>
    </xf>
    <xf numFmtId="0" fontId="33" fillId="7" borderId="1" xfId="0" applyFont="1" applyFill="1" applyBorder="1" applyAlignment="1">
      <alignment horizontal="center" vertical="center" wrapText="1"/>
    </xf>
    <xf numFmtId="14" fontId="30" fillId="2" borderId="1" xfId="0" applyNumberFormat="1" applyFont="1" applyFill="1" applyBorder="1" applyAlignment="1">
      <alignment horizontal="center" vertical="center" wrapText="1"/>
    </xf>
    <xf numFmtId="0" fontId="30" fillId="2" borderId="3" xfId="0" applyFont="1" applyFill="1" applyBorder="1" applyAlignment="1">
      <alignment horizontal="center" vertical="center" wrapText="1"/>
    </xf>
    <xf numFmtId="0" fontId="30" fillId="2" borderId="12" xfId="0" applyFont="1" applyFill="1" applyBorder="1" applyAlignment="1">
      <alignment horizontal="center" vertical="center" wrapText="1"/>
    </xf>
    <xf numFmtId="0" fontId="30" fillId="2" borderId="13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wrapText="1"/>
    </xf>
    <xf numFmtId="0" fontId="24" fillId="0" borderId="9" xfId="0" applyFont="1" applyBorder="1" applyAlignment="1">
      <alignment horizontal="center" wrapText="1"/>
    </xf>
    <xf numFmtId="0" fontId="24" fillId="0" borderId="16" xfId="0" applyFont="1" applyFill="1" applyBorder="1" applyAlignment="1">
      <alignment horizontal="center" vertical="center" wrapText="1"/>
    </xf>
    <xf numFmtId="0" fontId="24" fillId="0" borderId="17" xfId="0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wrapText="1"/>
    </xf>
    <xf numFmtId="43" fontId="30" fillId="7" borderId="12" xfId="1" applyFont="1" applyFill="1" applyBorder="1" applyAlignment="1">
      <alignment horizontal="center" wrapText="1"/>
    </xf>
    <xf numFmtId="43" fontId="30" fillId="7" borderId="13" xfId="1" applyFont="1" applyFill="1" applyBorder="1" applyAlignment="1">
      <alignment horizontal="center" wrapText="1"/>
    </xf>
    <xf numFmtId="0" fontId="40" fillId="7" borderId="0" xfId="0" applyFont="1" applyFill="1" applyAlignment="1">
      <alignment horizontal="center" wrapText="1"/>
    </xf>
    <xf numFmtId="164" fontId="30" fillId="7" borderId="3" xfId="1" applyNumberFormat="1" applyFont="1" applyFill="1" applyBorder="1" applyAlignment="1">
      <alignment horizontal="center" wrapText="1"/>
    </xf>
    <xf numFmtId="164" fontId="30" fillId="7" borderId="12" xfId="1" applyNumberFormat="1" applyFont="1" applyFill="1" applyBorder="1" applyAlignment="1">
      <alignment horizontal="center" wrapText="1"/>
    </xf>
    <xf numFmtId="164" fontId="30" fillId="7" borderId="13" xfId="1" applyNumberFormat="1" applyFont="1" applyFill="1" applyBorder="1" applyAlignment="1">
      <alignment horizontal="center" wrapText="1"/>
    </xf>
    <xf numFmtId="43" fontId="30" fillId="6" borderId="3" xfId="1" applyFont="1" applyFill="1" applyBorder="1" applyAlignment="1">
      <alignment horizontal="center" wrapText="1"/>
    </xf>
    <xf numFmtId="43" fontId="30" fillId="6" borderId="12" xfId="1" applyFont="1" applyFill="1" applyBorder="1" applyAlignment="1">
      <alignment horizontal="center" wrapText="1"/>
    </xf>
    <xf numFmtId="43" fontId="30" fillId="6" borderId="13" xfId="1" applyFont="1" applyFill="1" applyBorder="1" applyAlignment="1">
      <alignment horizontal="center" wrapText="1"/>
    </xf>
    <xf numFmtId="43" fontId="30" fillId="2" borderId="3" xfId="1" applyFont="1" applyFill="1" applyBorder="1" applyAlignment="1">
      <alignment horizontal="center" wrapText="1"/>
    </xf>
    <xf numFmtId="43" fontId="30" fillId="2" borderId="12" xfId="1" applyFont="1" applyFill="1" applyBorder="1" applyAlignment="1">
      <alignment horizontal="center" wrapText="1"/>
    </xf>
    <xf numFmtId="43" fontId="30" fillId="2" borderId="13" xfId="1" applyFont="1" applyFill="1" applyBorder="1" applyAlignment="1">
      <alignment horizontal="center" wrapText="1"/>
    </xf>
    <xf numFmtId="43" fontId="24" fillId="4" borderId="15" xfId="1" applyFont="1" applyFill="1" applyBorder="1" applyAlignment="1">
      <alignment horizontal="center" vertical="center" wrapText="1"/>
    </xf>
    <xf numFmtId="43" fontId="36" fillId="5" borderId="15" xfId="1" applyFont="1" applyFill="1" applyBorder="1" applyAlignment="1">
      <alignment horizontal="center" vertical="center" wrapText="1"/>
    </xf>
    <xf numFmtId="43" fontId="36" fillId="5" borderId="10" xfId="1" applyFont="1" applyFill="1" applyBorder="1" applyAlignment="1">
      <alignment horizontal="center" vertical="center" wrapText="1"/>
    </xf>
    <xf numFmtId="43" fontId="30" fillId="2" borderId="15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164" fontId="29" fillId="2" borderId="19" xfId="1" applyNumberFormat="1" applyFont="1" applyFill="1" applyBorder="1" applyAlignment="1">
      <alignment horizontal="center" textRotation="30" wrapText="1"/>
    </xf>
    <xf numFmtId="164" fontId="29" fillId="2" borderId="10" xfId="1" applyNumberFormat="1" applyFont="1" applyFill="1" applyBorder="1" applyAlignment="1">
      <alignment horizontal="center" textRotation="30" wrapText="1"/>
    </xf>
    <xf numFmtId="43" fontId="36" fillId="4" borderId="3" xfId="1" applyFont="1" applyFill="1" applyBorder="1" applyAlignment="1">
      <alignment horizontal="center" vertical="center" wrapText="1"/>
    </xf>
    <xf numFmtId="43" fontId="36" fillId="4" borderId="12" xfId="1" applyFont="1" applyFill="1" applyBorder="1" applyAlignment="1">
      <alignment horizontal="center" vertical="center" wrapText="1"/>
    </xf>
    <xf numFmtId="43" fontId="36" fillId="6" borderId="3" xfId="1" applyFont="1" applyFill="1" applyBorder="1" applyAlignment="1">
      <alignment horizontal="center" vertical="center" wrapText="1"/>
    </xf>
    <xf numFmtId="43" fontId="36" fillId="6" borderId="12" xfId="1" applyFont="1" applyFill="1" applyBorder="1" applyAlignment="1">
      <alignment horizontal="center" vertical="center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3" xfId="1" applyFont="1" applyFill="1" applyBorder="1" applyAlignment="1">
      <alignment horizontal="center" vertical="center" wrapText="1"/>
    </xf>
    <xf numFmtId="14" fontId="33" fillId="6" borderId="20" xfId="0" applyNumberFormat="1" applyFont="1" applyFill="1" applyBorder="1" applyAlignment="1">
      <alignment horizontal="center" textRotation="57" wrapText="1"/>
    </xf>
    <xf numFmtId="14" fontId="33" fillId="6" borderId="21" xfId="0" applyNumberFormat="1" applyFont="1" applyFill="1" applyBorder="1" applyAlignment="1">
      <alignment horizontal="center" textRotation="57" wrapText="1"/>
    </xf>
    <xf numFmtId="14" fontId="33" fillId="7" borderId="19" xfId="0" applyNumberFormat="1" applyFont="1" applyFill="1" applyBorder="1" applyAlignment="1">
      <alignment horizontal="center" textRotation="57" wrapText="1"/>
    </xf>
    <xf numFmtId="14" fontId="33" fillId="7" borderId="10" xfId="0" applyNumberFormat="1" applyFont="1" applyFill="1" applyBorder="1" applyAlignment="1">
      <alignment horizontal="center" textRotation="57" wrapText="1"/>
    </xf>
    <xf numFmtId="0" fontId="31" fillId="7" borderId="0" xfId="0" applyFont="1" applyFill="1" applyAlignment="1">
      <alignment horizontal="left"/>
    </xf>
    <xf numFmtId="43" fontId="30" fillId="5" borderId="1" xfId="1" applyFont="1" applyFill="1" applyBorder="1" applyAlignment="1">
      <alignment horizontal="center" vertical="center" wrapText="1"/>
    </xf>
    <xf numFmtId="0" fontId="24" fillId="2" borderId="22" xfId="0" applyFont="1" applyFill="1" applyBorder="1" applyAlignment="1">
      <alignment horizontal="right"/>
    </xf>
    <xf numFmtId="0" fontId="24" fillId="2" borderId="23" xfId="0" applyFont="1" applyFill="1" applyBorder="1" applyAlignment="1">
      <alignment horizontal="right"/>
    </xf>
    <xf numFmtId="0" fontId="24" fillId="2" borderId="24" xfId="0" applyFont="1" applyFill="1" applyBorder="1" applyAlignment="1">
      <alignment horizontal="right"/>
    </xf>
    <xf numFmtId="0" fontId="30" fillId="3" borderId="15" xfId="0" applyFont="1" applyFill="1" applyBorder="1" applyAlignment="1">
      <alignment horizontal="center" vertical="center" wrapText="1"/>
    </xf>
    <xf numFmtId="0" fontId="30" fillId="3" borderId="10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164" fontId="30" fillId="0" borderId="1" xfId="1" applyNumberFormat="1" applyFont="1" applyBorder="1" applyAlignment="1">
      <alignment horizontal="center" vertical="center" wrapText="1"/>
    </xf>
    <xf numFmtId="164" fontId="30" fillId="0" borderId="9" xfId="1" applyNumberFormat="1" applyFont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30" fillId="7" borderId="15" xfId="1" applyNumberFormat="1" applyFont="1" applyFill="1" applyBorder="1" applyAlignment="1">
      <alignment horizontal="center" vertical="center" wrapText="1"/>
    </xf>
    <xf numFmtId="164" fontId="30" fillId="7" borderId="10" xfId="1" applyNumberFormat="1" applyFont="1" applyFill="1" applyBorder="1" applyAlignment="1">
      <alignment horizontal="center" vertical="center" wrapText="1"/>
    </xf>
    <xf numFmtId="0" fontId="30" fillId="5" borderId="25" xfId="0" applyFont="1" applyFill="1" applyBorder="1" applyAlignment="1">
      <alignment horizontal="center" vertical="center" wrapText="1"/>
    </xf>
    <xf numFmtId="0" fontId="30" fillId="5" borderId="28" xfId="0" applyFont="1" applyFill="1" applyBorder="1" applyAlignment="1">
      <alignment horizontal="center" vertical="center" wrapText="1"/>
    </xf>
    <xf numFmtId="164" fontId="36" fillId="4" borderId="15" xfId="1" applyNumberFormat="1" applyFont="1" applyFill="1" applyBorder="1" applyAlignment="1">
      <alignment horizontal="center" vertical="center" wrapText="1"/>
    </xf>
    <xf numFmtId="164" fontId="36" fillId="4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99FF"/>
      <color rgb="FFFF66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81"/>
  <sheetViews>
    <sheetView tabSelected="1" workbookViewId="0">
      <pane ySplit="2" topLeftCell="A39" activePane="bottomLeft" state="frozen"/>
      <selection pane="bottomLeft" activeCell="K69" sqref="K69"/>
    </sheetView>
  </sheetViews>
  <sheetFormatPr defaultRowHeight="11.25"/>
  <cols>
    <col min="1" max="1" width="7.28515625" style="8" bestFit="1" customWidth="1"/>
    <col min="2" max="2" width="5.5703125" style="8" bestFit="1" customWidth="1"/>
    <col min="3" max="3" width="69.5703125" style="3" bestFit="1" customWidth="1"/>
    <col min="4" max="4" width="10.85546875" style="2" customWidth="1"/>
    <col min="5" max="5" width="9.42578125" style="2" bestFit="1" customWidth="1"/>
    <col min="6" max="6" width="8.140625" style="2" bestFit="1" customWidth="1"/>
    <col min="7" max="7" width="8.28515625" style="2" bestFit="1" customWidth="1"/>
    <col min="8" max="8" width="8.42578125" style="2" bestFit="1" customWidth="1"/>
    <col min="9" max="9" width="8.85546875" style="2" bestFit="1" customWidth="1"/>
    <col min="10" max="10" width="8.5703125" style="2" bestFit="1" customWidth="1"/>
    <col min="11" max="11" width="10" style="2" customWidth="1"/>
    <col min="12" max="12" width="9.42578125" style="2" bestFit="1" customWidth="1"/>
    <col min="13" max="13" width="13" style="2" bestFit="1" customWidth="1"/>
    <col min="14" max="14" width="10.7109375" style="2" customWidth="1"/>
    <col min="15" max="15" width="9.42578125" style="2" bestFit="1" customWidth="1"/>
    <col min="16" max="16" width="4.7109375" style="3" customWidth="1"/>
    <col min="17" max="17" width="3.85546875" style="3" customWidth="1"/>
    <col min="18" max="18" width="4.42578125" style="3" customWidth="1"/>
    <col min="19" max="19" width="7.42578125" style="3" customWidth="1"/>
    <col min="20" max="20" width="3.42578125" style="3" customWidth="1"/>
    <col min="21" max="21" width="6.7109375" style="3" customWidth="1"/>
    <col min="22" max="22" width="4" style="3" customWidth="1"/>
    <col min="23" max="23" width="3" style="3" customWidth="1"/>
    <col min="24" max="24" width="3.5703125" style="3" customWidth="1"/>
    <col min="25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97" t="s">
        <v>1</v>
      </c>
      <c r="B1" s="599" t="s">
        <v>2</v>
      </c>
      <c r="C1" s="601" t="s">
        <v>0</v>
      </c>
      <c r="D1" s="603" t="s">
        <v>63</v>
      </c>
      <c r="E1" s="605" t="s">
        <v>90</v>
      </c>
      <c r="F1" s="606"/>
      <c r="G1" s="606"/>
      <c r="H1" s="606"/>
      <c r="I1" s="606"/>
      <c r="J1" s="606"/>
      <c r="K1" s="606"/>
      <c r="L1" s="591" t="s">
        <v>390</v>
      </c>
      <c r="M1" s="591"/>
      <c r="N1" s="589" t="s">
        <v>64</v>
      </c>
      <c r="O1" s="590"/>
      <c r="P1" s="592" t="s">
        <v>29</v>
      </c>
      <c r="Q1" s="593"/>
      <c r="R1" s="593"/>
      <c r="S1" s="593"/>
      <c r="T1" s="593"/>
      <c r="U1" s="593"/>
      <c r="V1" s="593"/>
      <c r="W1" s="593"/>
      <c r="X1" s="593"/>
      <c r="Y1" s="593"/>
      <c r="Z1" s="593"/>
      <c r="AA1" s="594"/>
    </row>
    <row r="2" spans="1:27" ht="23.25" thickBot="1">
      <c r="A2" s="598"/>
      <c r="B2" s="600"/>
      <c r="C2" s="602"/>
      <c r="D2" s="604"/>
      <c r="E2" s="107" t="s">
        <v>102</v>
      </c>
      <c r="F2" s="107" t="s">
        <v>3</v>
      </c>
      <c r="G2" s="107" t="s">
        <v>156</v>
      </c>
      <c r="H2" s="107" t="s">
        <v>103</v>
      </c>
      <c r="I2" s="107" t="s">
        <v>104</v>
      </c>
      <c r="J2" s="107" t="s">
        <v>105</v>
      </c>
      <c r="K2" s="121" t="s">
        <v>154</v>
      </c>
      <c r="L2" s="79" t="s">
        <v>23</v>
      </c>
      <c r="M2" s="179" t="s">
        <v>70</v>
      </c>
      <c r="N2" s="172" t="s">
        <v>23</v>
      </c>
      <c r="O2" s="120" t="s">
        <v>155</v>
      </c>
      <c r="P2" s="180">
        <v>1</v>
      </c>
      <c r="Q2" s="180" t="s">
        <v>240</v>
      </c>
      <c r="R2" s="180" t="s">
        <v>241</v>
      </c>
      <c r="S2" s="180" t="s">
        <v>242</v>
      </c>
      <c r="T2" s="180" t="s">
        <v>243</v>
      </c>
      <c r="U2" s="180" t="s">
        <v>400</v>
      </c>
      <c r="V2" s="180" t="s">
        <v>401</v>
      </c>
      <c r="W2" s="180" t="s">
        <v>402</v>
      </c>
      <c r="X2" s="180" t="s">
        <v>403</v>
      </c>
      <c r="Y2" s="180"/>
      <c r="Z2" s="180"/>
      <c r="AA2" s="181"/>
    </row>
    <row r="3" spans="1:27" s="5" customFormat="1">
      <c r="A3" s="404">
        <v>4600</v>
      </c>
      <c r="B3" s="398">
        <v>2</v>
      </c>
      <c r="C3" s="396" t="s">
        <v>546</v>
      </c>
      <c r="D3" s="399">
        <v>5727.22</v>
      </c>
      <c r="E3" s="409">
        <f>'2-δικαιώμ'!M3</f>
        <v>66.405811999999997</v>
      </c>
      <c r="F3" s="410">
        <f>'3-φύλλα2α'!F3</f>
        <v>8.7900000000000009</v>
      </c>
      <c r="G3" s="410">
        <f>'4-πολλυπρ'!P3</f>
        <v>0</v>
      </c>
      <c r="H3" s="399">
        <f>'5-αντίγρ'!M3</f>
        <v>22.997599999999998</v>
      </c>
      <c r="I3" s="399">
        <f>'6-μεταγρ'!I3</f>
        <v>9.1</v>
      </c>
      <c r="J3" s="399">
        <f>'7-προςΔΟΥ'!E3</f>
        <v>6.46</v>
      </c>
      <c r="K3" s="399"/>
      <c r="L3" s="409">
        <f>E3+F3+G3+H3+I3+J3+K3</f>
        <v>113.75341199999998</v>
      </c>
      <c r="M3" s="526">
        <v>177.26</v>
      </c>
      <c r="N3" s="413">
        <f>M3-'14-βιβλΕσ'!L3-'8-κ-15-17'!AF3</f>
        <v>118.44269199999998</v>
      </c>
      <c r="O3" s="413">
        <f t="shared" ref="O3:O28" si="0">L3-N3</f>
        <v>-4.6892799999999966</v>
      </c>
      <c r="P3" s="326"/>
      <c r="Q3" s="414"/>
      <c r="R3" s="414"/>
      <c r="S3" s="414" t="s">
        <v>552</v>
      </c>
      <c r="T3" s="414">
        <v>14</v>
      </c>
      <c r="U3" s="414"/>
      <c r="V3" s="414"/>
      <c r="W3" s="414"/>
      <c r="X3" s="414"/>
      <c r="Y3" s="532" t="s">
        <v>558</v>
      </c>
      <c r="Z3" s="415"/>
      <c r="AA3" s="415"/>
    </row>
    <row r="4" spans="1:27" s="5" customFormat="1">
      <c r="A4" s="404"/>
      <c r="B4" s="398"/>
      <c r="C4" s="396" t="s">
        <v>551</v>
      </c>
      <c r="D4" s="405">
        <v>3333</v>
      </c>
      <c r="E4" s="409">
        <f>'2-δικαιώμ'!M4</f>
        <v>41.984768000000003</v>
      </c>
      <c r="F4" s="410">
        <f>'3-φύλλα2α'!F4</f>
        <v>8.7900000000000009</v>
      </c>
      <c r="G4" s="410">
        <f>'4-πολλυπρ'!P4</f>
        <v>0</v>
      </c>
      <c r="H4" s="399">
        <f>'5-αντίγρ'!M4</f>
        <v>0</v>
      </c>
      <c r="I4" s="399">
        <f>'6-μεταγρ'!I4</f>
        <v>0</v>
      </c>
      <c r="J4" s="399">
        <f>'7-προςΔΟΥ'!E4</f>
        <v>6.46</v>
      </c>
      <c r="K4" s="399"/>
      <c r="L4" s="409">
        <f t="shared" ref="L4:L56" si="1">E4+F4+G4+H4+I4+J4+K4</f>
        <v>57.234768000000003</v>
      </c>
      <c r="M4" s="409"/>
      <c r="N4" s="413"/>
      <c r="O4" s="413">
        <f t="shared" si="0"/>
        <v>57.234768000000003</v>
      </c>
      <c r="P4" s="326"/>
      <c r="Q4" s="414"/>
      <c r="R4" s="414"/>
      <c r="S4" s="414"/>
      <c r="T4" s="414"/>
      <c r="U4" s="414"/>
      <c r="V4" s="414"/>
      <c r="W4" s="414"/>
      <c r="X4" s="414"/>
      <c r="Y4" s="414"/>
      <c r="Z4" s="90"/>
      <c r="AA4" s="90"/>
    </row>
    <row r="5" spans="1:27" s="5" customFormat="1">
      <c r="A5" s="397">
        <v>4601</v>
      </c>
      <c r="B5" s="398">
        <v>9</v>
      </c>
      <c r="C5" s="396" t="s">
        <v>562</v>
      </c>
      <c r="D5" s="399"/>
      <c r="E5" s="409">
        <f>'2-δικαιώμ'!M5</f>
        <v>8.2420000000000009</v>
      </c>
      <c r="F5" s="410">
        <f>'3-φύλλα2α'!F5</f>
        <v>5.86</v>
      </c>
      <c r="G5" s="410">
        <f>'4-πολλυπρ'!P5</f>
        <v>14.66</v>
      </c>
      <c r="H5" s="399">
        <f>'5-αντίγρ'!M5</f>
        <v>17.248199999999997</v>
      </c>
      <c r="I5" s="399">
        <f>'6-μεταγρ'!I5</f>
        <v>9.1</v>
      </c>
      <c r="J5" s="399">
        <f>'7-προςΔΟΥ'!E5</f>
        <v>0</v>
      </c>
      <c r="K5" s="399"/>
      <c r="L5" s="409">
        <f t="shared" si="1"/>
        <v>55.110199999999999</v>
      </c>
      <c r="M5" s="409">
        <v>34.04</v>
      </c>
      <c r="N5" s="413">
        <f>M5-'14-βιβλΕσ'!L5</f>
        <v>31.350200000000001</v>
      </c>
      <c r="O5" s="413">
        <f t="shared" si="0"/>
        <v>23.759999999999998</v>
      </c>
      <c r="P5" s="326"/>
      <c r="Q5" s="414"/>
      <c r="R5" s="414"/>
      <c r="S5" s="414" t="s">
        <v>552</v>
      </c>
      <c r="T5" s="414">
        <v>14</v>
      </c>
      <c r="U5" s="414"/>
      <c r="V5" s="414"/>
      <c r="W5" s="414"/>
      <c r="X5" s="414"/>
      <c r="Y5" s="414"/>
      <c r="Z5" s="90"/>
      <c r="AA5" s="90"/>
    </row>
    <row r="6" spans="1:27" s="5" customFormat="1">
      <c r="A6" s="404">
        <v>4602</v>
      </c>
      <c r="B6" s="398">
        <v>10</v>
      </c>
      <c r="C6" s="396" t="s">
        <v>547</v>
      </c>
      <c r="D6" s="399"/>
      <c r="E6" s="409">
        <f>'2-δικαιώμ'!M6</f>
        <v>26.121500000000001</v>
      </c>
      <c r="F6" s="410">
        <f>'3-φύλλα2α'!F6</f>
        <v>2.93</v>
      </c>
      <c r="G6" s="410">
        <f>'4-πολλυπρ'!P6</f>
        <v>32.28</v>
      </c>
      <c r="H6" s="399">
        <f>'5-αντίγρ'!M6</f>
        <v>11.498799999999999</v>
      </c>
      <c r="I6" s="399">
        <f>'6-μεταγρ'!I6</f>
        <v>9.1</v>
      </c>
      <c r="J6" s="399">
        <f>'7-προςΔΟΥ'!E6</f>
        <v>6.46</v>
      </c>
      <c r="K6" s="399"/>
      <c r="L6" s="409">
        <f t="shared" si="1"/>
        <v>88.390299999999996</v>
      </c>
      <c r="M6" s="409">
        <v>45</v>
      </c>
      <c r="N6" s="413">
        <f>M6-'14-βιβλΕσ'!L6</f>
        <v>40.350299999999997</v>
      </c>
      <c r="O6" s="413">
        <f t="shared" si="0"/>
        <v>48.04</v>
      </c>
      <c r="P6" s="326"/>
      <c r="Q6" s="414"/>
      <c r="R6" s="414"/>
      <c r="S6" s="414" t="s">
        <v>552</v>
      </c>
      <c r="T6" s="414">
        <v>14</v>
      </c>
      <c r="U6" s="414"/>
      <c r="V6" s="414"/>
      <c r="W6" s="414"/>
      <c r="X6" s="414"/>
      <c r="Y6" s="414"/>
      <c r="Z6" s="90"/>
      <c r="AA6" s="90"/>
    </row>
    <row r="7" spans="1:27" s="5" customFormat="1">
      <c r="A7" s="404"/>
      <c r="B7" s="398"/>
      <c r="C7" s="396" t="s">
        <v>564</v>
      </c>
      <c r="D7" s="405">
        <v>1111</v>
      </c>
      <c r="E7" s="409">
        <f>'2-δικαιώμ'!M7</f>
        <v>19.320368000000002</v>
      </c>
      <c r="F7" s="410">
        <f>'3-φύλλα2α'!F7</f>
        <v>2.93</v>
      </c>
      <c r="G7" s="410">
        <f>'4-πολλυπρ'!P7</f>
        <v>0</v>
      </c>
      <c r="H7" s="399">
        <f>'5-αντίγρ'!M7</f>
        <v>0</v>
      </c>
      <c r="I7" s="399">
        <f>'6-μεταγρ'!I7</f>
        <v>0</v>
      </c>
      <c r="J7" s="399">
        <f>'7-προςΔΟΥ'!E7</f>
        <v>6.46</v>
      </c>
      <c r="K7" s="399"/>
      <c r="L7" s="409">
        <f t="shared" si="1"/>
        <v>28.710368000000003</v>
      </c>
      <c r="M7" s="409"/>
      <c r="N7" s="413"/>
      <c r="O7" s="413">
        <f t="shared" si="0"/>
        <v>28.710368000000003</v>
      </c>
      <c r="P7" s="326"/>
      <c r="Q7" s="414"/>
      <c r="R7" s="414"/>
      <c r="S7" s="414"/>
      <c r="T7" s="414"/>
      <c r="U7" s="414"/>
      <c r="V7" s="414"/>
      <c r="W7" s="414"/>
      <c r="X7" s="414"/>
      <c r="Y7" s="414"/>
      <c r="Z7" s="90"/>
      <c r="AA7" s="90"/>
    </row>
    <row r="8" spans="1:27" s="5" customFormat="1">
      <c r="A8" s="397">
        <v>4603</v>
      </c>
      <c r="B8" s="398">
        <v>10</v>
      </c>
      <c r="C8" s="396" t="s">
        <v>565</v>
      </c>
      <c r="D8" s="399"/>
      <c r="E8" s="409">
        <f>'2-δικαιώμ'!M8</f>
        <v>8.2420000000000009</v>
      </c>
      <c r="F8" s="410">
        <f>'3-φύλλα2α'!F8</f>
        <v>2.93</v>
      </c>
      <c r="G8" s="410">
        <f>'4-πολλυπρ'!P8</f>
        <v>23.46</v>
      </c>
      <c r="H8" s="399">
        <f>'5-αντίγρ'!M8</f>
        <v>17.248199999999997</v>
      </c>
      <c r="I8" s="399">
        <f>'6-μεταγρ'!I8</f>
        <v>9.1</v>
      </c>
      <c r="J8" s="399">
        <f>'7-προςΔΟΥ'!E8</f>
        <v>6.46</v>
      </c>
      <c r="K8" s="399"/>
      <c r="L8" s="409">
        <f t="shared" si="1"/>
        <v>67.440200000000004</v>
      </c>
      <c r="M8" s="409">
        <v>27.58</v>
      </c>
      <c r="N8" s="413">
        <f>M8-'14-βιβλΕσ'!L8</f>
        <v>24.8902</v>
      </c>
      <c r="O8" s="413">
        <f t="shared" si="0"/>
        <v>42.550000000000004</v>
      </c>
      <c r="P8" s="326"/>
      <c r="Q8" s="414"/>
      <c r="R8" s="414"/>
      <c r="S8" s="414" t="s">
        <v>552</v>
      </c>
      <c r="T8" s="414">
        <v>14</v>
      </c>
      <c r="U8" s="414"/>
      <c r="V8" s="414"/>
      <c r="W8" s="414"/>
      <c r="X8" s="414"/>
      <c r="Y8" s="414"/>
      <c r="Z8" s="90"/>
      <c r="AA8" s="90"/>
    </row>
    <row r="9" spans="1:27" s="5" customFormat="1">
      <c r="A9" s="397">
        <v>4604</v>
      </c>
      <c r="B9" s="398">
        <v>10</v>
      </c>
      <c r="C9" s="396" t="s">
        <v>566</v>
      </c>
      <c r="D9" s="399"/>
      <c r="E9" s="409">
        <f>'2-δικαιώμ'!M9</f>
        <v>8.2420000000000009</v>
      </c>
      <c r="F9" s="410">
        <f>'3-φύλλα2α'!F9</f>
        <v>2.93</v>
      </c>
      <c r="G9" s="410">
        <f>'4-πολλυπρ'!P9</f>
        <v>23.46</v>
      </c>
      <c r="H9" s="399">
        <f>'5-αντίγρ'!M9</f>
        <v>17.248199999999997</v>
      </c>
      <c r="I9" s="399">
        <f>'6-μεταγρ'!I9</f>
        <v>9.1</v>
      </c>
      <c r="J9" s="399">
        <f>'7-προςΔΟΥ'!E9</f>
        <v>6.46</v>
      </c>
      <c r="K9" s="399"/>
      <c r="L9" s="409">
        <f t="shared" si="1"/>
        <v>67.440200000000004</v>
      </c>
      <c r="M9" s="409">
        <v>36.97</v>
      </c>
      <c r="N9" s="413">
        <f>M9-'14-βιβλΕσ'!L9</f>
        <v>34.280200000000001</v>
      </c>
      <c r="O9" s="413">
        <f t="shared" si="0"/>
        <v>33.160000000000004</v>
      </c>
      <c r="P9" s="326"/>
      <c r="Q9" s="414"/>
      <c r="R9" s="414"/>
      <c r="S9" s="414" t="s">
        <v>552</v>
      </c>
      <c r="T9" s="414">
        <v>14</v>
      </c>
      <c r="U9" s="414"/>
      <c r="V9" s="414"/>
      <c r="W9" s="414"/>
      <c r="X9" s="414"/>
      <c r="Y9" s="414"/>
      <c r="Z9" s="90"/>
      <c r="AA9" s="90"/>
    </row>
    <row r="10" spans="1:27" s="5" customFormat="1">
      <c r="A10" s="400">
        <v>4605</v>
      </c>
      <c r="B10" s="401">
        <v>10</v>
      </c>
      <c r="C10" s="396" t="s">
        <v>570</v>
      </c>
      <c r="D10" s="405">
        <v>2222</v>
      </c>
      <c r="E10" s="409">
        <f>'2-δικαιώμ'!M10</f>
        <v>30.652568000000002</v>
      </c>
      <c r="F10" s="410">
        <f>'3-φύλλα2α'!F10</f>
        <v>2.93</v>
      </c>
      <c r="G10" s="410">
        <f>'4-πολλυπρ'!P10</f>
        <v>0</v>
      </c>
      <c r="H10" s="399">
        <f>'5-αντίγρ'!M10</f>
        <v>11.498799999999999</v>
      </c>
      <c r="I10" s="399">
        <f>'6-μεταγρ'!I10</f>
        <v>9.1</v>
      </c>
      <c r="J10" s="399">
        <f>'7-προςΔΟΥ'!E10</f>
        <v>6.46</v>
      </c>
      <c r="K10" s="399"/>
      <c r="L10" s="409">
        <f t="shared" si="1"/>
        <v>60.641368</v>
      </c>
      <c r="M10" s="409">
        <v>35.81</v>
      </c>
      <c r="N10" s="413">
        <f>M10-'14-βιβλΕσ'!L10</f>
        <v>29.113288000000004</v>
      </c>
      <c r="O10" s="413">
        <f t="shared" si="0"/>
        <v>31.528079999999996</v>
      </c>
      <c r="P10" s="326"/>
      <c r="Q10" s="414"/>
      <c r="R10" s="414"/>
      <c r="S10" s="414" t="s">
        <v>552</v>
      </c>
      <c r="T10" s="414">
        <v>14</v>
      </c>
      <c r="U10" s="414"/>
      <c r="V10" s="414"/>
      <c r="W10" s="414"/>
      <c r="X10" s="414"/>
      <c r="Y10" s="414"/>
      <c r="Z10" s="90"/>
      <c r="AA10" s="90"/>
    </row>
    <row r="11" spans="1:27" s="5" customFormat="1">
      <c r="A11" s="400">
        <v>4606</v>
      </c>
      <c r="B11" s="401">
        <v>40</v>
      </c>
      <c r="C11" s="396" t="s">
        <v>548</v>
      </c>
      <c r="D11" s="399"/>
      <c r="E11" s="409">
        <f>'2-δικαιώμ'!M11</f>
        <v>8.2420000000000009</v>
      </c>
      <c r="F11" s="410">
        <f>'3-φύλλα2α'!F11</f>
        <v>5.86</v>
      </c>
      <c r="G11" s="410">
        <f>'4-πολλυπρ'!P11</f>
        <v>14.66</v>
      </c>
      <c r="H11" s="399">
        <f>'5-αντίγρ'!M11</f>
        <v>8.6240999999999985</v>
      </c>
      <c r="I11" s="399">
        <f>'6-μεταγρ'!I11</f>
        <v>0</v>
      </c>
      <c r="J11" s="399">
        <f>'7-προςΔΟΥ'!E11</f>
        <v>0</v>
      </c>
      <c r="K11" s="399"/>
      <c r="L11" s="409">
        <f t="shared" si="1"/>
        <v>37.386099999999999</v>
      </c>
      <c r="M11" s="409">
        <v>24</v>
      </c>
      <c r="N11" s="413">
        <f>M11-'14-βιβλΕσ'!L11</f>
        <v>22.376100000000001</v>
      </c>
      <c r="O11" s="413">
        <f t="shared" si="0"/>
        <v>15.009999999999998</v>
      </c>
      <c r="P11" s="326"/>
      <c r="Q11" s="414"/>
      <c r="R11" s="414"/>
      <c r="S11" s="414" t="s">
        <v>552</v>
      </c>
      <c r="T11" s="414">
        <v>14</v>
      </c>
      <c r="U11" s="414"/>
      <c r="V11" s="414"/>
      <c r="W11" s="414"/>
      <c r="X11" s="414"/>
      <c r="Y11" s="414"/>
      <c r="Z11" s="90"/>
      <c r="AA11" s="90"/>
    </row>
    <row r="12" spans="1:27" s="5" customFormat="1">
      <c r="A12" s="397">
        <v>4607</v>
      </c>
      <c r="B12" s="398">
        <v>11</v>
      </c>
      <c r="C12" s="396" t="s">
        <v>572</v>
      </c>
      <c r="D12" s="399"/>
      <c r="E12" s="409">
        <f>'2-δικαιώμ'!M12</f>
        <v>8.2420000000000009</v>
      </c>
      <c r="F12" s="410">
        <f>'3-φύλλα2α'!F12</f>
        <v>5.86</v>
      </c>
      <c r="G12" s="410">
        <f>'4-πολλυπρ'!P12</f>
        <v>14.66</v>
      </c>
      <c r="H12" s="399">
        <f>'5-αντίγρ'!M12</f>
        <v>17.248199999999997</v>
      </c>
      <c r="I12" s="399">
        <f>'6-μεταγρ'!I12</f>
        <v>9.1</v>
      </c>
      <c r="J12" s="399">
        <f>'7-προςΔΟΥ'!E12</f>
        <v>0</v>
      </c>
      <c r="K12" s="399"/>
      <c r="L12" s="409">
        <f t="shared" si="1"/>
        <v>55.110199999999999</v>
      </c>
      <c r="M12" s="409">
        <v>46.36</v>
      </c>
      <c r="N12" s="413">
        <f>M12-'14-βιβλΕσ'!L12</f>
        <v>43.670200000000001</v>
      </c>
      <c r="O12" s="413">
        <f t="shared" si="0"/>
        <v>11.439999999999998</v>
      </c>
      <c r="P12" s="326"/>
      <c r="Q12" s="414"/>
      <c r="R12" s="414"/>
      <c r="S12" s="414" t="s">
        <v>552</v>
      </c>
      <c r="T12" s="414">
        <v>14</v>
      </c>
      <c r="U12" s="414"/>
      <c r="V12" s="414" t="s">
        <v>573</v>
      </c>
      <c r="W12" s="414"/>
      <c r="X12" s="414"/>
      <c r="Y12" s="414"/>
      <c r="Z12" s="90"/>
      <c r="AA12" s="90"/>
    </row>
    <row r="13" spans="1:27" s="5" customFormat="1">
      <c r="A13" s="397">
        <v>4608</v>
      </c>
      <c r="B13" s="398">
        <v>14</v>
      </c>
      <c r="C13" s="396" t="s">
        <v>549</v>
      </c>
      <c r="D13" s="399">
        <v>1572.77</v>
      </c>
      <c r="E13" s="409">
        <f>'2-δικαιώμ'!M13</f>
        <v>24.030422000000002</v>
      </c>
      <c r="F13" s="410">
        <f>'3-φύλλα2α'!F13</f>
        <v>8.7900000000000009</v>
      </c>
      <c r="G13" s="410">
        <f>'4-πολλυπρ'!P13</f>
        <v>0</v>
      </c>
      <c r="H13" s="399">
        <f>'5-αντίγρ'!M13</f>
        <v>22.997599999999998</v>
      </c>
      <c r="I13" s="399">
        <f>'6-μεταγρ'!I13</f>
        <v>9.1</v>
      </c>
      <c r="J13" s="399">
        <f>'7-προςΔΟΥ'!E13</f>
        <v>6.46</v>
      </c>
      <c r="K13" s="399"/>
      <c r="L13" s="409">
        <f t="shared" si="1"/>
        <v>71.378021999999987</v>
      </c>
      <c r="M13" s="409">
        <v>70.400000000000006</v>
      </c>
      <c r="N13" s="413">
        <f>M13-'14-βιβλΕσ'!L13</f>
        <v>63.450702000000007</v>
      </c>
      <c r="O13" s="413">
        <f t="shared" si="0"/>
        <v>7.9273199999999804</v>
      </c>
      <c r="P13" s="326"/>
      <c r="Q13" s="414"/>
      <c r="R13" s="414"/>
      <c r="S13" s="414" t="s">
        <v>552</v>
      </c>
      <c r="T13" s="414">
        <v>14</v>
      </c>
      <c r="U13" s="414"/>
      <c r="V13" s="414"/>
      <c r="W13" s="414"/>
      <c r="X13" s="414"/>
      <c r="Y13" s="414"/>
      <c r="Z13" s="90"/>
      <c r="AA13" s="90"/>
    </row>
    <row r="14" spans="1:27" s="5" customFormat="1">
      <c r="A14" s="397">
        <v>4609</v>
      </c>
      <c r="B14" s="398">
        <v>14</v>
      </c>
      <c r="C14" s="396" t="s">
        <v>577</v>
      </c>
      <c r="D14" s="399">
        <v>18257.27</v>
      </c>
      <c r="E14" s="409">
        <f>'2-δικαιώμ'!M14</f>
        <v>194.21232200000003</v>
      </c>
      <c r="F14" s="410">
        <f>'3-φύλλα2α'!F14</f>
        <v>8.7900000000000009</v>
      </c>
      <c r="G14" s="410">
        <f>'4-πολλυπρ'!P14</f>
        <v>0</v>
      </c>
      <c r="H14" s="399">
        <f>'5-αντίγρ'!M14</f>
        <v>22.997599999999998</v>
      </c>
      <c r="I14" s="399">
        <f>'6-μεταγρ'!I14</f>
        <v>9.1</v>
      </c>
      <c r="J14" s="399">
        <f>'7-προςΔΟΥ'!E14</f>
        <v>6.46</v>
      </c>
      <c r="K14" s="399"/>
      <c r="L14" s="409">
        <f t="shared" si="1"/>
        <v>241.55992200000003</v>
      </c>
      <c r="M14" s="409">
        <v>289.99</v>
      </c>
      <c r="N14" s="413">
        <f>M14-'14-βιβλΕσ'!L14</f>
        <v>253.008602</v>
      </c>
      <c r="O14" s="413">
        <f t="shared" si="0"/>
        <v>-11.448679999999968</v>
      </c>
      <c r="P14" s="326"/>
      <c r="Q14" s="414"/>
      <c r="R14" s="414"/>
      <c r="S14" s="414" t="s">
        <v>552</v>
      </c>
      <c r="T14" s="414">
        <v>14</v>
      </c>
      <c r="U14" s="414" t="s">
        <v>578</v>
      </c>
      <c r="V14" s="414"/>
      <c r="W14" s="414"/>
      <c r="X14" s="414"/>
      <c r="Y14" s="414"/>
      <c r="Z14" s="90"/>
      <c r="AA14" s="90"/>
    </row>
    <row r="15" spans="1:27" s="5" customFormat="1">
      <c r="A15" s="397">
        <v>4610</v>
      </c>
      <c r="B15" s="398">
        <v>14</v>
      </c>
      <c r="C15" s="396" t="s">
        <v>548</v>
      </c>
      <c r="D15" s="399"/>
      <c r="E15" s="409">
        <f>'2-δικαιώμ'!M15</f>
        <v>8.2420000000000009</v>
      </c>
      <c r="F15" s="410">
        <f>'3-φύλλα2α'!F15</f>
        <v>2.93</v>
      </c>
      <c r="G15" s="410">
        <f>'4-πολλυπρ'!P15</f>
        <v>0</v>
      </c>
      <c r="H15" s="399">
        <f>'5-αντίγρ'!M15</f>
        <v>5.7493999999999996</v>
      </c>
      <c r="I15" s="399">
        <f>'6-μεταγρ'!I15</f>
        <v>0</v>
      </c>
      <c r="J15" s="399">
        <f>'7-προςΔΟΥ'!E15</f>
        <v>0</v>
      </c>
      <c r="K15" s="399"/>
      <c r="L15" s="409">
        <f t="shared" si="1"/>
        <v>16.921399999999998</v>
      </c>
      <c r="M15" s="409">
        <v>26.88</v>
      </c>
      <c r="N15" s="413">
        <f>M15-'14-βιβλΕσ'!L15</f>
        <v>25.6114</v>
      </c>
      <c r="O15" s="413">
        <f t="shared" si="0"/>
        <v>-8.6900000000000013</v>
      </c>
      <c r="P15" s="326"/>
      <c r="Q15" s="414"/>
      <c r="R15" s="414"/>
      <c r="S15" s="414" t="s">
        <v>552</v>
      </c>
      <c r="T15" s="414">
        <v>14</v>
      </c>
      <c r="U15" s="414"/>
      <c r="V15" s="414"/>
      <c r="W15" s="414"/>
      <c r="X15" s="414"/>
      <c r="Y15" s="414"/>
      <c r="Z15" s="90"/>
      <c r="AA15" s="90"/>
    </row>
    <row r="16" spans="1:27" s="5" customFormat="1">
      <c r="A16" s="404">
        <v>4611</v>
      </c>
      <c r="B16" s="398">
        <v>15</v>
      </c>
      <c r="C16" s="396" t="s">
        <v>550</v>
      </c>
      <c r="D16" s="399">
        <v>33521.660000000003</v>
      </c>
      <c r="E16" s="409">
        <f>'2-δικαιώμ'!M16</f>
        <v>349.90910000000002</v>
      </c>
      <c r="F16" s="410">
        <f>'3-φύλλα2α'!F16</f>
        <v>14.65</v>
      </c>
      <c r="G16" s="410">
        <f>'4-πολλυπρ'!P16</f>
        <v>0</v>
      </c>
      <c r="H16" s="399">
        <f>'5-αντίγρ'!M16</f>
        <v>34.496399999999994</v>
      </c>
      <c r="I16" s="399">
        <f>'6-μεταγρ'!I16</f>
        <v>9.1</v>
      </c>
      <c r="J16" s="399">
        <f>'7-προςΔΟΥ'!E16</f>
        <v>6.46</v>
      </c>
      <c r="K16" s="399"/>
      <c r="L16" s="409">
        <f t="shared" si="1"/>
        <v>414.6155</v>
      </c>
      <c r="M16" s="409">
        <v>735.58</v>
      </c>
      <c r="N16" s="413">
        <f>M16-'14-βιβλΕσ'!L16-'8-κ-15-17'!AF16</f>
        <v>409.91150000000005</v>
      </c>
      <c r="O16" s="413">
        <f t="shared" si="0"/>
        <v>4.7039999999999509</v>
      </c>
      <c r="P16" s="326"/>
      <c r="Q16" s="414"/>
      <c r="R16" s="414"/>
      <c r="S16" s="414" t="s">
        <v>552</v>
      </c>
      <c r="T16" s="414">
        <v>14</v>
      </c>
      <c r="U16" s="414"/>
      <c r="V16" s="414"/>
      <c r="W16" s="414"/>
      <c r="X16" s="414"/>
      <c r="Y16" s="414"/>
      <c r="Z16" s="90"/>
      <c r="AA16" s="90"/>
    </row>
    <row r="17" spans="1:27" s="5" customFormat="1">
      <c r="A17" s="404"/>
      <c r="B17" s="398"/>
      <c r="C17" s="396" t="s">
        <v>579</v>
      </c>
      <c r="D17" s="405">
        <v>2222</v>
      </c>
      <c r="E17" s="409">
        <f>'2-δικαιώμ'!M17</f>
        <v>30.652568000000002</v>
      </c>
      <c r="F17" s="410">
        <f>'3-φύλλα2α'!F17</f>
        <v>14.65</v>
      </c>
      <c r="G17" s="410">
        <f>'4-πολλυπρ'!P17</f>
        <v>0</v>
      </c>
      <c r="H17" s="399">
        <f>'5-αντίγρ'!M17</f>
        <v>0</v>
      </c>
      <c r="I17" s="399">
        <f>'6-μεταγρ'!I17</f>
        <v>0</v>
      </c>
      <c r="J17" s="399">
        <f>'7-προςΔΟΥ'!E17</f>
        <v>6.46</v>
      </c>
      <c r="K17" s="399"/>
      <c r="L17" s="409">
        <f t="shared" si="1"/>
        <v>51.762568000000002</v>
      </c>
      <c r="M17" s="409"/>
      <c r="N17" s="413"/>
      <c r="O17" s="413">
        <f t="shared" si="0"/>
        <v>51.762568000000002</v>
      </c>
      <c r="P17" s="326"/>
      <c r="Q17" s="414"/>
      <c r="R17" s="414"/>
      <c r="S17" s="414"/>
      <c r="T17" s="414"/>
      <c r="U17" s="414"/>
      <c r="V17" s="414"/>
      <c r="W17" s="414"/>
      <c r="X17" s="414"/>
      <c r="Y17" s="414"/>
      <c r="Z17" s="90"/>
      <c r="AA17" s="90"/>
    </row>
    <row r="18" spans="1:27" s="5" customFormat="1">
      <c r="A18" s="404"/>
      <c r="B18" s="398"/>
      <c r="C18" s="396" t="s">
        <v>580</v>
      </c>
      <c r="D18" s="399"/>
      <c r="E18" s="409">
        <f>'2-δικαιώμ'!M18</f>
        <v>54.083099999999995</v>
      </c>
      <c r="F18" s="410">
        <f>'3-φύλλα2α'!F18</f>
        <v>14.65</v>
      </c>
      <c r="G18" s="410">
        <f>'4-πολλυπρ'!P18</f>
        <v>0</v>
      </c>
      <c r="H18" s="399">
        <f>'5-αντίγρ'!M18</f>
        <v>0</v>
      </c>
      <c r="I18" s="399">
        <f>'6-μεταγρ'!I18</f>
        <v>12.33</v>
      </c>
      <c r="J18" s="399">
        <f>'7-προςΔΟΥ'!E18</f>
        <v>6.46</v>
      </c>
      <c r="K18" s="399"/>
      <c r="L18" s="409">
        <f t="shared" si="1"/>
        <v>87.523099999999985</v>
      </c>
      <c r="M18" s="409"/>
      <c r="N18" s="413"/>
      <c r="O18" s="413">
        <f t="shared" si="0"/>
        <v>87.523099999999985</v>
      </c>
      <c r="P18" s="326"/>
      <c r="Q18" s="414"/>
      <c r="R18" s="414"/>
      <c r="S18" s="414"/>
      <c r="T18" s="414"/>
      <c r="U18" s="414"/>
      <c r="V18" s="414"/>
      <c r="W18" s="414"/>
      <c r="X18" s="414"/>
      <c r="Y18" s="414"/>
      <c r="Z18" s="90"/>
      <c r="AA18" s="90"/>
    </row>
    <row r="19" spans="1:27" s="5" customFormat="1">
      <c r="A19" s="397">
        <v>4612</v>
      </c>
      <c r="B19" s="398">
        <v>15</v>
      </c>
      <c r="C19" s="396" t="s">
        <v>547</v>
      </c>
      <c r="D19" s="399"/>
      <c r="E19" s="409">
        <f>'2-δικαιώμ'!M19</f>
        <v>26.121500000000001</v>
      </c>
      <c r="F19" s="410">
        <f>'3-φύλλα2α'!F19</f>
        <v>5.86</v>
      </c>
      <c r="G19" s="410">
        <f>'4-πολλυπρ'!P19</f>
        <v>35.21</v>
      </c>
      <c r="H19" s="399">
        <f>'5-αντίγρ'!M19</f>
        <v>25.872299999999999</v>
      </c>
      <c r="I19" s="399">
        <f>'6-μεταγρ'!I19</f>
        <v>12.33</v>
      </c>
      <c r="J19" s="399">
        <f>'7-προςΔΟΥ'!E19</f>
        <v>6.46</v>
      </c>
      <c r="K19" s="399"/>
      <c r="L19" s="409">
        <f t="shared" si="1"/>
        <v>111.85379999999999</v>
      </c>
      <c r="M19" s="526">
        <v>74.069999999999993</v>
      </c>
      <c r="N19" s="413">
        <f>M19-'14-βιβλΕσ'!L19</f>
        <v>67.643799999999999</v>
      </c>
      <c r="O19" s="413">
        <f t="shared" si="0"/>
        <v>44.209999999999994</v>
      </c>
      <c r="P19" s="326"/>
      <c r="Q19" s="414"/>
      <c r="R19" s="414"/>
      <c r="S19" s="414" t="s">
        <v>552</v>
      </c>
      <c r="T19" s="414">
        <v>14</v>
      </c>
      <c r="U19" s="414"/>
      <c r="V19" s="414"/>
      <c r="W19" s="414"/>
      <c r="X19" s="414"/>
      <c r="Y19" s="533" t="s">
        <v>581</v>
      </c>
      <c r="Z19" s="90"/>
      <c r="AA19" s="90"/>
    </row>
    <row r="20" spans="1:27" s="5" customFormat="1">
      <c r="A20" s="397">
        <v>4613</v>
      </c>
      <c r="B20" s="398">
        <v>15</v>
      </c>
      <c r="C20" s="396" t="s">
        <v>550</v>
      </c>
      <c r="D20" s="399">
        <v>6213.36</v>
      </c>
      <c r="E20" s="409">
        <f>'2-δικαιώμ'!M20</f>
        <v>71.364440000000002</v>
      </c>
      <c r="F20" s="410">
        <f>'3-φύλλα2α'!F20</f>
        <v>11.72</v>
      </c>
      <c r="G20" s="410">
        <f>'4-πολλυπρ'!P20</f>
        <v>0</v>
      </c>
      <c r="H20" s="399">
        <f>'5-αντίγρ'!M20</f>
        <v>28.746999999999996</v>
      </c>
      <c r="I20" s="399">
        <f>'6-μεταγρ'!I20</f>
        <v>12.33</v>
      </c>
      <c r="J20" s="399">
        <f>'7-προςΔΟΥ'!E20</f>
        <v>6.46</v>
      </c>
      <c r="K20" s="399"/>
      <c r="L20" s="409">
        <f t="shared" si="1"/>
        <v>130.62144000000001</v>
      </c>
      <c r="M20" s="409">
        <v>186.86</v>
      </c>
      <c r="N20" s="413">
        <f>M20-'14-βιβλΕσ'!L20-'8-κ-15-17'!AF20</f>
        <v>122.68704000000002</v>
      </c>
      <c r="O20" s="413">
        <f t="shared" si="0"/>
        <v>7.9343999999999824</v>
      </c>
      <c r="P20" s="326"/>
      <c r="Q20" s="414"/>
      <c r="R20" s="414"/>
      <c r="S20" s="414" t="s">
        <v>552</v>
      </c>
      <c r="T20" s="414">
        <v>14</v>
      </c>
      <c r="U20" s="414"/>
      <c r="V20" s="414"/>
      <c r="W20" s="414"/>
      <c r="X20" s="414"/>
      <c r="Y20" s="414"/>
      <c r="Z20" s="90"/>
      <c r="AA20" s="90"/>
    </row>
    <row r="21" spans="1:27" s="5" customFormat="1">
      <c r="A21" s="397">
        <v>4614</v>
      </c>
      <c r="B21" s="398">
        <v>15</v>
      </c>
      <c r="C21" s="396" t="s">
        <v>145</v>
      </c>
      <c r="D21" s="399"/>
      <c r="E21" s="409">
        <f>'2-δικαιώμ'!M21</f>
        <v>57.223099999999995</v>
      </c>
      <c r="F21" s="410">
        <f>'3-φύλλα2α'!F21</f>
        <v>2.93</v>
      </c>
      <c r="G21" s="410">
        <f>'4-πολλυπρ'!P21</f>
        <v>0</v>
      </c>
      <c r="H21" s="399">
        <f>'5-αντίγρ'!M21</f>
        <v>0</v>
      </c>
      <c r="I21" s="399">
        <f>'6-μεταγρ'!I21</f>
        <v>0</v>
      </c>
      <c r="J21" s="399">
        <f>'7-προςΔΟΥ'!E21</f>
        <v>0</v>
      </c>
      <c r="K21" s="534">
        <v>14.67</v>
      </c>
      <c r="L21" s="409">
        <f t="shared" si="1"/>
        <v>74.823099999999997</v>
      </c>
      <c r="M21" s="409">
        <v>67.319999999999993</v>
      </c>
      <c r="N21" s="413">
        <f>M21-'14-βιβλΕσ'!L21</f>
        <v>65.853099999999998</v>
      </c>
      <c r="O21" s="413">
        <f t="shared" si="0"/>
        <v>8.9699999999999989</v>
      </c>
      <c r="P21" s="326"/>
      <c r="Q21" s="414"/>
      <c r="R21" s="414"/>
      <c r="S21" s="414"/>
      <c r="T21" s="414"/>
      <c r="U21" s="414"/>
      <c r="V21" s="414"/>
      <c r="W21" s="414"/>
      <c r="X21" s="414"/>
      <c r="Y21" s="414"/>
      <c r="Z21" s="537" t="s">
        <v>582</v>
      </c>
      <c r="AA21" s="90"/>
    </row>
    <row r="22" spans="1:27" s="5" customFormat="1">
      <c r="A22" s="404">
        <v>4615</v>
      </c>
      <c r="B22" s="398">
        <v>15</v>
      </c>
      <c r="C22" s="396" t="s">
        <v>546</v>
      </c>
      <c r="D22" s="399">
        <v>16035.1</v>
      </c>
      <c r="E22" s="409">
        <f>'2-δικαιώμ'!M22</f>
        <v>171.546188</v>
      </c>
      <c r="F22" s="410">
        <f>'3-φύλλα2α'!F22</f>
        <v>8.7900000000000009</v>
      </c>
      <c r="G22" s="410">
        <f>'4-πολλυπρ'!P22</f>
        <v>11.72</v>
      </c>
      <c r="H22" s="399">
        <f>'5-αντίγρ'!M22</f>
        <v>45.995199999999997</v>
      </c>
      <c r="I22" s="399">
        <f>'6-μεταγρ'!I22</f>
        <v>12.33</v>
      </c>
      <c r="J22" s="399">
        <f>'7-προςΔΟΥ'!E22</f>
        <v>6.46</v>
      </c>
      <c r="K22" s="534">
        <f>2*14.67</f>
        <v>29.34</v>
      </c>
      <c r="L22" s="409">
        <f t="shared" si="1"/>
        <v>286.18138799999997</v>
      </c>
      <c r="M22" s="409">
        <v>403.75</v>
      </c>
      <c r="N22" s="413">
        <f>M22-'14-βιβλΕσ'!L22-'8-κ-15-17'!AF22</f>
        <v>243.65610799999999</v>
      </c>
      <c r="O22" s="413">
        <f t="shared" si="0"/>
        <v>42.525279999999981</v>
      </c>
      <c r="P22" s="326"/>
      <c r="Q22" s="414"/>
      <c r="R22" s="414"/>
      <c r="S22" s="414" t="s">
        <v>552</v>
      </c>
      <c r="T22" s="414">
        <v>14</v>
      </c>
      <c r="U22" s="414"/>
      <c r="V22" s="414"/>
      <c r="W22" s="414"/>
      <c r="X22" s="414"/>
      <c r="Y22" s="414"/>
      <c r="Z22" s="537" t="s">
        <v>583</v>
      </c>
      <c r="AA22" s="90"/>
    </row>
    <row r="23" spans="1:27" s="5" customFormat="1">
      <c r="A23" s="404"/>
      <c r="B23" s="398"/>
      <c r="C23" s="396" t="s">
        <v>585</v>
      </c>
      <c r="D23" s="405">
        <v>6666</v>
      </c>
      <c r="E23" s="409">
        <f>'2-δικαιώμ'!M23</f>
        <v>75.981368000000003</v>
      </c>
      <c r="F23" s="410">
        <f>'3-φύλλα2α'!F23</f>
        <v>8.7900000000000009</v>
      </c>
      <c r="G23" s="410">
        <f>'4-πολλυπρ'!P23</f>
        <v>0</v>
      </c>
      <c r="H23" s="399">
        <f>'5-αντίγρ'!M23</f>
        <v>0</v>
      </c>
      <c r="I23" s="399">
        <f>'6-μεταγρ'!I23</f>
        <v>0</v>
      </c>
      <c r="J23" s="399">
        <f>'7-προςΔΟΥ'!E23</f>
        <v>6.46</v>
      </c>
      <c r="K23" s="399">
        <v>14.67</v>
      </c>
      <c r="L23" s="409">
        <f t="shared" si="1"/>
        <v>105.90136800000001</v>
      </c>
      <c r="M23" s="409"/>
      <c r="N23" s="413"/>
      <c r="O23" s="413">
        <f t="shared" si="0"/>
        <v>105.90136800000001</v>
      </c>
      <c r="P23" s="326"/>
      <c r="Q23" s="414"/>
      <c r="R23" s="414"/>
      <c r="S23" s="414"/>
      <c r="T23" s="414"/>
      <c r="U23" s="414"/>
      <c r="V23" s="414"/>
      <c r="W23" s="414"/>
      <c r="X23" s="414"/>
      <c r="Y23" s="414"/>
      <c r="Z23" s="90"/>
      <c r="AA23" s="90"/>
    </row>
    <row r="24" spans="1:27" s="5" customFormat="1">
      <c r="A24" s="538">
        <v>4616</v>
      </c>
      <c r="B24" s="398">
        <v>17</v>
      </c>
      <c r="C24" s="396" t="s">
        <v>546</v>
      </c>
      <c r="D24" s="399">
        <v>9933.0499999999993</v>
      </c>
      <c r="E24" s="409">
        <f>'2-δικαιώμ'!M24</f>
        <v>109.305278</v>
      </c>
      <c r="F24" s="410">
        <f>'3-φύλλα2α'!F24</f>
        <v>11.72</v>
      </c>
      <c r="G24" s="410">
        <f>'4-πολλυπρ'!P24</f>
        <v>0</v>
      </c>
      <c r="H24" s="399">
        <f>'5-αντίγρ'!M24</f>
        <v>28.746999999999996</v>
      </c>
      <c r="I24" s="399">
        <f>'6-μεταγρ'!I24</f>
        <v>12.33</v>
      </c>
      <c r="J24" s="399">
        <f>'7-προςΔΟΥ'!E24</f>
        <v>6.46</v>
      </c>
      <c r="K24" s="399"/>
      <c r="L24" s="409">
        <f t="shared" si="1"/>
        <v>168.56227800000002</v>
      </c>
      <c r="M24" s="409">
        <v>260.32</v>
      </c>
      <c r="N24" s="413">
        <f>M24-'14-βιβλΕσ'!L24-'8-κ-15-17'!AF24</f>
        <v>160.631598</v>
      </c>
      <c r="O24" s="413">
        <f>N24-'14-βιβλΕσ'!M24-'8-κ-15-17'!AG24</f>
        <v>137.92159799999999</v>
      </c>
      <c r="P24" s="326"/>
      <c r="Q24" s="414"/>
      <c r="R24" s="414"/>
      <c r="S24" s="414" t="s">
        <v>552</v>
      </c>
      <c r="T24" s="414">
        <v>14</v>
      </c>
      <c r="U24" s="414"/>
      <c r="V24" s="414"/>
      <c r="W24" s="414"/>
      <c r="X24" s="414"/>
      <c r="Y24" s="414"/>
      <c r="Z24" s="90"/>
      <c r="AA24" s="90"/>
    </row>
    <row r="25" spans="1:27" s="5" customFormat="1">
      <c r="A25" s="538"/>
      <c r="B25" s="398"/>
      <c r="C25" s="396" t="s">
        <v>586</v>
      </c>
      <c r="D25" s="405">
        <v>1111</v>
      </c>
      <c r="E25" s="409">
        <f>'2-δικαιώμ'!M25</f>
        <v>19.320368000000002</v>
      </c>
      <c r="F25" s="410">
        <f>'3-φύλλα2α'!F25</f>
        <v>11.72</v>
      </c>
      <c r="G25" s="410">
        <f>'4-πολλυπρ'!P25</f>
        <v>0</v>
      </c>
      <c r="H25" s="399">
        <f>'5-αντίγρ'!M25</f>
        <v>0</v>
      </c>
      <c r="I25" s="399">
        <f>'6-μεταγρ'!I25</f>
        <v>5.87</v>
      </c>
      <c r="J25" s="399">
        <f>'7-προςΔΟΥ'!E25</f>
        <v>6.46</v>
      </c>
      <c r="K25" s="399"/>
      <c r="L25" s="409">
        <f t="shared" si="1"/>
        <v>43.370367999999999</v>
      </c>
      <c r="M25" s="409"/>
      <c r="N25" s="413"/>
      <c r="O25" s="413">
        <f t="shared" si="0"/>
        <v>43.370367999999999</v>
      </c>
      <c r="P25" s="326"/>
      <c r="Q25" s="414"/>
      <c r="R25" s="414"/>
      <c r="S25" s="414"/>
      <c r="T25" s="414"/>
      <c r="U25" s="414"/>
      <c r="V25" s="414"/>
      <c r="W25" s="414"/>
      <c r="X25" s="414"/>
      <c r="Y25" s="414"/>
      <c r="Z25" s="90"/>
      <c r="AA25" s="90"/>
    </row>
    <row r="26" spans="1:27" s="5" customFormat="1">
      <c r="A26" s="538"/>
      <c r="B26" s="398"/>
      <c r="C26" s="396" t="s">
        <v>587</v>
      </c>
      <c r="D26" s="405">
        <v>3333</v>
      </c>
      <c r="E26" s="409">
        <f>'2-δικαιώμ'!M26</f>
        <v>41.984768000000003</v>
      </c>
      <c r="F26" s="410">
        <f>'3-φύλλα2α'!F26</f>
        <v>11.72</v>
      </c>
      <c r="G26" s="410">
        <f>'4-πολλυπρ'!P26</f>
        <v>0</v>
      </c>
      <c r="H26" s="399">
        <f>'5-αντίγρ'!M26</f>
        <v>0</v>
      </c>
      <c r="I26" s="399">
        <f>'6-μεταγρ'!I26</f>
        <v>5.87</v>
      </c>
      <c r="J26" s="399">
        <f>'7-προςΔΟΥ'!E26</f>
        <v>0</v>
      </c>
      <c r="K26" s="399"/>
      <c r="L26" s="409">
        <f t="shared" si="1"/>
        <v>59.574767999999999</v>
      </c>
      <c r="M26" s="409"/>
      <c r="N26" s="413"/>
      <c r="O26" s="413">
        <f t="shared" si="0"/>
        <v>59.574767999999999</v>
      </c>
      <c r="P26" s="326"/>
      <c r="Q26" s="414"/>
      <c r="R26" s="414"/>
      <c r="S26" s="414"/>
      <c r="T26" s="414"/>
      <c r="U26" s="414"/>
      <c r="V26" s="414"/>
      <c r="W26" s="414"/>
      <c r="X26" s="414"/>
      <c r="Y26" s="414"/>
      <c r="Z26" s="90"/>
      <c r="AA26" s="90"/>
    </row>
    <row r="27" spans="1:27" s="5" customFormat="1">
      <c r="A27" s="404">
        <v>4617</v>
      </c>
      <c r="B27" s="398">
        <v>17</v>
      </c>
      <c r="C27" s="396" t="s">
        <v>588</v>
      </c>
      <c r="D27" s="399"/>
      <c r="E27" s="409">
        <f>'2-δικαιώμ'!M27</f>
        <v>7.8320000000000007</v>
      </c>
      <c r="F27" s="410">
        <f>'3-φύλλα2α'!F27</f>
        <v>26.37</v>
      </c>
      <c r="G27" s="410">
        <f>'4-πολλυπρ'!P27</f>
        <v>0</v>
      </c>
      <c r="H27" s="399">
        <f>'5-αντίγρ'!M27</f>
        <v>57.493999999999993</v>
      </c>
      <c r="I27" s="399">
        <f>'6-μεταγρ'!I27</f>
        <v>0</v>
      </c>
      <c r="J27" s="399">
        <f>'7-προςΔΟΥ'!E27</f>
        <v>0</v>
      </c>
      <c r="K27" s="399"/>
      <c r="L27" s="409">
        <f t="shared" si="1"/>
        <v>91.695999999999998</v>
      </c>
      <c r="M27" s="409"/>
      <c r="N27" s="413">
        <f>M27-'14-βιβλΕσ'!L27</f>
        <v>-8.0739999999999998</v>
      </c>
      <c r="O27" s="413">
        <f t="shared" si="0"/>
        <v>99.77</v>
      </c>
      <c r="P27" s="326"/>
      <c r="Q27" s="414"/>
      <c r="R27" s="414"/>
      <c r="S27" s="414" t="s">
        <v>552</v>
      </c>
      <c r="T27" s="414"/>
      <c r="U27" s="414"/>
      <c r="V27" s="414"/>
      <c r="W27" s="414"/>
      <c r="X27" s="414"/>
      <c r="Y27" s="414"/>
      <c r="Z27" s="90"/>
      <c r="AA27" s="90"/>
    </row>
    <row r="28" spans="1:27" s="5" customFormat="1">
      <c r="A28" s="404"/>
      <c r="B28" s="398"/>
      <c r="C28" s="396" t="s">
        <v>589</v>
      </c>
      <c r="D28" s="399">
        <v>200</v>
      </c>
      <c r="E28" s="409">
        <f>'2-δικαιώμ'!M28</f>
        <v>10.028168000000001</v>
      </c>
      <c r="F28" s="410">
        <f>'3-φύλλα2α'!F28</f>
        <v>26.37</v>
      </c>
      <c r="G28" s="410">
        <f>'4-πολλυπρ'!P28</f>
        <v>0</v>
      </c>
      <c r="H28" s="399">
        <f>'5-αντίγρ'!M28</f>
        <v>0</v>
      </c>
      <c r="I28" s="399">
        <f>'6-μεταγρ'!I28</f>
        <v>0</v>
      </c>
      <c r="J28" s="399">
        <f>'7-προςΔΟΥ'!E28</f>
        <v>0</v>
      </c>
      <c r="K28" s="399"/>
      <c r="L28" s="409">
        <f t="shared" si="1"/>
        <v>36.398167999999998</v>
      </c>
      <c r="M28" s="409">
        <f>51.53-P28</f>
        <v>48.53</v>
      </c>
      <c r="N28" s="413">
        <f>M28-'14-βιβλΕσ'!L28</f>
        <v>46.894088000000004</v>
      </c>
      <c r="O28" s="413">
        <f t="shared" si="0"/>
        <v>-10.495920000000005</v>
      </c>
      <c r="P28" s="326">
        <v>3</v>
      </c>
      <c r="Q28" s="414"/>
      <c r="R28" s="414"/>
      <c r="S28" s="414"/>
      <c r="T28" s="414"/>
      <c r="U28" s="414"/>
      <c r="V28" s="414" t="s">
        <v>573</v>
      </c>
      <c r="W28" s="414"/>
      <c r="X28" s="414"/>
      <c r="Y28" s="414"/>
      <c r="Z28" s="90"/>
      <c r="AA28" s="90"/>
    </row>
    <row r="29" spans="1:27" s="5" customFormat="1">
      <c r="A29" s="397">
        <v>4618</v>
      </c>
      <c r="B29" s="398">
        <v>18</v>
      </c>
      <c r="C29" s="396" t="s">
        <v>548</v>
      </c>
      <c r="D29" s="399"/>
      <c r="E29" s="409">
        <f>'2-δικαιώμ'!M29</f>
        <v>8.2420000000000009</v>
      </c>
      <c r="F29" s="410">
        <f>'3-φύλλα2α'!F29</f>
        <v>2.93</v>
      </c>
      <c r="G29" s="410">
        <f>'4-πολλυπρ'!P29</f>
        <v>0</v>
      </c>
      <c r="H29" s="399">
        <f>'5-αντίγρ'!M29</f>
        <v>5.7493999999999996</v>
      </c>
      <c r="I29" s="399">
        <f>'6-μεταγρ'!I29</f>
        <v>0</v>
      </c>
      <c r="J29" s="399">
        <f>'7-προςΔΟΥ'!E29</f>
        <v>0</v>
      </c>
      <c r="K29" s="399"/>
      <c r="L29" s="409">
        <f t="shared" ref="L29:L45" si="2">E29+F29+G29+H29+I29+J29+K29</f>
        <v>16.921399999999998</v>
      </c>
      <c r="M29" s="409">
        <v>20.54</v>
      </c>
      <c r="N29" s="413">
        <f>M29-'14-βιβλΕσ'!L29</f>
        <v>19.2714</v>
      </c>
      <c r="O29" s="413">
        <f t="shared" ref="O29:O45" si="3">L29-N29</f>
        <v>-2.3500000000000014</v>
      </c>
      <c r="P29" s="326"/>
      <c r="Q29" s="414"/>
      <c r="R29" s="414"/>
      <c r="S29" s="414" t="s">
        <v>552</v>
      </c>
      <c r="T29" s="414">
        <v>14</v>
      </c>
      <c r="U29" s="414"/>
      <c r="V29" s="414"/>
      <c r="W29" s="414"/>
      <c r="X29" s="414"/>
      <c r="Y29" s="414"/>
      <c r="Z29" s="90"/>
      <c r="AA29" s="90"/>
    </row>
    <row r="30" spans="1:27" s="5" customFormat="1">
      <c r="A30" s="404">
        <v>4619</v>
      </c>
      <c r="B30" s="398">
        <v>18</v>
      </c>
      <c r="C30" s="396" t="s">
        <v>590</v>
      </c>
      <c r="D30" s="399">
        <v>1800</v>
      </c>
      <c r="E30" s="409">
        <f>'2-δικαιώμ'!M30</f>
        <v>26.348168000000001</v>
      </c>
      <c r="F30" s="410">
        <f>'3-φύλλα2α'!F30</f>
        <v>5.86</v>
      </c>
      <c r="G30" s="410">
        <f>'4-πολλυπρ'!P30</f>
        <v>0</v>
      </c>
      <c r="H30" s="399">
        <f>'5-αντίγρ'!M30</f>
        <v>17.248199999999997</v>
      </c>
      <c r="I30" s="399">
        <f>'6-μεταγρ'!I30</f>
        <v>0</v>
      </c>
      <c r="J30" s="399">
        <f>'7-προςΔΟΥ'!E30</f>
        <v>0</v>
      </c>
      <c r="K30" s="399"/>
      <c r="L30" s="409">
        <f t="shared" si="2"/>
        <v>49.456367999999998</v>
      </c>
      <c r="M30" s="409">
        <v>44.66</v>
      </c>
      <c r="N30" s="413">
        <f>M30-'14-βιβλΕσ'!L30</f>
        <v>38.012287999999998</v>
      </c>
      <c r="O30" s="413">
        <f t="shared" si="3"/>
        <v>11.44408</v>
      </c>
      <c r="P30" s="326"/>
      <c r="Q30" s="414"/>
      <c r="R30" s="414"/>
      <c r="S30" s="414" t="s">
        <v>552</v>
      </c>
      <c r="T30" s="414">
        <v>14</v>
      </c>
      <c r="U30" s="414"/>
      <c r="V30" s="414"/>
      <c r="W30" s="414"/>
      <c r="X30" s="414"/>
      <c r="Y30" s="414"/>
      <c r="Z30" s="90"/>
      <c r="AA30" s="90"/>
    </row>
    <row r="31" spans="1:27" s="5" customFormat="1">
      <c r="A31" s="404"/>
      <c r="B31" s="398"/>
      <c r="C31" s="396" t="s">
        <v>591</v>
      </c>
      <c r="D31" s="405">
        <v>1111</v>
      </c>
      <c r="E31" s="409">
        <f>'2-δικαιώμ'!M31</f>
        <v>19.320368000000002</v>
      </c>
      <c r="F31" s="410">
        <f>'3-φύλλα2α'!F31</f>
        <v>5.86</v>
      </c>
      <c r="G31" s="410">
        <f>'4-πολλυπρ'!P31</f>
        <v>0</v>
      </c>
      <c r="H31" s="399">
        <f>'5-αντίγρ'!M31</f>
        <v>0</v>
      </c>
      <c r="I31" s="399">
        <f>'6-μεταγρ'!I31</f>
        <v>0</v>
      </c>
      <c r="J31" s="399">
        <f>'7-προςΔΟΥ'!E31</f>
        <v>0</v>
      </c>
      <c r="K31" s="399"/>
      <c r="L31" s="409">
        <f t="shared" si="2"/>
        <v>25.180368000000001</v>
      </c>
      <c r="M31" s="409"/>
      <c r="N31" s="413"/>
      <c r="O31" s="413">
        <f t="shared" si="3"/>
        <v>25.180368000000001</v>
      </c>
      <c r="P31" s="326"/>
      <c r="Q31" s="414"/>
      <c r="R31" s="414"/>
      <c r="S31" s="414"/>
      <c r="T31" s="414"/>
      <c r="U31" s="414"/>
      <c r="V31" s="414"/>
      <c r="W31" s="414"/>
      <c r="X31" s="414"/>
      <c r="Y31" s="414"/>
      <c r="Z31" s="90"/>
      <c r="AA31" s="90"/>
    </row>
    <row r="32" spans="1:27" s="5" customFormat="1">
      <c r="A32" s="551">
        <v>4620</v>
      </c>
      <c r="B32" s="398">
        <v>21</v>
      </c>
      <c r="C32" s="396" t="s">
        <v>550</v>
      </c>
      <c r="D32" s="399">
        <v>6285.73</v>
      </c>
      <c r="E32" s="409">
        <f>'2-δικαιώμ'!M32</f>
        <v>72.102613999999988</v>
      </c>
      <c r="F32" s="410">
        <f>'3-φύλλα2α'!F32</f>
        <v>14.65</v>
      </c>
      <c r="G32" s="410">
        <f>'4-πολλυπρ'!P32</f>
        <v>0</v>
      </c>
      <c r="H32" s="399">
        <f>'5-αντίγρ'!M32</f>
        <v>34.496399999999994</v>
      </c>
      <c r="I32" s="399">
        <f>'6-μεταγρ'!I32</f>
        <v>12.33</v>
      </c>
      <c r="J32" s="399">
        <f>'7-προςΔΟΥ'!E32</f>
        <v>6.46</v>
      </c>
      <c r="K32" s="399"/>
      <c r="L32" s="409">
        <f t="shared" si="2"/>
        <v>140.03901400000001</v>
      </c>
      <c r="M32" s="409">
        <v>237.59</v>
      </c>
      <c r="N32" s="413">
        <f>M32-'14-βιβλΕσ'!L32-'8-κ-15-17'!AF32</f>
        <v>172.01617400000001</v>
      </c>
      <c r="O32" s="413">
        <f>N32-'14-βιβλΕσ'!M32-'8-κ-15-17'!AG32</f>
        <v>155.16617400000001</v>
      </c>
      <c r="P32" s="552">
        <v>1</v>
      </c>
      <c r="Q32" s="414"/>
      <c r="R32" s="414"/>
      <c r="S32" s="414" t="s">
        <v>552</v>
      </c>
      <c r="T32" s="414">
        <v>14</v>
      </c>
      <c r="U32" s="414"/>
      <c r="V32" s="414"/>
      <c r="W32" s="414"/>
      <c r="X32" s="414"/>
      <c r="Y32" s="414"/>
      <c r="Z32" s="90"/>
      <c r="AA32" s="90"/>
    </row>
    <row r="33" spans="1:27" s="5" customFormat="1">
      <c r="A33" s="538"/>
      <c r="B33" s="398"/>
      <c r="C33" s="396" t="s">
        <v>592</v>
      </c>
      <c r="D33" s="399"/>
      <c r="E33" s="409">
        <f>'2-δικαιώμ'!M33</f>
        <v>51.178599999999996</v>
      </c>
      <c r="F33" s="410">
        <f>'3-φύλλα2α'!F33</f>
        <v>14.65</v>
      </c>
      <c r="G33" s="410">
        <f>'4-πολλυπρ'!P33</f>
        <v>0</v>
      </c>
      <c r="H33" s="399">
        <f>'5-αντίγρ'!M33</f>
        <v>0</v>
      </c>
      <c r="I33" s="399">
        <f>'6-μεταγρ'!I33</f>
        <v>0</v>
      </c>
      <c r="J33" s="399">
        <f>'7-προςΔΟΥ'!E33</f>
        <v>0</v>
      </c>
      <c r="K33" s="399"/>
      <c r="L33" s="409">
        <f t="shared" si="2"/>
        <v>65.828599999999994</v>
      </c>
      <c r="M33" s="409"/>
      <c r="N33" s="413"/>
      <c r="O33" s="413">
        <f t="shared" si="3"/>
        <v>65.828599999999994</v>
      </c>
      <c r="P33" s="326"/>
      <c r="Q33" s="414"/>
      <c r="R33" s="414"/>
      <c r="S33" s="414"/>
      <c r="T33" s="414"/>
      <c r="U33" s="414"/>
      <c r="V33" s="414"/>
      <c r="W33" s="414"/>
      <c r="X33" s="414"/>
      <c r="Y33" s="414"/>
      <c r="Z33" s="90"/>
      <c r="AA33" s="90"/>
    </row>
    <row r="34" spans="1:27" s="5" customFormat="1">
      <c r="A34" s="538"/>
      <c r="B34" s="398"/>
      <c r="C34" s="396" t="s">
        <v>593</v>
      </c>
      <c r="D34" s="405">
        <v>3333</v>
      </c>
      <c r="E34" s="409">
        <f>'2-δικαιώμ'!M34</f>
        <v>41.984768000000003</v>
      </c>
      <c r="F34" s="410">
        <f>'3-φύλλα2α'!F34</f>
        <v>14.65</v>
      </c>
      <c r="G34" s="410">
        <f>'4-πολλυπρ'!P34</f>
        <v>0</v>
      </c>
      <c r="H34" s="399">
        <f>'5-αντίγρ'!M34</f>
        <v>0</v>
      </c>
      <c r="I34" s="399">
        <f>'6-μεταγρ'!I34</f>
        <v>0</v>
      </c>
      <c r="J34" s="399">
        <f>'7-προςΔΟΥ'!E34</f>
        <v>0</v>
      </c>
      <c r="K34" s="399"/>
      <c r="L34" s="409">
        <f t="shared" si="2"/>
        <v>56.634768000000001</v>
      </c>
      <c r="M34" s="409"/>
      <c r="N34" s="413"/>
      <c r="O34" s="413">
        <f t="shared" si="3"/>
        <v>56.634768000000001</v>
      </c>
      <c r="P34" s="326"/>
      <c r="Q34" s="414"/>
      <c r="R34" s="414"/>
      <c r="S34" s="414"/>
      <c r="T34" s="414"/>
      <c r="U34" s="414"/>
      <c r="V34" s="414"/>
      <c r="W34" s="414"/>
      <c r="X34" s="414"/>
      <c r="Y34" s="414"/>
      <c r="Z34" s="90"/>
      <c r="AA34" s="90"/>
    </row>
    <row r="35" spans="1:27" s="5" customFormat="1">
      <c r="A35" s="551">
        <v>4621</v>
      </c>
      <c r="B35" s="398">
        <v>21</v>
      </c>
      <c r="C35" s="396" t="s">
        <v>550</v>
      </c>
      <c r="D35" s="399">
        <v>30928.65</v>
      </c>
      <c r="E35" s="409">
        <f>'2-δικαιώμ'!M35</f>
        <v>323.46039800000005</v>
      </c>
      <c r="F35" s="410">
        <f>'3-φύλλα2α'!F35</f>
        <v>11.72</v>
      </c>
      <c r="G35" s="410">
        <f>'4-πολλυπρ'!P35</f>
        <v>0</v>
      </c>
      <c r="H35" s="399">
        <f>'5-αντίγρ'!M35</f>
        <v>28.746999999999996</v>
      </c>
      <c r="I35" s="399">
        <f>'6-μεταγρ'!I35</f>
        <v>12.33</v>
      </c>
      <c r="J35" s="399">
        <f>'7-προςΔΟΥ'!E35</f>
        <v>6.46</v>
      </c>
      <c r="K35" s="399"/>
      <c r="L35" s="409">
        <f t="shared" si="2"/>
        <v>382.71739800000006</v>
      </c>
      <c r="M35" s="409">
        <v>764.58</v>
      </c>
      <c r="N35" s="413">
        <f>M35-'14-βιβλΕσ'!L35-'8-κ-15-17'!AF35</f>
        <v>464.35951799999998</v>
      </c>
      <c r="O35" s="413">
        <f>N35-'14-βιβλΕσ'!M35-'8-κ-15-17'!AG35</f>
        <v>403.88248049999993</v>
      </c>
      <c r="P35" s="552">
        <v>1</v>
      </c>
      <c r="Q35" s="414"/>
      <c r="R35" s="414"/>
      <c r="S35" s="414" t="s">
        <v>552</v>
      </c>
      <c r="T35" s="414">
        <v>14</v>
      </c>
      <c r="U35" s="414"/>
      <c r="V35" s="414"/>
      <c r="W35" s="414"/>
      <c r="X35" s="414"/>
      <c r="Y35" s="414"/>
      <c r="Z35" s="90"/>
      <c r="AA35" s="90"/>
    </row>
    <row r="36" spans="1:27" s="5" customFormat="1">
      <c r="A36" s="404"/>
      <c r="B36" s="398"/>
      <c r="C36" s="396" t="s">
        <v>580</v>
      </c>
      <c r="D36" s="399"/>
      <c r="E36" s="409">
        <f>'2-δικαιώμ'!M36</f>
        <v>51.178599999999996</v>
      </c>
      <c r="F36" s="410">
        <f>'3-φύλλα2α'!F36</f>
        <v>11.72</v>
      </c>
      <c r="G36" s="410">
        <f>'4-πολλυπρ'!P36</f>
        <v>0</v>
      </c>
      <c r="H36" s="399">
        <f>'5-αντίγρ'!M36</f>
        <v>0</v>
      </c>
      <c r="I36" s="399">
        <f>'6-μεταγρ'!I36</f>
        <v>12.33</v>
      </c>
      <c r="J36" s="399">
        <f>'7-προςΔΟΥ'!E36</f>
        <v>6.46</v>
      </c>
      <c r="K36" s="399"/>
      <c r="L36" s="409">
        <f t="shared" si="2"/>
        <v>81.688599999999994</v>
      </c>
      <c r="M36" s="409"/>
      <c r="N36" s="413"/>
      <c r="O36" s="413">
        <f t="shared" si="3"/>
        <v>81.688599999999994</v>
      </c>
      <c r="P36" s="326"/>
      <c r="Q36" s="414"/>
      <c r="R36" s="414"/>
      <c r="S36" s="414"/>
      <c r="T36" s="414"/>
      <c r="U36" s="414"/>
      <c r="V36" s="414"/>
      <c r="W36" s="414"/>
      <c r="X36" s="414"/>
      <c r="Y36" s="414"/>
      <c r="Z36" s="90"/>
      <c r="AA36" s="90"/>
    </row>
    <row r="37" spans="1:27" s="5" customFormat="1">
      <c r="A37" s="397">
        <v>4622</v>
      </c>
      <c r="B37" s="398">
        <v>21</v>
      </c>
      <c r="C37" s="396" t="s">
        <v>548</v>
      </c>
      <c r="D37" s="399"/>
      <c r="E37" s="409">
        <f>'2-δικαιώμ'!M37</f>
        <v>8.2420000000000009</v>
      </c>
      <c r="F37" s="410">
        <f>'3-φύλλα2α'!F37</f>
        <v>2.93</v>
      </c>
      <c r="G37" s="410">
        <f>'4-πολλυπρ'!P37</f>
        <v>0</v>
      </c>
      <c r="H37" s="399">
        <f>'5-αντίγρ'!M37</f>
        <v>5.7493999999999996</v>
      </c>
      <c r="I37" s="399">
        <f>'6-μεταγρ'!I37</f>
        <v>0</v>
      </c>
      <c r="J37" s="399">
        <f>'7-προςΔΟΥ'!E37</f>
        <v>0</v>
      </c>
      <c r="K37" s="399"/>
      <c r="L37" s="409">
        <f t="shared" si="2"/>
        <v>16.921399999999998</v>
      </c>
      <c r="M37" s="409">
        <v>20.54</v>
      </c>
      <c r="N37" s="413">
        <f>M37-'14-βιβλΕσ'!L37</f>
        <v>19.2714</v>
      </c>
      <c r="O37" s="413">
        <f t="shared" si="3"/>
        <v>-2.3500000000000014</v>
      </c>
      <c r="P37" s="326"/>
      <c r="Q37" s="414"/>
      <c r="R37" s="414"/>
      <c r="S37" s="414" t="s">
        <v>552</v>
      </c>
      <c r="T37" s="414">
        <v>14</v>
      </c>
      <c r="U37" s="414"/>
      <c r="V37" s="414"/>
      <c r="W37" s="414"/>
      <c r="X37" s="414"/>
      <c r="Y37" s="414"/>
      <c r="Z37" s="90"/>
      <c r="AA37" s="90"/>
    </row>
    <row r="38" spans="1:27" s="5" customFormat="1">
      <c r="A38" s="397">
        <v>4623</v>
      </c>
      <c r="B38" s="398">
        <v>21</v>
      </c>
      <c r="C38" s="396" t="s">
        <v>548</v>
      </c>
      <c r="D38" s="399"/>
      <c r="E38" s="409">
        <f>'2-δικαιώμ'!M38</f>
        <v>8.2420000000000009</v>
      </c>
      <c r="F38" s="410">
        <f>'3-φύλλα2α'!F38</f>
        <v>5.86</v>
      </c>
      <c r="G38" s="410">
        <f>'4-πολλυπρ'!P38</f>
        <v>29.32</v>
      </c>
      <c r="H38" s="399">
        <f>'5-αντίγρ'!M38</f>
        <v>8.6240999999999985</v>
      </c>
      <c r="I38" s="399">
        <f>'6-μεταγρ'!I38</f>
        <v>0</v>
      </c>
      <c r="J38" s="399">
        <f>'7-προςΔΟΥ'!E38</f>
        <v>0</v>
      </c>
      <c r="K38" s="399"/>
      <c r="L38" s="409">
        <f t="shared" si="2"/>
        <v>52.046099999999996</v>
      </c>
      <c r="M38" s="409">
        <f>M37+(2*2.93)</f>
        <v>26.4</v>
      </c>
      <c r="N38" s="413">
        <f>M38-'14-βιβλΕσ'!L38</f>
        <v>24.7761</v>
      </c>
      <c r="O38" s="413">
        <f t="shared" si="3"/>
        <v>27.269999999999996</v>
      </c>
      <c r="P38" s="326"/>
      <c r="Q38" s="414"/>
      <c r="R38" s="414"/>
      <c r="S38" s="414" t="s">
        <v>552</v>
      </c>
      <c r="T38" s="414">
        <v>14</v>
      </c>
      <c r="U38" s="414"/>
      <c r="V38" s="414"/>
      <c r="W38" s="414"/>
      <c r="X38" s="414"/>
      <c r="Y38" s="414"/>
      <c r="Z38" s="90"/>
      <c r="AA38" s="90"/>
    </row>
    <row r="39" spans="1:27" s="5" customFormat="1">
      <c r="A39" s="404">
        <v>4624</v>
      </c>
      <c r="B39" s="398">
        <v>23</v>
      </c>
      <c r="C39" s="396" t="s">
        <v>595</v>
      </c>
      <c r="D39" s="399">
        <v>11558.2</v>
      </c>
      <c r="E39" s="409">
        <f>'2-δικαιώμ'!M39</f>
        <v>125.88180800000002</v>
      </c>
      <c r="F39" s="410">
        <f>'3-φύλλα2α'!F39</f>
        <v>11.72</v>
      </c>
      <c r="G39" s="410">
        <f>'4-πολλυπρ'!P39</f>
        <v>0</v>
      </c>
      <c r="H39" s="399">
        <f>'5-αντίγρ'!M39</f>
        <v>28.746999999999996</v>
      </c>
      <c r="I39" s="399">
        <f>'6-μεταγρ'!I39</f>
        <v>12.33</v>
      </c>
      <c r="J39" s="399">
        <f>'7-προςΔΟΥ'!E39</f>
        <v>6.46</v>
      </c>
      <c r="K39" s="399"/>
      <c r="L39" s="409">
        <f t="shared" si="2"/>
        <v>185.13880800000004</v>
      </c>
      <c r="M39" s="409">
        <f>292.42-3</f>
        <v>289.42</v>
      </c>
      <c r="N39" s="413">
        <f>M39-'14-βιβλΕσ'!L39-'8-κ-15-17'!AF39</f>
        <v>174.20632800000004</v>
      </c>
      <c r="O39" s="413">
        <f>N39-'14-βιβλΕσ'!M39-'8-κ-15-17'!AG39</f>
        <v>148.58027800000002</v>
      </c>
      <c r="P39" s="326">
        <v>3</v>
      </c>
      <c r="Q39" s="414"/>
      <c r="R39" s="414"/>
      <c r="S39" s="414" t="s">
        <v>552</v>
      </c>
      <c r="T39" s="414">
        <v>14</v>
      </c>
      <c r="U39" s="414"/>
      <c r="V39" s="414"/>
      <c r="W39" s="414"/>
      <c r="X39" s="414"/>
      <c r="Y39" s="414"/>
      <c r="Z39" s="90"/>
      <c r="AA39" s="90"/>
    </row>
    <row r="40" spans="1:27" s="5" customFormat="1">
      <c r="A40" s="404"/>
      <c r="B40" s="398"/>
      <c r="C40" s="396" t="s">
        <v>596</v>
      </c>
      <c r="D40" s="405">
        <v>4444</v>
      </c>
      <c r="E40" s="409">
        <f>'2-δικαιώμ'!M40</f>
        <v>53.316968000000003</v>
      </c>
      <c r="F40" s="410">
        <f>'3-φύλλα2α'!F40</f>
        <v>11.72</v>
      </c>
      <c r="G40" s="410">
        <f>'4-πολλυπρ'!P40</f>
        <v>0</v>
      </c>
      <c r="H40" s="399">
        <f>'5-αντίγρ'!M40</f>
        <v>0</v>
      </c>
      <c r="I40" s="399">
        <f>'6-μεταγρ'!I40</f>
        <v>0</v>
      </c>
      <c r="J40" s="399">
        <f>'7-προςΔΟΥ'!E40</f>
        <v>6.46</v>
      </c>
      <c r="K40" s="399"/>
      <c r="L40" s="409">
        <f t="shared" si="2"/>
        <v>71.496967999999995</v>
      </c>
      <c r="M40" s="409"/>
      <c r="N40" s="413"/>
      <c r="O40" s="413">
        <f t="shared" si="3"/>
        <v>71.496967999999995</v>
      </c>
      <c r="P40" s="326"/>
      <c r="Q40" s="414"/>
      <c r="R40" s="414"/>
      <c r="S40" s="414"/>
      <c r="T40" s="414"/>
      <c r="U40" s="414"/>
      <c r="V40" s="414"/>
      <c r="W40" s="414"/>
      <c r="X40" s="414"/>
      <c r="Y40" s="414"/>
      <c r="Z40" s="90"/>
      <c r="AA40" s="90"/>
    </row>
    <row r="41" spans="1:27" s="5" customFormat="1">
      <c r="A41" s="404"/>
      <c r="B41" s="398"/>
      <c r="C41" s="396" t="s">
        <v>597</v>
      </c>
      <c r="D41" s="405">
        <v>1111</v>
      </c>
      <c r="E41" s="409">
        <f>'2-δικαιώμ'!M41</f>
        <v>19.320368000000002</v>
      </c>
      <c r="F41" s="410">
        <f>'3-φύλλα2α'!F41</f>
        <v>11.72</v>
      </c>
      <c r="G41" s="410">
        <f>'4-πολλυπρ'!P41</f>
        <v>0</v>
      </c>
      <c r="H41" s="399">
        <f>'5-αντίγρ'!M41</f>
        <v>0</v>
      </c>
      <c r="I41" s="399">
        <f>'6-μεταγρ'!I41</f>
        <v>0</v>
      </c>
      <c r="J41" s="399">
        <f>'7-προςΔΟΥ'!E41</f>
        <v>6.46</v>
      </c>
      <c r="K41" s="399"/>
      <c r="L41" s="409">
        <f t="shared" si="2"/>
        <v>37.500368000000002</v>
      </c>
      <c r="M41" s="409"/>
      <c r="N41" s="413"/>
      <c r="O41" s="413">
        <f t="shared" si="3"/>
        <v>37.500368000000002</v>
      </c>
      <c r="P41" s="326"/>
      <c r="Q41" s="414"/>
      <c r="R41" s="414"/>
      <c r="S41" s="414"/>
      <c r="T41" s="414"/>
      <c r="U41" s="414"/>
      <c r="V41" s="414"/>
      <c r="W41" s="414"/>
      <c r="X41" s="414"/>
      <c r="Y41" s="414"/>
      <c r="Z41" s="90"/>
      <c r="AA41" s="90"/>
    </row>
    <row r="42" spans="1:27" s="5" customFormat="1">
      <c r="A42" s="538">
        <v>4625</v>
      </c>
      <c r="B42" s="398">
        <v>23</v>
      </c>
      <c r="C42" s="396" t="s">
        <v>595</v>
      </c>
      <c r="D42" s="399">
        <v>3061.77</v>
      </c>
      <c r="E42" s="409">
        <f>'2-δικαιώμ'!M42</f>
        <v>39.218222000000004</v>
      </c>
      <c r="F42" s="410">
        <f>'3-φύλλα2α'!F42</f>
        <v>8.7900000000000009</v>
      </c>
      <c r="G42" s="410">
        <f>'4-πολλυπρ'!P42</f>
        <v>0</v>
      </c>
      <c r="H42" s="399">
        <f>'5-αντίγρ'!M42</f>
        <v>22.997599999999998</v>
      </c>
      <c r="I42" s="399">
        <f>'6-μεταγρ'!I42</f>
        <v>12.33</v>
      </c>
      <c r="J42" s="399">
        <f>'7-προςΔΟΥ'!E42</f>
        <v>6.46</v>
      </c>
      <c r="K42" s="399"/>
      <c r="L42" s="409">
        <f t="shared" si="2"/>
        <v>89.795821999999987</v>
      </c>
      <c r="M42" s="526">
        <f>115.23-P42</f>
        <v>112.23</v>
      </c>
      <c r="N42" s="413">
        <f>M42-'14-βιβλΕσ'!L42-'8-κ-15-17'!AF42</f>
        <v>78.870502000000016</v>
      </c>
      <c r="O42" s="413">
        <f t="shared" si="3"/>
        <v>10.925319999999971</v>
      </c>
      <c r="P42" s="326">
        <v>3</v>
      </c>
      <c r="Q42" s="414"/>
      <c r="R42" s="414"/>
      <c r="S42" s="414" t="s">
        <v>552</v>
      </c>
      <c r="T42" s="414">
        <v>14</v>
      </c>
      <c r="U42" s="414"/>
      <c r="V42" s="414"/>
      <c r="W42" s="414"/>
      <c r="X42" s="414"/>
      <c r="Y42" s="533" t="s">
        <v>581</v>
      </c>
      <c r="Z42" s="90"/>
      <c r="AA42" s="90"/>
    </row>
    <row r="43" spans="1:27" s="5" customFormat="1">
      <c r="A43" s="538"/>
      <c r="B43" s="398"/>
      <c r="C43" s="396" t="s">
        <v>598</v>
      </c>
      <c r="D43" s="405">
        <v>1111</v>
      </c>
      <c r="E43" s="409">
        <f>'2-δικαιώμ'!M43</f>
        <v>19.320368000000002</v>
      </c>
      <c r="F43" s="410">
        <f>'3-φύλλα2α'!F43</f>
        <v>8.7900000000000009</v>
      </c>
      <c r="G43" s="410">
        <f>'4-πολλυπρ'!P43</f>
        <v>0</v>
      </c>
      <c r="H43" s="399">
        <f>'5-αντίγρ'!M43</f>
        <v>0</v>
      </c>
      <c r="I43" s="399">
        <f>'6-μεταγρ'!I43</f>
        <v>0</v>
      </c>
      <c r="J43" s="399">
        <f>'7-προςΔΟΥ'!E43</f>
        <v>6.46</v>
      </c>
      <c r="K43" s="399"/>
      <c r="L43" s="409">
        <f t="shared" si="2"/>
        <v>34.570368000000002</v>
      </c>
      <c r="M43" s="409"/>
      <c r="N43" s="413"/>
      <c r="O43" s="413">
        <f t="shared" si="3"/>
        <v>34.570368000000002</v>
      </c>
      <c r="P43" s="326"/>
      <c r="Q43" s="414"/>
      <c r="R43" s="414"/>
      <c r="S43" s="414"/>
      <c r="T43" s="414"/>
      <c r="U43" s="414"/>
      <c r="V43" s="414"/>
      <c r="W43" s="414"/>
      <c r="X43" s="414"/>
      <c r="Y43" s="414"/>
      <c r="Z43" s="90"/>
      <c r="AA43" s="90"/>
    </row>
    <row r="44" spans="1:27" s="5" customFormat="1">
      <c r="A44" s="404">
        <v>4626</v>
      </c>
      <c r="B44" s="398">
        <v>23</v>
      </c>
      <c r="C44" s="396" t="s">
        <v>595</v>
      </c>
      <c r="D44" s="399">
        <v>5079.72</v>
      </c>
      <c r="E44" s="409">
        <f>'2-δικαιώμ'!M44</f>
        <v>59.801311999999996</v>
      </c>
      <c r="F44" s="410">
        <f>'3-φύλλα2α'!F44</f>
        <v>11.72</v>
      </c>
      <c r="G44" s="410">
        <f>'4-πολλυπρ'!P44</f>
        <v>0</v>
      </c>
      <c r="H44" s="399">
        <f>'5-αντίγρ'!M44</f>
        <v>28.746999999999996</v>
      </c>
      <c r="I44" s="399">
        <f>'6-μεταγρ'!I44</f>
        <v>12.33</v>
      </c>
      <c r="J44" s="399">
        <f>'7-προςΔΟΥ'!E44</f>
        <v>6.46</v>
      </c>
      <c r="K44" s="399"/>
      <c r="L44" s="409">
        <f t="shared" si="2"/>
        <v>119.05831199999999</v>
      </c>
      <c r="M44" s="526">
        <f>164.47-P44</f>
        <v>161.47</v>
      </c>
      <c r="N44" s="413">
        <f>M44-'14-βιβλΕσ'!L44-'8-κ-15-17'!AF44</f>
        <v>108.12759199999999</v>
      </c>
      <c r="O44" s="413">
        <f t="shared" si="3"/>
        <v>10.930719999999994</v>
      </c>
      <c r="P44" s="326">
        <v>3</v>
      </c>
      <c r="Q44" s="414"/>
      <c r="R44" s="414"/>
      <c r="S44" s="414" t="s">
        <v>552</v>
      </c>
      <c r="T44" s="414">
        <v>14</v>
      </c>
      <c r="U44" s="414"/>
      <c r="V44" s="414"/>
      <c r="W44" s="414"/>
      <c r="X44" s="414"/>
      <c r="Y44" s="533" t="s">
        <v>581</v>
      </c>
      <c r="Z44" s="90"/>
      <c r="AA44" s="90"/>
    </row>
    <row r="45" spans="1:27" s="5" customFormat="1">
      <c r="A45" s="404"/>
      <c r="B45" s="398"/>
      <c r="C45" s="396" t="s">
        <v>600</v>
      </c>
      <c r="D45" s="405">
        <v>1111</v>
      </c>
      <c r="E45" s="409">
        <f>'2-δικαιώμ'!M45</f>
        <v>19.320368000000002</v>
      </c>
      <c r="F45" s="410">
        <f>'3-φύλλα2α'!F45</f>
        <v>11.72</v>
      </c>
      <c r="G45" s="410">
        <f>'4-πολλυπρ'!P45</f>
        <v>0</v>
      </c>
      <c r="H45" s="399">
        <f>'5-αντίγρ'!M45</f>
        <v>0</v>
      </c>
      <c r="I45" s="399">
        <f>'6-μεταγρ'!I45</f>
        <v>0</v>
      </c>
      <c r="J45" s="399">
        <f>'7-προςΔΟΥ'!E45</f>
        <v>6.46</v>
      </c>
      <c r="K45" s="399"/>
      <c r="L45" s="409">
        <f t="shared" si="2"/>
        <v>37.500368000000002</v>
      </c>
      <c r="M45" s="409"/>
      <c r="N45" s="413"/>
      <c r="O45" s="413">
        <f t="shared" si="3"/>
        <v>37.500368000000002</v>
      </c>
      <c r="P45" s="326"/>
      <c r="Q45" s="414"/>
      <c r="R45" s="414"/>
      <c r="S45" s="414"/>
      <c r="T45" s="414"/>
      <c r="U45" s="414"/>
      <c r="V45" s="414"/>
      <c r="W45" s="414"/>
      <c r="X45" s="414"/>
      <c r="Y45" s="414"/>
      <c r="Z45" s="90"/>
      <c r="AA45" s="90"/>
    </row>
    <row r="46" spans="1:27" s="5" customFormat="1">
      <c r="A46" s="404"/>
      <c r="B46" s="398"/>
      <c r="C46" s="396" t="s">
        <v>601</v>
      </c>
      <c r="D46" s="405">
        <v>1111</v>
      </c>
      <c r="E46" s="409">
        <f>'2-δικαιώμ'!M46</f>
        <v>19.320368000000002</v>
      </c>
      <c r="F46" s="410">
        <f>'3-φύλλα2α'!F46</f>
        <v>11.72</v>
      </c>
      <c r="G46" s="410">
        <f>'4-πολλυπρ'!P46</f>
        <v>0</v>
      </c>
      <c r="H46" s="399">
        <f>'5-αντίγρ'!M46</f>
        <v>0</v>
      </c>
      <c r="I46" s="399">
        <f>'6-μεταγρ'!I46</f>
        <v>0</v>
      </c>
      <c r="J46" s="399">
        <f>'7-προςΔΟΥ'!E46</f>
        <v>6.46</v>
      </c>
      <c r="K46" s="399"/>
      <c r="L46" s="409">
        <f t="shared" si="1"/>
        <v>37.500368000000002</v>
      </c>
      <c r="M46" s="409"/>
      <c r="N46" s="413"/>
      <c r="O46" s="413">
        <f t="shared" ref="O46:O56" si="4">L46-N46</f>
        <v>37.500368000000002</v>
      </c>
      <c r="P46" s="326"/>
      <c r="Q46" s="414"/>
      <c r="R46" s="414"/>
      <c r="S46" s="414"/>
      <c r="T46" s="414"/>
      <c r="U46" s="414"/>
      <c r="V46" s="414"/>
      <c r="W46" s="414"/>
      <c r="X46" s="414"/>
      <c r="Y46" s="414"/>
      <c r="Z46" s="90"/>
      <c r="AA46" s="90"/>
    </row>
    <row r="47" spans="1:27" s="5" customFormat="1">
      <c r="A47" s="538">
        <v>4627</v>
      </c>
      <c r="B47" s="398">
        <v>23</v>
      </c>
      <c r="C47" s="396" t="s">
        <v>599</v>
      </c>
      <c r="D47" s="399"/>
      <c r="E47" s="409">
        <f>'2-δικαιώμ'!M47</f>
        <v>8.2420000000000009</v>
      </c>
      <c r="F47" s="410">
        <f>'3-φύλλα2α'!F47</f>
        <v>2.93</v>
      </c>
      <c r="G47" s="410">
        <f>'4-πολλυπρ'!P47</f>
        <v>0</v>
      </c>
      <c r="H47" s="399">
        <f>'5-αντίγρ'!M47</f>
        <v>11.498799999999999</v>
      </c>
      <c r="I47" s="399">
        <f>'6-μεταγρ'!I47</f>
        <v>9.1</v>
      </c>
      <c r="J47" s="399">
        <f>'7-προςΔΟΥ'!E47</f>
        <v>6.46</v>
      </c>
      <c r="K47" s="399"/>
      <c r="L47" s="409">
        <f t="shared" si="1"/>
        <v>38.230800000000002</v>
      </c>
      <c r="M47" s="409">
        <f>20.54-1</f>
        <v>19.54</v>
      </c>
      <c r="N47" s="413">
        <f>M47-'14-βιβλΕσ'!L47</f>
        <v>17.5608</v>
      </c>
      <c r="O47" s="413">
        <f t="shared" si="4"/>
        <v>20.67</v>
      </c>
      <c r="P47" s="326">
        <v>1</v>
      </c>
      <c r="Q47" s="414"/>
      <c r="R47" s="414"/>
      <c r="S47" s="414" t="s">
        <v>552</v>
      </c>
      <c r="T47" s="414">
        <v>14</v>
      </c>
      <c r="U47" s="414"/>
      <c r="V47" s="414"/>
      <c r="W47" s="414"/>
      <c r="X47" s="414"/>
      <c r="Y47" s="414"/>
      <c r="Z47" s="90"/>
      <c r="AA47" s="90"/>
    </row>
    <row r="48" spans="1:27" s="5" customFormat="1">
      <c r="A48" s="538"/>
      <c r="B48" s="398"/>
      <c r="C48" s="396" t="s">
        <v>602</v>
      </c>
      <c r="D48" s="399">
        <v>1111</v>
      </c>
      <c r="E48" s="409">
        <f>'2-δικαιώμ'!M48</f>
        <v>19.320368000000002</v>
      </c>
      <c r="F48" s="410">
        <f>'3-φύλλα2α'!F48</f>
        <v>2.93</v>
      </c>
      <c r="G48" s="410">
        <f>'4-πολλυπρ'!P48</f>
        <v>0</v>
      </c>
      <c r="H48" s="399">
        <f>'5-αντίγρ'!M48</f>
        <v>0</v>
      </c>
      <c r="I48" s="399">
        <f>'6-μεταγρ'!I48</f>
        <v>0</v>
      </c>
      <c r="J48" s="399">
        <f>'7-προςΔΟΥ'!E48</f>
        <v>0</v>
      </c>
      <c r="K48" s="399"/>
      <c r="L48" s="409">
        <f t="shared" si="1"/>
        <v>22.250368000000002</v>
      </c>
      <c r="M48" s="409"/>
      <c r="N48" s="413"/>
      <c r="O48" s="413">
        <f t="shared" si="4"/>
        <v>22.250368000000002</v>
      </c>
      <c r="P48" s="326"/>
      <c r="Q48" s="414"/>
      <c r="R48" s="414"/>
      <c r="S48" s="414"/>
      <c r="T48" s="414"/>
      <c r="U48" s="414"/>
      <c r="V48" s="414"/>
      <c r="W48" s="414"/>
      <c r="X48" s="414"/>
      <c r="Y48" s="414"/>
      <c r="Z48" s="90"/>
      <c r="AA48" s="90"/>
    </row>
    <row r="49" spans="1:27" s="5" customFormat="1">
      <c r="A49" s="538"/>
      <c r="B49" s="398"/>
      <c r="C49" s="396" t="s">
        <v>604</v>
      </c>
      <c r="D49" s="399">
        <v>8888</v>
      </c>
      <c r="E49" s="409">
        <f>'2-δικαιώμ'!M49</f>
        <v>98.645768000000004</v>
      </c>
      <c r="F49" s="410">
        <f>'3-φύλλα2α'!F49</f>
        <v>2.93</v>
      </c>
      <c r="G49" s="410">
        <f>'4-πολλυπρ'!P49</f>
        <v>5.86</v>
      </c>
      <c r="H49" s="399">
        <f>'5-αντίγρ'!M49</f>
        <v>0</v>
      </c>
      <c r="I49" s="399">
        <f>'6-μεταγρ'!I49</f>
        <v>6.46</v>
      </c>
      <c r="J49" s="399">
        <f>'7-προςΔΟΥ'!E49</f>
        <v>6.46</v>
      </c>
      <c r="K49" s="399"/>
      <c r="L49" s="409">
        <f t="shared" si="1"/>
        <v>120.355768</v>
      </c>
      <c r="M49" s="409"/>
      <c r="N49" s="413"/>
      <c r="O49" s="413">
        <f t="shared" si="4"/>
        <v>120.355768</v>
      </c>
      <c r="P49" s="326"/>
      <c r="Q49" s="414"/>
      <c r="R49" s="414"/>
      <c r="S49" s="414"/>
      <c r="T49" s="414"/>
      <c r="U49" s="414"/>
      <c r="V49" s="414"/>
      <c r="W49" s="414"/>
      <c r="X49" s="414"/>
      <c r="Y49" s="414"/>
      <c r="Z49" s="90"/>
      <c r="AA49" s="90"/>
    </row>
    <row r="50" spans="1:27" s="5" customFormat="1">
      <c r="A50" s="397">
        <v>4628</v>
      </c>
      <c r="B50" s="398">
        <v>24</v>
      </c>
      <c r="C50" s="396" t="s">
        <v>548</v>
      </c>
      <c r="D50" s="399"/>
      <c r="E50" s="409">
        <f>'2-δικαιώμ'!M50</f>
        <v>8.2420000000000009</v>
      </c>
      <c r="F50" s="410">
        <f>'3-φύλλα2α'!F50</f>
        <v>2.93</v>
      </c>
      <c r="G50" s="410">
        <f>'4-πολλυπρ'!P50</f>
        <v>0</v>
      </c>
      <c r="H50" s="399">
        <f>'5-αντίγρ'!M50</f>
        <v>5.7493999999999996</v>
      </c>
      <c r="I50" s="399">
        <f>'6-μεταγρ'!I50</f>
        <v>0</v>
      </c>
      <c r="J50" s="399">
        <f>'7-προςΔΟΥ'!E50</f>
        <v>0</v>
      </c>
      <c r="K50" s="399"/>
      <c r="L50" s="409">
        <f t="shared" si="1"/>
        <v>16.921399999999998</v>
      </c>
      <c r="M50" s="409">
        <v>20.54</v>
      </c>
      <c r="N50" s="413">
        <f>M50-'14-βιβλΕσ'!L50</f>
        <v>19.2714</v>
      </c>
      <c r="O50" s="413">
        <f t="shared" si="4"/>
        <v>-2.3500000000000014</v>
      </c>
      <c r="P50" s="326"/>
      <c r="Q50" s="414"/>
      <c r="R50" s="414"/>
      <c r="S50" s="414" t="s">
        <v>552</v>
      </c>
      <c r="T50" s="414">
        <v>14</v>
      </c>
      <c r="U50" s="414"/>
      <c r="V50" s="414"/>
      <c r="W50" s="414"/>
      <c r="X50" s="414"/>
      <c r="Y50" s="414"/>
      <c r="Z50" s="90"/>
      <c r="AA50" s="90"/>
    </row>
    <row r="51" spans="1:27" s="5" customFormat="1">
      <c r="A51" s="404">
        <v>4629</v>
      </c>
      <c r="B51" s="398">
        <v>24</v>
      </c>
      <c r="C51" s="396" t="s">
        <v>547</v>
      </c>
      <c r="D51" s="399"/>
      <c r="E51" s="409">
        <f>'2-δικαιώμ'!M51</f>
        <v>26.121500000000001</v>
      </c>
      <c r="F51" s="410">
        <f>'3-φύλλα2α'!F51</f>
        <v>8.7900000000000009</v>
      </c>
      <c r="G51" s="410">
        <f>'4-πολλυπρ'!P51</f>
        <v>38.14</v>
      </c>
      <c r="H51" s="399">
        <f>'5-αντίγρ'!M51</f>
        <v>34.496399999999994</v>
      </c>
      <c r="I51" s="399">
        <f>'6-μεταγρ'!I51</f>
        <v>12.33</v>
      </c>
      <c r="J51" s="399">
        <f>'7-προςΔΟΥ'!E51</f>
        <v>6.46</v>
      </c>
      <c r="K51" s="399"/>
      <c r="L51" s="409">
        <f t="shared" si="1"/>
        <v>126.33789999999999</v>
      </c>
      <c r="M51" s="409">
        <v>79.83</v>
      </c>
      <c r="N51" s="413">
        <f>M51-'14-βιβλΕσ'!L51</f>
        <v>72.337899999999991</v>
      </c>
      <c r="O51" s="413">
        <f t="shared" si="4"/>
        <v>54</v>
      </c>
      <c r="P51" s="326"/>
      <c r="Q51" s="414"/>
      <c r="R51" s="414"/>
      <c r="S51" s="414" t="s">
        <v>608</v>
      </c>
      <c r="T51" s="414">
        <v>14</v>
      </c>
      <c r="U51" s="414"/>
      <c r="V51" s="414"/>
      <c r="W51" s="414"/>
      <c r="X51" s="414"/>
      <c r="Y51" s="414"/>
      <c r="Z51" s="90"/>
      <c r="AA51" s="90"/>
    </row>
    <row r="52" spans="1:27" s="5" customFormat="1">
      <c r="A52" s="404"/>
      <c r="B52" s="398"/>
      <c r="C52" s="396" t="s">
        <v>606</v>
      </c>
      <c r="D52" s="405">
        <v>1111</v>
      </c>
      <c r="E52" s="409">
        <f>'2-δικαιώμ'!M52</f>
        <v>18.340564000000001</v>
      </c>
      <c r="F52" s="410">
        <f>'3-φύλλα2α'!F52</f>
        <v>8.7900000000000009</v>
      </c>
      <c r="G52" s="410">
        <f>'4-πολλυπρ'!P52</f>
        <v>0</v>
      </c>
      <c r="H52" s="399">
        <f>'5-αντίγρ'!M52</f>
        <v>0</v>
      </c>
      <c r="I52" s="399">
        <f>'6-μεταγρ'!I52</f>
        <v>0</v>
      </c>
      <c r="J52" s="399">
        <f>'7-προςΔΟΥ'!E52</f>
        <v>6.46</v>
      </c>
      <c r="K52" s="399"/>
      <c r="L52" s="409">
        <f t="shared" si="1"/>
        <v>33.590564000000001</v>
      </c>
      <c r="M52" s="409"/>
      <c r="N52" s="413"/>
      <c r="O52" s="413">
        <f t="shared" si="4"/>
        <v>33.590564000000001</v>
      </c>
      <c r="P52" s="326"/>
      <c r="Q52" s="414"/>
      <c r="R52" s="414"/>
      <c r="S52" s="414"/>
      <c r="T52" s="414"/>
      <c r="U52" s="414"/>
      <c r="V52" s="414"/>
      <c r="W52" s="414"/>
      <c r="X52" s="414"/>
      <c r="Y52" s="414"/>
      <c r="Z52" s="90"/>
      <c r="AA52" s="90"/>
    </row>
    <row r="53" spans="1:27" s="5" customFormat="1">
      <c r="A53" s="404"/>
      <c r="B53" s="398"/>
      <c r="C53" s="396" t="s">
        <v>607</v>
      </c>
      <c r="D53" s="405">
        <v>11</v>
      </c>
      <c r="E53" s="409">
        <f>'2-δικαιώμ'!M53</f>
        <v>8.2420000000000009</v>
      </c>
      <c r="F53" s="410">
        <f>'3-φύλλα2α'!F53</f>
        <v>8.7900000000000009</v>
      </c>
      <c r="G53" s="410">
        <f>'4-πολλυπρ'!P53</f>
        <v>0</v>
      </c>
      <c r="H53" s="399">
        <f>'5-αντίγρ'!M53</f>
        <v>0</v>
      </c>
      <c r="I53" s="399">
        <f>'6-μεταγρ'!I53</f>
        <v>0</v>
      </c>
      <c r="J53" s="399">
        <f>'7-προςΔΟΥ'!E53</f>
        <v>6.46</v>
      </c>
      <c r="K53" s="399"/>
      <c r="L53" s="409">
        <f t="shared" si="1"/>
        <v>23.492000000000004</v>
      </c>
      <c r="M53" s="409"/>
      <c r="N53" s="413"/>
      <c r="O53" s="413">
        <f t="shared" si="4"/>
        <v>23.492000000000004</v>
      </c>
      <c r="P53" s="326"/>
      <c r="Q53" s="414"/>
      <c r="R53" s="414"/>
      <c r="S53" s="414"/>
      <c r="T53" s="414"/>
      <c r="U53" s="414"/>
      <c r="V53" s="414"/>
      <c r="W53" s="414"/>
      <c r="X53" s="414"/>
      <c r="Y53" s="414"/>
      <c r="Z53" s="90"/>
      <c r="AA53" s="90"/>
    </row>
    <row r="54" spans="1:27" s="5" customFormat="1">
      <c r="A54" s="538">
        <v>4630</v>
      </c>
      <c r="B54" s="398">
        <v>28</v>
      </c>
      <c r="C54" s="396" t="s">
        <v>610</v>
      </c>
      <c r="D54" s="399">
        <v>8804.1</v>
      </c>
      <c r="E54" s="409">
        <f>'2-δικαιώμ'!M54</f>
        <v>97.789987999999994</v>
      </c>
      <c r="F54" s="410">
        <f>'3-φύλλα2α'!F54</f>
        <v>5.86</v>
      </c>
      <c r="G54" s="410">
        <f>'4-πολλυπρ'!P54</f>
        <v>0</v>
      </c>
      <c r="H54" s="399">
        <f>'5-αντίγρ'!M54</f>
        <v>17.248199999999997</v>
      </c>
      <c r="I54" s="399">
        <f>'6-μεταγρ'!I54</f>
        <v>0</v>
      </c>
      <c r="J54" s="399">
        <f>'7-προςΔΟΥ'!E54</f>
        <v>0</v>
      </c>
      <c r="K54" s="399"/>
      <c r="L54" s="409">
        <f t="shared" si="1"/>
        <v>120.89818799999999</v>
      </c>
      <c r="M54" s="409">
        <v>147.78</v>
      </c>
      <c r="N54" s="413">
        <f>M54-'14-βιβλΕσ'!L54</f>
        <v>128.52490799999998</v>
      </c>
      <c r="O54" s="413">
        <f t="shared" si="4"/>
        <v>-7.6267199999999917</v>
      </c>
      <c r="P54" s="326"/>
      <c r="Q54" s="414"/>
      <c r="R54" s="414"/>
      <c r="S54" s="414" t="s">
        <v>552</v>
      </c>
      <c r="T54" s="414">
        <v>14</v>
      </c>
      <c r="U54" s="414"/>
      <c r="V54" s="414"/>
      <c r="W54" s="414"/>
      <c r="X54" s="414"/>
      <c r="Y54" s="414"/>
      <c r="Z54" s="90"/>
      <c r="AA54" s="90"/>
    </row>
    <row r="55" spans="1:27" s="5" customFormat="1">
      <c r="A55" s="538"/>
      <c r="B55" s="398"/>
      <c r="C55" s="396" t="s">
        <v>611</v>
      </c>
      <c r="D55" s="405">
        <v>5555</v>
      </c>
      <c r="E55" s="409">
        <f>'2-δικαιώμ'!M55</f>
        <v>64.649168000000003</v>
      </c>
      <c r="F55" s="410">
        <f>'3-φύλλα2α'!F55</f>
        <v>5.86</v>
      </c>
      <c r="G55" s="410">
        <f>'4-πολλυπρ'!P55</f>
        <v>0</v>
      </c>
      <c r="H55" s="399">
        <f>'5-αντίγρ'!M55</f>
        <v>0</v>
      </c>
      <c r="I55" s="399">
        <f>'6-μεταγρ'!I55</f>
        <v>0</v>
      </c>
      <c r="J55" s="399">
        <f>'7-προςΔΟΥ'!E55</f>
        <v>0</v>
      </c>
      <c r="K55" s="399"/>
      <c r="L55" s="409">
        <f t="shared" si="1"/>
        <v>70.509168000000003</v>
      </c>
      <c r="M55" s="409"/>
      <c r="N55" s="413"/>
      <c r="O55" s="413">
        <f t="shared" si="4"/>
        <v>70.509168000000003</v>
      </c>
      <c r="P55" s="326"/>
      <c r="Q55" s="414"/>
      <c r="R55" s="414"/>
      <c r="S55" s="414"/>
      <c r="T55" s="414"/>
      <c r="U55" s="414"/>
      <c r="V55" s="414"/>
      <c r="W55" s="414"/>
      <c r="X55" s="414"/>
      <c r="Y55" s="414"/>
      <c r="Z55" s="90"/>
      <c r="AA55" s="90"/>
    </row>
    <row r="56" spans="1:27" s="5" customFormat="1">
      <c r="A56" s="397">
        <v>4631</v>
      </c>
      <c r="B56" s="398">
        <v>28</v>
      </c>
      <c r="C56" s="396" t="s">
        <v>612</v>
      </c>
      <c r="D56" s="399"/>
      <c r="E56" s="409">
        <f>'2-δικαιώμ'!M56</f>
        <v>8.2420000000000009</v>
      </c>
      <c r="F56" s="410">
        <f>'3-φύλλα2α'!F56</f>
        <v>2.93</v>
      </c>
      <c r="G56" s="410">
        <f>'4-πολλυπρ'!P56</f>
        <v>0</v>
      </c>
      <c r="H56" s="399">
        <f>'5-αντίγρ'!M56</f>
        <v>0</v>
      </c>
      <c r="I56" s="399">
        <f>'6-μεταγρ'!I56</f>
        <v>0</v>
      </c>
      <c r="J56" s="399">
        <f>'7-προςΔΟΥ'!E56</f>
        <v>0</v>
      </c>
      <c r="K56" s="399"/>
      <c r="L56" s="409">
        <f t="shared" si="1"/>
        <v>11.172000000000001</v>
      </c>
      <c r="M56" s="409">
        <v>27.23</v>
      </c>
      <c r="N56" s="413">
        <f>M56-'14-βιβλΕσ'!L56</f>
        <v>26.672000000000001</v>
      </c>
      <c r="O56" s="413">
        <f t="shared" si="4"/>
        <v>-15.5</v>
      </c>
      <c r="P56" s="326"/>
      <c r="Q56" s="414"/>
      <c r="R56" s="414"/>
      <c r="S56" s="414" t="s">
        <v>552</v>
      </c>
      <c r="T56" s="414">
        <v>14</v>
      </c>
      <c r="U56" s="414"/>
      <c r="V56" s="414"/>
      <c r="W56" s="414"/>
      <c r="X56" s="414"/>
      <c r="Y56" s="414"/>
      <c r="Z56" s="90"/>
      <c r="AA56" s="90"/>
    </row>
    <row r="57" spans="1:27" s="5" customFormat="1">
      <c r="A57" s="397"/>
      <c r="B57" s="398"/>
      <c r="C57" s="396"/>
      <c r="D57" s="399"/>
      <c r="E57" s="409"/>
      <c r="F57" s="410"/>
      <c r="G57" s="410"/>
      <c r="H57" s="399"/>
      <c r="I57" s="399"/>
      <c r="J57" s="399"/>
      <c r="K57" s="399"/>
      <c r="L57" s="409"/>
      <c r="M57" s="409"/>
      <c r="N57" s="413"/>
      <c r="O57" s="413"/>
      <c r="P57" s="326"/>
      <c r="Q57" s="414"/>
      <c r="R57" s="414"/>
      <c r="S57" s="414"/>
      <c r="T57" s="414"/>
      <c r="U57" s="414"/>
      <c r="V57" s="414"/>
      <c r="W57" s="414"/>
      <c r="X57" s="414"/>
      <c r="Y57" s="414"/>
      <c r="Z57" s="90"/>
      <c r="AA57" s="90"/>
    </row>
    <row r="58" spans="1:27" s="5" customFormat="1">
      <c r="A58" s="397"/>
      <c r="B58" s="398"/>
      <c r="C58" s="396"/>
      <c r="D58" s="399"/>
      <c r="E58" s="409"/>
      <c r="F58" s="410"/>
      <c r="G58" s="410"/>
      <c r="H58" s="399"/>
      <c r="I58" s="399"/>
      <c r="J58" s="399"/>
      <c r="K58" s="399"/>
      <c r="L58" s="409"/>
      <c r="M58" s="409"/>
      <c r="N58" s="413"/>
      <c r="O58" s="413"/>
      <c r="P58" s="326"/>
      <c r="Q58" s="414"/>
      <c r="R58" s="414"/>
      <c r="S58" s="414"/>
      <c r="T58" s="414"/>
      <c r="U58" s="414"/>
      <c r="V58" s="414"/>
      <c r="W58" s="414"/>
      <c r="X58" s="414"/>
      <c r="Y58" s="414"/>
      <c r="Z58" s="90"/>
      <c r="AA58" s="90"/>
    </row>
    <row r="59" spans="1:27">
      <c r="A59" s="595" t="s">
        <v>47</v>
      </c>
      <c r="B59" s="596"/>
      <c r="C59" s="596"/>
      <c r="D59" s="596"/>
      <c r="E59" s="41">
        <f t="shared" ref="E59:O59" si="5">SUM(E3:E58)</f>
        <v>2801.166360000002</v>
      </c>
      <c r="F59" s="41">
        <f t="shared" si="5"/>
        <v>471.73000000000042</v>
      </c>
      <c r="G59" s="41">
        <f t="shared" si="5"/>
        <v>243.43</v>
      </c>
      <c r="H59" s="41">
        <f t="shared" si="5"/>
        <v>646.80749999999989</v>
      </c>
      <c r="I59" s="41">
        <f t="shared" si="5"/>
        <v>266.2600000000001</v>
      </c>
      <c r="J59" s="41">
        <f t="shared" si="5"/>
        <v>219.64000000000004</v>
      </c>
      <c r="K59" s="41">
        <f t="shared" si="5"/>
        <v>58.68</v>
      </c>
      <c r="L59" s="41">
        <f t="shared" si="5"/>
        <v>4707.7138600000008</v>
      </c>
      <c r="M59" s="41">
        <f t="shared" si="5"/>
        <v>4563.07</v>
      </c>
      <c r="N59" s="41">
        <f t="shared" si="5"/>
        <v>3159.0254280000008</v>
      </c>
      <c r="O59" s="41">
        <f t="shared" si="5"/>
        <v>2488.9950824999996</v>
      </c>
    </row>
    <row r="61" spans="1:27">
      <c r="P61" s="229" t="s">
        <v>108</v>
      </c>
      <c r="Q61" s="155"/>
      <c r="R61" s="155"/>
      <c r="S61" s="155"/>
      <c r="T61" s="166"/>
      <c r="U61" s="166"/>
      <c r="V61" s="166"/>
      <c r="W61" s="166"/>
      <c r="X61" s="166"/>
      <c r="Z61" s="155"/>
      <c r="AA61" s="155"/>
    </row>
    <row r="62" spans="1:27">
      <c r="K62" s="242" t="s">
        <v>510</v>
      </c>
      <c r="L62" s="8"/>
      <c r="M62" s="8"/>
      <c r="P62" s="8"/>
      <c r="Q62" s="140" t="s">
        <v>394</v>
      </c>
      <c r="R62" s="140"/>
      <c r="S62" s="140"/>
      <c r="T62" s="157"/>
      <c r="U62" s="166"/>
      <c r="V62" s="166"/>
      <c r="W62" s="166"/>
      <c r="X62" s="166"/>
      <c r="Z62" s="156"/>
      <c r="AA62" s="140"/>
    </row>
    <row r="63" spans="1:27">
      <c r="K63" s="183" t="s">
        <v>244</v>
      </c>
      <c r="L63" s="142"/>
      <c r="M63" s="142"/>
      <c r="P63" s="8"/>
      <c r="Q63" s="140"/>
      <c r="R63" s="140" t="s">
        <v>150</v>
      </c>
      <c r="S63" s="140"/>
      <c r="T63" s="166"/>
      <c r="U63" s="166"/>
      <c r="V63" s="166"/>
      <c r="W63" s="166"/>
      <c r="X63" s="166"/>
      <c r="Z63" s="140"/>
    </row>
    <row r="64" spans="1:27">
      <c r="K64" s="241" t="s">
        <v>245</v>
      </c>
      <c r="P64" s="8"/>
      <c r="S64" s="140" t="s">
        <v>393</v>
      </c>
      <c r="T64" s="111"/>
      <c r="U64" s="111"/>
      <c r="V64" s="111"/>
      <c r="W64" s="111"/>
      <c r="X64" s="111"/>
    </row>
    <row r="65" spans="3:25"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T65" s="140" t="s">
        <v>395</v>
      </c>
      <c r="U65" s="166"/>
      <c r="V65" s="166"/>
      <c r="W65" s="166"/>
      <c r="X65" s="166"/>
    </row>
    <row r="66" spans="3:25">
      <c r="P66" s="8"/>
      <c r="T66" s="111"/>
      <c r="U66" s="166" t="s">
        <v>396</v>
      </c>
      <c r="V66" s="166"/>
      <c r="W66" s="166"/>
      <c r="X66" s="166"/>
    </row>
    <row r="67" spans="3:25">
      <c r="P67" s="8"/>
      <c r="T67" s="111"/>
      <c r="U67" s="111"/>
      <c r="V67" s="166" t="s">
        <v>397</v>
      </c>
      <c r="W67" s="111"/>
      <c r="X67" s="111"/>
    </row>
    <row r="68" spans="3:25">
      <c r="P68" s="8"/>
      <c r="T68" s="111"/>
      <c r="U68" s="111"/>
      <c r="V68" s="111"/>
      <c r="W68" s="243" t="s">
        <v>398</v>
      </c>
      <c r="X68" s="111"/>
    </row>
    <row r="69" spans="3:25">
      <c r="C69" s="255" t="s">
        <v>613</v>
      </c>
      <c r="K69" s="160">
        <f>5.87+K23</f>
        <v>20.54</v>
      </c>
      <c r="U69" s="166"/>
      <c r="V69" s="166"/>
      <c r="W69" s="111"/>
      <c r="X69" s="112" t="s">
        <v>399</v>
      </c>
      <c r="Y69" s="166"/>
    </row>
    <row r="70" spans="3:25">
      <c r="C70" s="254" t="s">
        <v>614</v>
      </c>
      <c r="U70" s="111"/>
      <c r="V70" s="166"/>
      <c r="W70" s="166"/>
      <c r="X70" s="166"/>
      <c r="Y70" s="166"/>
    </row>
    <row r="71" spans="3:25">
      <c r="P71" s="8"/>
      <c r="Q71" s="140"/>
      <c r="R71" s="140"/>
      <c r="S71" s="140"/>
      <c r="T71" s="157"/>
      <c r="U71" s="166"/>
      <c r="V71" s="166"/>
      <c r="W71" s="166"/>
      <c r="X71" s="166"/>
    </row>
    <row r="72" spans="3:25">
      <c r="P72" s="8"/>
      <c r="Q72" s="140"/>
      <c r="R72" s="140"/>
      <c r="S72" s="140"/>
      <c r="T72" s="166"/>
      <c r="U72" s="166"/>
      <c r="V72" s="166"/>
      <c r="W72" s="166"/>
      <c r="X72" s="166"/>
    </row>
    <row r="73" spans="3:25">
      <c r="P73" s="8"/>
      <c r="S73" s="140"/>
      <c r="T73" s="111"/>
      <c r="U73" s="111"/>
      <c r="V73" s="111"/>
      <c r="W73" s="111"/>
      <c r="X73" s="111"/>
    </row>
    <row r="74" spans="3:25">
      <c r="P74" s="8"/>
      <c r="T74" s="140"/>
      <c r="U74" s="166"/>
      <c r="V74" s="166"/>
      <c r="W74" s="166"/>
      <c r="X74" s="166"/>
    </row>
    <row r="75" spans="3:25">
      <c r="P75" s="8"/>
      <c r="T75" s="111"/>
      <c r="U75" s="166"/>
      <c r="V75" s="166"/>
      <c r="W75" s="166"/>
      <c r="X75" s="166"/>
    </row>
    <row r="76" spans="3:25">
      <c r="P76" s="8"/>
      <c r="T76" s="111"/>
      <c r="U76" s="111"/>
      <c r="V76" s="166"/>
      <c r="W76" s="111"/>
      <c r="X76" s="111"/>
    </row>
    <row r="77" spans="3:25">
      <c r="P77" s="8"/>
      <c r="T77" s="111"/>
      <c r="U77" s="111"/>
      <c r="V77" s="111"/>
      <c r="W77" s="243"/>
      <c r="X77" s="111"/>
    </row>
    <row r="78" spans="3:25">
      <c r="U78" s="166"/>
      <c r="V78" s="166"/>
      <c r="W78" s="111"/>
      <c r="X78" s="112"/>
      <c r="Y78" s="166"/>
    </row>
    <row r="79" spans="3:25">
      <c r="U79" s="111"/>
      <c r="V79" s="166"/>
      <c r="W79" s="166"/>
      <c r="X79" s="166"/>
      <c r="Y79" s="166"/>
    </row>
    <row r="80" spans="3:25">
      <c r="U80" s="111"/>
      <c r="V80" s="111"/>
      <c r="W80" s="243"/>
      <c r="X80" s="111"/>
      <c r="Y80" s="111"/>
    </row>
    <row r="81" spans="21:25">
      <c r="U81" s="111"/>
      <c r="V81" s="111"/>
      <c r="W81" s="111"/>
      <c r="X81" s="112"/>
      <c r="Y81" s="111"/>
    </row>
  </sheetData>
  <mergeCells count="9">
    <mergeCell ref="N1:O1"/>
    <mergeCell ref="L1:M1"/>
    <mergeCell ref="P1:AA1"/>
    <mergeCell ref="A59:D59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75"/>
  <sheetViews>
    <sheetView workbookViewId="0">
      <pane ySplit="2" topLeftCell="A33" activePane="bottomLeft" state="frozen"/>
      <selection pane="bottomLeft" activeCell="F74" sqref="F74"/>
    </sheetView>
  </sheetViews>
  <sheetFormatPr defaultRowHeight="11.25"/>
  <cols>
    <col min="1" max="1" width="5.7109375" style="3" bestFit="1" customWidth="1"/>
    <col min="2" max="2" width="6.85546875" style="3" bestFit="1" customWidth="1"/>
    <col min="3" max="3" width="77.85546875" style="3" bestFit="1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741" t="s">
        <v>19</v>
      </c>
      <c r="B1" s="743" t="s">
        <v>18</v>
      </c>
      <c r="C1" s="745" t="s">
        <v>374</v>
      </c>
      <c r="D1" s="745" t="s">
        <v>92</v>
      </c>
      <c r="E1" s="747" t="s">
        <v>375</v>
      </c>
      <c r="F1" s="748"/>
      <c r="G1" s="748"/>
      <c r="H1" s="749" t="s">
        <v>347</v>
      </c>
      <c r="I1" s="750"/>
      <c r="J1" s="737" t="s">
        <v>348</v>
      </c>
      <c r="K1" s="737"/>
      <c r="L1" s="309"/>
      <c r="M1" s="310"/>
      <c r="N1" s="738" t="s">
        <v>376</v>
      </c>
      <c r="O1" s="738"/>
      <c r="P1" s="738"/>
      <c r="Q1" s="310"/>
      <c r="R1" s="738" t="s">
        <v>377</v>
      </c>
      <c r="S1" s="738"/>
      <c r="T1" s="738"/>
      <c r="U1" s="738"/>
      <c r="V1" s="311"/>
      <c r="W1" s="739" t="s">
        <v>347</v>
      </c>
      <c r="X1" s="739" t="s">
        <v>378</v>
      </c>
      <c r="Y1" s="739" t="s">
        <v>379</v>
      </c>
      <c r="Z1" s="311"/>
      <c r="AA1" s="731" t="s">
        <v>380</v>
      </c>
      <c r="AB1" s="732"/>
      <c r="AC1" s="732"/>
      <c r="AD1" s="732"/>
      <c r="AE1" s="733"/>
    </row>
    <row r="2" spans="1:31" ht="12" thickBot="1">
      <c r="A2" s="742"/>
      <c r="B2" s="744"/>
      <c r="C2" s="746"/>
      <c r="D2" s="746"/>
      <c r="E2" s="237" t="s">
        <v>352</v>
      </c>
      <c r="F2" s="237" t="s">
        <v>358</v>
      </c>
      <c r="G2" s="174" t="s">
        <v>359</v>
      </c>
      <c r="H2" s="238" t="s">
        <v>381</v>
      </c>
      <c r="I2" s="239" t="s">
        <v>382</v>
      </c>
      <c r="J2" s="238" t="s">
        <v>383</v>
      </c>
      <c r="K2" s="240" t="s">
        <v>384</v>
      </c>
      <c r="L2" s="312" t="s">
        <v>385</v>
      </c>
      <c r="M2" s="313"/>
      <c r="N2" s="314" t="s">
        <v>388</v>
      </c>
      <c r="O2" s="314" t="s">
        <v>386</v>
      </c>
      <c r="P2" s="314" t="s">
        <v>387</v>
      </c>
      <c r="Q2" s="313"/>
      <c r="R2" s="315" t="s">
        <v>388</v>
      </c>
      <c r="S2" s="316">
        <v>1.2999999999999999E-2</v>
      </c>
      <c r="T2" s="316">
        <v>6.4999999999999997E-3</v>
      </c>
      <c r="U2" s="317">
        <v>1.25E-3</v>
      </c>
      <c r="V2" s="318"/>
      <c r="W2" s="740"/>
      <c r="X2" s="740"/>
      <c r="Y2" s="740"/>
      <c r="Z2" s="318"/>
      <c r="AA2" s="319" t="s">
        <v>388</v>
      </c>
      <c r="AB2" s="319" t="s">
        <v>386</v>
      </c>
      <c r="AC2" s="320" t="s">
        <v>387</v>
      </c>
      <c r="AD2" s="319" t="s">
        <v>378</v>
      </c>
      <c r="AE2" s="319" t="s">
        <v>379</v>
      </c>
    </row>
    <row r="3" spans="1:31" s="5" customFormat="1">
      <c r="A3" s="452">
        <f>'1-συμβολαια'!A3</f>
        <v>4600</v>
      </c>
      <c r="B3" s="415">
        <f>'1-συμβολαια'!B3</f>
        <v>2</v>
      </c>
      <c r="C3" s="415" t="str">
        <f>'1-συμβολαια'!C3</f>
        <v>δωρεά</v>
      </c>
      <c r="D3" s="325">
        <f>'1-συμβολαια'!D3</f>
        <v>5727.22</v>
      </c>
      <c r="E3" s="413">
        <f>'8-κ-15-17'!D3</f>
        <v>0</v>
      </c>
      <c r="F3" s="413">
        <f>'8-κ-15-17'!M3</f>
        <v>37.226930000000003</v>
      </c>
      <c r="G3" s="413">
        <f>'8-κ-15-17'!V3</f>
        <v>7.1590250000000006</v>
      </c>
      <c r="H3" s="413">
        <f>'2-δικαιώμ'!I3</f>
        <v>6.7554648000000004</v>
      </c>
      <c r="I3" s="413">
        <f>'2-δικαιώμ'!J3</f>
        <v>0.15</v>
      </c>
      <c r="J3" s="413">
        <f>'2-δικαιώμ'!K3</f>
        <v>3.8995359999999999</v>
      </c>
      <c r="K3" s="413">
        <f>'2-δικαιώμ'!L3</f>
        <v>0.77990720000000002</v>
      </c>
      <c r="L3" s="4"/>
      <c r="M3" s="4"/>
      <c r="N3" s="413"/>
      <c r="O3" s="413"/>
      <c r="P3" s="413"/>
      <c r="Q3" s="4"/>
      <c r="R3" s="413"/>
      <c r="S3" s="413"/>
      <c r="T3" s="413"/>
      <c r="U3" s="413"/>
      <c r="V3" s="4"/>
      <c r="W3" s="413">
        <f>'2-δικαιώμ'!I3+'2-δικαιώμ'!J3</f>
        <v>6.9054648000000007</v>
      </c>
      <c r="X3" s="413">
        <f>'2-δικαιώμ'!K3</f>
        <v>3.8995359999999999</v>
      </c>
      <c r="Y3" s="413">
        <f>'2-δικαιώμ'!L3</f>
        <v>0.77990720000000002</v>
      </c>
      <c r="Z3" s="4"/>
      <c r="AA3" s="413"/>
      <c r="AB3" s="413"/>
      <c r="AC3" s="413"/>
      <c r="AD3" s="413"/>
      <c r="AE3" s="413"/>
    </row>
    <row r="4" spans="1:31" s="5" customFormat="1">
      <c r="A4" s="452"/>
      <c r="B4" s="415"/>
      <c r="C4" s="415" t="str">
        <f>'1-συμβολαια'!C4</f>
        <v>ΧΡΗΣΙΚΤΗΣΙΑ οικοπέδου &amp; οικίας = 1930 πατρός ΔΩΡΕΑ άτυπη</v>
      </c>
      <c r="D4" s="454">
        <f>'1-συμβολαια'!D4</f>
        <v>3333</v>
      </c>
      <c r="E4" s="413">
        <f>'8-κ-15-17'!D4</f>
        <v>0</v>
      </c>
      <c r="F4" s="413">
        <f>'8-κ-15-17'!M4</f>
        <v>21.6645</v>
      </c>
      <c r="G4" s="413">
        <f>'8-κ-15-17'!V4</f>
        <v>4.1662499999999998</v>
      </c>
      <c r="H4" s="413">
        <f>'2-δικαιώμ'!I4</f>
        <v>4.1697072000000004</v>
      </c>
      <c r="I4" s="413">
        <f>'2-δικαιώμ'!J4</f>
        <v>0.15</v>
      </c>
      <c r="J4" s="413">
        <f>'2-δικαιώμ'!K4</f>
        <v>2.4630040000000002</v>
      </c>
      <c r="K4" s="413">
        <f>'2-δικαιώμ'!L4</f>
        <v>0.49260080000000001</v>
      </c>
      <c r="L4" s="4"/>
      <c r="M4" s="4"/>
      <c r="N4" s="451"/>
      <c r="O4" s="451"/>
      <c r="P4" s="451"/>
      <c r="Q4" s="4"/>
      <c r="R4" s="451"/>
      <c r="S4" s="451"/>
      <c r="T4" s="451"/>
      <c r="U4" s="451"/>
      <c r="V4" s="4"/>
      <c r="W4" s="451">
        <f>'2-δικαιώμ'!I4+'2-δικαιώμ'!J4</f>
        <v>4.3197072000000007</v>
      </c>
      <c r="X4" s="451">
        <f>'2-δικαιώμ'!K4</f>
        <v>2.4630040000000002</v>
      </c>
      <c r="Y4" s="451">
        <f>'2-δικαιώμ'!L4</f>
        <v>0.49260080000000001</v>
      </c>
      <c r="Z4" s="4"/>
      <c r="AA4" s="451"/>
      <c r="AB4" s="451"/>
      <c r="AC4" s="451"/>
      <c r="AD4" s="451"/>
      <c r="AE4" s="451"/>
    </row>
    <row r="5" spans="1:31" s="5" customFormat="1">
      <c r="A5" s="415">
        <f>'1-συμβολαια'!A5</f>
        <v>4601</v>
      </c>
      <c r="B5" s="415">
        <f>'1-συμβολαια'!B5</f>
        <v>9</v>
      </c>
      <c r="C5" s="415" t="str">
        <f>'1-συμβολαια'!C5</f>
        <v>αγοραπωλησίας 13.835κ ΕΞΟΦΛΗΣΗ</v>
      </c>
      <c r="D5" s="325">
        <f>'1-συμβολαια'!D5</f>
        <v>0</v>
      </c>
      <c r="E5" s="413">
        <f>'8-κ-15-17'!D5</f>
        <v>0</v>
      </c>
      <c r="F5" s="413">
        <f>'8-κ-15-17'!M5</f>
        <v>0</v>
      </c>
      <c r="G5" s="413">
        <f>'8-κ-15-17'!V5</f>
        <v>0</v>
      </c>
      <c r="H5" s="413">
        <f>'2-δικαιώμ'!I5</f>
        <v>0</v>
      </c>
      <c r="I5" s="413">
        <f>'2-δικαιώμ'!J5</f>
        <v>0.44000000000000006</v>
      </c>
      <c r="J5" s="413">
        <f>'2-δικαιώμ'!K5</f>
        <v>0.03</v>
      </c>
      <c r="K5" s="413">
        <f>'2-δικαιώμ'!L5</f>
        <v>8.8000000000000009E-2</v>
      </c>
      <c r="L5" s="4"/>
      <c r="M5" s="4"/>
      <c r="N5" s="451"/>
      <c r="O5" s="451"/>
      <c r="P5" s="451"/>
      <c r="Q5" s="4"/>
      <c r="R5" s="451"/>
      <c r="S5" s="451"/>
      <c r="T5" s="451"/>
      <c r="U5" s="451"/>
      <c r="V5" s="4"/>
      <c r="W5" s="451">
        <f>'2-δικαιώμ'!I5+'2-δικαιώμ'!J5</f>
        <v>0.44000000000000006</v>
      </c>
      <c r="X5" s="451">
        <f>'2-δικαιώμ'!K5</f>
        <v>0.03</v>
      </c>
      <c r="Y5" s="451">
        <f>'2-δικαιώμ'!L5</f>
        <v>8.8000000000000009E-2</v>
      </c>
      <c r="Z5" s="4"/>
      <c r="AA5" s="451"/>
      <c r="AB5" s="451"/>
      <c r="AC5" s="451"/>
      <c r="AD5" s="451"/>
      <c r="AE5" s="451"/>
    </row>
    <row r="6" spans="1:31" s="5" customFormat="1">
      <c r="A6" s="452">
        <f>'1-συμβολαια'!A6</f>
        <v>4602</v>
      </c>
      <c r="B6" s="415">
        <f>'1-συμβολαια'!B6</f>
        <v>10</v>
      </c>
      <c r="C6" s="415" t="str">
        <f>'1-συμβολαια'!C6</f>
        <v>κληρονομιάς ΑΠΟΔΟΧΗ</v>
      </c>
      <c r="D6" s="325">
        <f>'1-συμβολαια'!D6</f>
        <v>0</v>
      </c>
      <c r="E6" s="413">
        <f>'8-κ-15-17'!D6</f>
        <v>0</v>
      </c>
      <c r="F6" s="413">
        <f>'8-κ-15-17'!M6</f>
        <v>0</v>
      </c>
      <c r="G6" s="413">
        <f>'8-κ-15-17'!V6</f>
        <v>0</v>
      </c>
      <c r="H6" s="413">
        <f>'2-δικαιώμ'!I6</f>
        <v>0</v>
      </c>
      <c r="I6" s="413">
        <f>'2-δικαιώμ'!J6</f>
        <v>1.4675000000000002</v>
      </c>
      <c r="J6" s="413">
        <f>'2-δικαιώμ'!K6</f>
        <v>1.4675000000000002</v>
      </c>
      <c r="K6" s="413">
        <f>'2-δικαιώμ'!L6</f>
        <v>0.29350000000000004</v>
      </c>
      <c r="L6" s="4"/>
      <c r="M6" s="4"/>
      <c r="N6" s="451"/>
      <c r="O6" s="451"/>
      <c r="P6" s="451"/>
      <c r="Q6" s="4"/>
      <c r="R6" s="451"/>
      <c r="S6" s="451"/>
      <c r="T6" s="451"/>
      <c r="U6" s="451"/>
      <c r="V6" s="4"/>
      <c r="W6" s="451">
        <f>'2-δικαιώμ'!I6+'2-δικαιώμ'!J6</f>
        <v>1.4675000000000002</v>
      </c>
      <c r="X6" s="451">
        <f>'2-δικαιώμ'!K6</f>
        <v>1.4675000000000002</v>
      </c>
      <c r="Y6" s="451">
        <f>'2-δικαιώμ'!L6</f>
        <v>0.29350000000000004</v>
      </c>
      <c r="Z6" s="4"/>
      <c r="AA6" s="451"/>
      <c r="AB6" s="451"/>
      <c r="AC6" s="451"/>
      <c r="AD6" s="451"/>
      <c r="AE6" s="451"/>
    </row>
    <row r="7" spans="1:31" s="5" customFormat="1">
      <c r="A7" s="452"/>
      <c r="B7" s="415"/>
      <c r="C7" s="415" t="str">
        <f>'1-συμβολαια'!C7</f>
        <v>ΧΡΗΣΙΚΤΗΣΙΑ αγροτεμαχίου = 19?? ΑΝΑΔΑΣΜΟΣ</v>
      </c>
      <c r="D7" s="454">
        <f>'1-συμβολαια'!D7</f>
        <v>1111</v>
      </c>
      <c r="E7" s="413">
        <f>'8-κ-15-17'!D7</f>
        <v>0</v>
      </c>
      <c r="F7" s="413">
        <f>'8-κ-15-17'!M7</f>
        <v>7.2215000000000007</v>
      </c>
      <c r="G7" s="413">
        <f>'8-κ-15-17'!V7</f>
        <v>1.3887499999999999</v>
      </c>
      <c r="H7" s="413">
        <f>'2-δικαιώμ'!I7</f>
        <v>1.7699472000000001</v>
      </c>
      <c r="I7" s="413">
        <f>'2-δικαιώμ'!J7</f>
        <v>0.15</v>
      </c>
      <c r="J7" s="413">
        <f>'2-δικαιώμ'!K7</f>
        <v>1.129804</v>
      </c>
      <c r="K7" s="413">
        <f>'2-δικαιώμ'!L7</f>
        <v>0.22596080000000002</v>
      </c>
      <c r="L7" s="4"/>
      <c r="M7" s="4"/>
      <c r="N7" s="451"/>
      <c r="O7" s="451"/>
      <c r="P7" s="451"/>
      <c r="Q7" s="4"/>
      <c r="R7" s="451"/>
      <c r="S7" s="451"/>
      <c r="T7" s="451"/>
      <c r="U7" s="451"/>
      <c r="V7" s="4"/>
      <c r="W7" s="451">
        <f>'2-δικαιώμ'!I7+'2-δικαιώμ'!J7</f>
        <v>1.9199472</v>
      </c>
      <c r="X7" s="451">
        <f>'2-δικαιώμ'!K7</f>
        <v>1.129804</v>
      </c>
      <c r="Y7" s="451">
        <f>'2-δικαιώμ'!L7</f>
        <v>0.22596080000000002</v>
      </c>
      <c r="Z7" s="4"/>
      <c r="AA7" s="451"/>
      <c r="AB7" s="451"/>
      <c r="AC7" s="451"/>
      <c r="AD7" s="451"/>
      <c r="AE7" s="451"/>
    </row>
    <row r="8" spans="1:31" s="5" customFormat="1">
      <c r="A8" s="415">
        <f>'1-συμβολαια'!A8</f>
        <v>4603</v>
      </c>
      <c r="B8" s="415">
        <f>'1-συμβολαια'!B8</f>
        <v>10</v>
      </c>
      <c r="C8" s="415" t="str">
        <f>'1-συμβολαια'!C8</f>
        <v>γονικής 11.618καπολα ΔΙΟΡΘΩΣΗ</v>
      </c>
      <c r="D8" s="325">
        <f>'1-συμβολαια'!D8</f>
        <v>0</v>
      </c>
      <c r="E8" s="413">
        <f>'8-κ-15-17'!D8</f>
        <v>0</v>
      </c>
      <c r="F8" s="413">
        <f>'8-κ-15-17'!M8</f>
        <v>0</v>
      </c>
      <c r="G8" s="413">
        <f>'8-κ-15-17'!V8</f>
        <v>0</v>
      </c>
      <c r="H8" s="413">
        <f>'2-δικαιώμ'!I8</f>
        <v>0</v>
      </c>
      <c r="I8" s="413">
        <f>'2-δικαιώμ'!J8</f>
        <v>0.44000000000000006</v>
      </c>
      <c r="J8" s="413">
        <f>'2-δικαιώμ'!K8</f>
        <v>0.03</v>
      </c>
      <c r="K8" s="413">
        <f>'2-δικαιώμ'!L8</f>
        <v>8.8000000000000009E-2</v>
      </c>
      <c r="L8" s="4"/>
      <c r="M8" s="4"/>
      <c r="N8" s="451"/>
      <c r="O8" s="451"/>
      <c r="P8" s="451"/>
      <c r="Q8" s="4"/>
      <c r="R8" s="451"/>
      <c r="S8" s="451"/>
      <c r="T8" s="451"/>
      <c r="U8" s="451"/>
      <c r="V8" s="4"/>
      <c r="W8" s="451">
        <f>'2-δικαιώμ'!I8+'2-δικαιώμ'!J8</f>
        <v>0.44000000000000006</v>
      </c>
      <c r="X8" s="451">
        <f>'2-δικαιώμ'!K8</f>
        <v>0.03</v>
      </c>
      <c r="Y8" s="451">
        <f>'2-δικαιώμ'!L8</f>
        <v>8.8000000000000009E-2</v>
      </c>
      <c r="Z8" s="4"/>
      <c r="AA8" s="451"/>
      <c r="AB8" s="451"/>
      <c r="AC8" s="451"/>
      <c r="AD8" s="451"/>
      <c r="AE8" s="451"/>
    </row>
    <row r="9" spans="1:31" s="5" customFormat="1">
      <c r="A9" s="415">
        <f>'1-συμβολαια'!A9</f>
        <v>4604</v>
      </c>
      <c r="B9" s="415">
        <f>'1-συμβολαια'!B9</f>
        <v>10</v>
      </c>
      <c r="C9" s="415" t="str">
        <f>'1-συμβολαια'!C9</f>
        <v>γονικής 11.619καπολα ΔΙΟΡΘΩΣΗ</v>
      </c>
      <c r="D9" s="325">
        <f>'1-συμβολαια'!D9</f>
        <v>0</v>
      </c>
      <c r="E9" s="413">
        <f>'8-κ-15-17'!D9</f>
        <v>0</v>
      </c>
      <c r="F9" s="413">
        <f>'8-κ-15-17'!M9</f>
        <v>0</v>
      </c>
      <c r="G9" s="413">
        <f>'8-κ-15-17'!V9</f>
        <v>0</v>
      </c>
      <c r="H9" s="413">
        <f>'2-δικαιώμ'!I9</f>
        <v>0</v>
      </c>
      <c r="I9" s="413">
        <f>'2-δικαιώμ'!J9</f>
        <v>0.44000000000000006</v>
      </c>
      <c r="J9" s="413">
        <f>'2-δικαιώμ'!K9</f>
        <v>0.03</v>
      </c>
      <c r="K9" s="413">
        <f>'2-δικαιώμ'!L9</f>
        <v>8.8000000000000009E-2</v>
      </c>
      <c r="L9" s="4"/>
      <c r="M9" s="4"/>
      <c r="N9" s="451"/>
      <c r="O9" s="451"/>
      <c r="P9" s="451"/>
      <c r="Q9" s="4"/>
      <c r="R9" s="451"/>
      <c r="S9" s="451"/>
      <c r="T9" s="451"/>
      <c r="U9" s="451"/>
      <c r="V9" s="4"/>
      <c r="W9" s="451">
        <f>'2-δικαιώμ'!I9+'2-δικαιώμ'!J9</f>
        <v>0.44000000000000006</v>
      </c>
      <c r="X9" s="451">
        <f>'2-δικαιώμ'!K9</f>
        <v>0.03</v>
      </c>
      <c r="Y9" s="451">
        <f>'2-δικαιώμ'!L9</f>
        <v>8.8000000000000009E-2</v>
      </c>
      <c r="Z9" s="4"/>
      <c r="AA9" s="451"/>
      <c r="AB9" s="451"/>
      <c r="AC9" s="451"/>
      <c r="AD9" s="451"/>
      <c r="AE9" s="451"/>
    </row>
    <row r="10" spans="1:31" s="5" customFormat="1">
      <c r="A10" s="415">
        <f>'1-συμβολαια'!A10</f>
        <v>4605</v>
      </c>
      <c r="B10" s="415">
        <f>'1-συμβολαια'!B10</f>
        <v>10</v>
      </c>
      <c r="C10" s="415" t="str">
        <f>'1-συμβολαια'!C10</f>
        <v>* γονικής 11.618καπολα επικαρπίας ΕΝΣΩΜΑΤΩΣΗ {= παραίτηση αδερφής δικαιώματος οίκησης</v>
      </c>
      <c r="D10" s="454">
        <f>'1-συμβολαια'!D10</f>
        <v>2222</v>
      </c>
      <c r="E10" s="413">
        <f>'8-κ-15-17'!D10</f>
        <v>0</v>
      </c>
      <c r="F10" s="413">
        <f>'8-κ-15-17'!M10</f>
        <v>14.443000000000001</v>
      </c>
      <c r="G10" s="413">
        <f>'8-κ-15-17'!V10</f>
        <v>2.7774999999999999</v>
      </c>
      <c r="H10" s="413">
        <f>'2-δικαιώμ'!I10</f>
        <v>2.9698272000000001</v>
      </c>
      <c r="I10" s="413">
        <f>'2-δικαιώμ'!J10</f>
        <v>0.15</v>
      </c>
      <c r="J10" s="413">
        <f>'2-δικαιώμ'!K10</f>
        <v>1.7964040000000001</v>
      </c>
      <c r="K10" s="413">
        <f>'2-δικαιώμ'!L10</f>
        <v>0.35928080000000001</v>
      </c>
      <c r="L10" s="4"/>
      <c r="M10" s="4"/>
      <c r="N10" s="451"/>
      <c r="O10" s="451"/>
      <c r="P10" s="451"/>
      <c r="Q10" s="4"/>
      <c r="R10" s="451"/>
      <c r="S10" s="451"/>
      <c r="T10" s="451"/>
      <c r="U10" s="451"/>
      <c r="V10" s="4"/>
      <c r="W10" s="451">
        <f>'2-δικαιώμ'!I10+'2-δικαιώμ'!J10</f>
        <v>3.1198272</v>
      </c>
      <c r="X10" s="451">
        <f>'2-δικαιώμ'!K10</f>
        <v>1.7964040000000001</v>
      </c>
      <c r="Y10" s="451">
        <f>'2-δικαιώμ'!L10</f>
        <v>0.35928080000000001</v>
      </c>
      <c r="Z10" s="4"/>
      <c r="AA10" s="451"/>
      <c r="AB10" s="451"/>
      <c r="AC10" s="451"/>
      <c r="AD10" s="451"/>
      <c r="AE10" s="451"/>
    </row>
    <row r="11" spans="1:31" s="5" customFormat="1">
      <c r="A11" s="415">
        <f>'1-συμβολαια'!A11</f>
        <v>4606</v>
      </c>
      <c r="B11" s="415">
        <f>'1-συμβολαια'!B11</f>
        <v>40</v>
      </c>
      <c r="C11" s="415" t="str">
        <f>'1-συμβολαια'!C11</f>
        <v>πληρεξούσιο</v>
      </c>
      <c r="D11" s="325">
        <f>'1-συμβολαια'!D11</f>
        <v>0</v>
      </c>
      <c r="E11" s="413">
        <f>'8-κ-15-17'!D11</f>
        <v>0</v>
      </c>
      <c r="F11" s="413">
        <f>'8-κ-15-17'!M11</f>
        <v>0</v>
      </c>
      <c r="G11" s="413">
        <f>'8-κ-15-17'!V11</f>
        <v>0</v>
      </c>
      <c r="H11" s="413">
        <f>'2-δικαιώμ'!I11</f>
        <v>0</v>
      </c>
      <c r="I11" s="413">
        <f>'2-δικαιώμ'!J11</f>
        <v>0.44000000000000006</v>
      </c>
      <c r="J11" s="413">
        <f>'2-δικαιώμ'!K11</f>
        <v>0.03</v>
      </c>
      <c r="K11" s="413">
        <f>'2-δικαιώμ'!L11</f>
        <v>8.8000000000000009E-2</v>
      </c>
      <c r="L11" s="4"/>
      <c r="M11" s="4"/>
      <c r="N11" s="451"/>
      <c r="O11" s="451"/>
      <c r="P11" s="451"/>
      <c r="Q11" s="4"/>
      <c r="R11" s="451"/>
      <c r="S11" s="451"/>
      <c r="T11" s="451"/>
      <c r="U11" s="451"/>
      <c r="V11" s="4"/>
      <c r="W11" s="451">
        <f>'2-δικαιώμ'!I11+'2-δικαιώμ'!J11</f>
        <v>0.44000000000000006</v>
      </c>
      <c r="X11" s="451">
        <f>'2-δικαιώμ'!K11</f>
        <v>0.03</v>
      </c>
      <c r="Y11" s="451">
        <f>'2-δικαιώμ'!L11</f>
        <v>8.8000000000000009E-2</v>
      </c>
      <c r="Z11" s="4"/>
      <c r="AA11" s="451"/>
      <c r="AB11" s="451"/>
      <c r="AC11" s="451"/>
      <c r="AD11" s="451"/>
      <c r="AE11" s="451"/>
    </row>
    <row r="12" spans="1:31" s="5" customFormat="1">
      <c r="A12" s="415">
        <f>'1-συμβολαια'!A12</f>
        <v>4607</v>
      </c>
      <c r="B12" s="415">
        <f>'1-συμβολαια'!B12</f>
        <v>11</v>
      </c>
      <c r="C12" s="415" t="str">
        <f>'1-συμβολαια'!C12</f>
        <v>αγοραπωλησίας 3.919 ΔΙΟΡΘΩΣΗ</v>
      </c>
      <c r="D12" s="325">
        <f>'1-συμβολαια'!D12</f>
        <v>0</v>
      </c>
      <c r="E12" s="413">
        <f>'8-κ-15-17'!D12</f>
        <v>0</v>
      </c>
      <c r="F12" s="413">
        <f>'8-κ-15-17'!M12</f>
        <v>0</v>
      </c>
      <c r="G12" s="413">
        <f>'8-κ-15-17'!V12</f>
        <v>0</v>
      </c>
      <c r="H12" s="413">
        <f>'2-δικαιώμ'!I12</f>
        <v>0</v>
      </c>
      <c r="I12" s="413">
        <f>'2-δικαιώμ'!J12</f>
        <v>0.44000000000000006</v>
      </c>
      <c r="J12" s="413">
        <f>'2-δικαιώμ'!K12</f>
        <v>0.03</v>
      </c>
      <c r="K12" s="413">
        <f>'2-δικαιώμ'!L12</f>
        <v>8.8000000000000009E-2</v>
      </c>
      <c r="L12" s="4"/>
      <c r="M12" s="4"/>
      <c r="N12" s="451"/>
      <c r="O12" s="451"/>
      <c r="P12" s="451"/>
      <c r="Q12" s="4"/>
      <c r="R12" s="451"/>
      <c r="S12" s="451"/>
      <c r="T12" s="451"/>
      <c r="U12" s="451"/>
      <c r="V12" s="4"/>
      <c r="W12" s="451">
        <f>'2-δικαιώμ'!I12+'2-δικαιώμ'!J12</f>
        <v>0.44000000000000006</v>
      </c>
      <c r="X12" s="451">
        <f>'2-δικαιώμ'!K12</f>
        <v>0.03</v>
      </c>
      <c r="Y12" s="451">
        <f>'2-δικαιώμ'!L12</f>
        <v>8.8000000000000009E-2</v>
      </c>
      <c r="Z12" s="4"/>
      <c r="AA12" s="451"/>
      <c r="AB12" s="451"/>
      <c r="AC12" s="451"/>
      <c r="AD12" s="451"/>
      <c r="AE12" s="451"/>
    </row>
    <row r="13" spans="1:31" s="5" customFormat="1">
      <c r="A13" s="415">
        <f>'1-συμβολαια'!A13</f>
        <v>4608</v>
      </c>
      <c r="B13" s="415">
        <f>'1-συμβολαια'!B13</f>
        <v>14</v>
      </c>
      <c r="C13" s="415" t="str">
        <f>'1-συμβολαια'!C13</f>
        <v>αγοραπωλησία τίμημα = Δ.Ο.Υ. =</v>
      </c>
      <c r="D13" s="325">
        <f>'1-συμβολαια'!D13</f>
        <v>1572.77</v>
      </c>
      <c r="E13" s="413">
        <f>'8-κ-15-17'!D13</f>
        <v>0</v>
      </c>
      <c r="F13" s="413">
        <f>'8-κ-15-17'!M13</f>
        <v>0</v>
      </c>
      <c r="G13" s="413">
        <f>'8-κ-15-17'!V13</f>
        <v>0</v>
      </c>
      <c r="H13" s="413">
        <f>'2-δικαιώμ'!I13</f>
        <v>2.2686587999999999</v>
      </c>
      <c r="I13" s="413">
        <f>'2-δικαιώμ'!J13</f>
        <v>0.15</v>
      </c>
      <c r="J13" s="413">
        <f>'2-δικαιώμ'!K13</f>
        <v>1.4068659999999999</v>
      </c>
      <c r="K13" s="413">
        <f>'2-δικαιώμ'!L13</f>
        <v>0.28137319999999999</v>
      </c>
      <c r="L13" s="4"/>
      <c r="M13" s="4"/>
      <c r="N13" s="451"/>
      <c r="O13" s="451"/>
      <c r="P13" s="451"/>
      <c r="Q13" s="4"/>
      <c r="R13" s="451"/>
      <c r="S13" s="451"/>
      <c r="T13" s="451"/>
      <c r="U13" s="451"/>
      <c r="V13" s="4"/>
      <c r="W13" s="451">
        <f>'2-δικαιώμ'!I13+'2-δικαιώμ'!J13</f>
        <v>2.4186587999999998</v>
      </c>
      <c r="X13" s="451">
        <f>'2-δικαιώμ'!K13</f>
        <v>1.4068659999999999</v>
      </c>
      <c r="Y13" s="451">
        <f>'2-δικαιώμ'!L13</f>
        <v>0.28137319999999999</v>
      </c>
      <c r="Z13" s="4"/>
      <c r="AA13" s="451"/>
      <c r="AB13" s="451"/>
      <c r="AC13" s="451"/>
      <c r="AD13" s="451"/>
      <c r="AE13" s="451"/>
    </row>
    <row r="14" spans="1:31" s="5" customFormat="1">
      <c r="A14" s="415">
        <f>'1-συμβολαια'!A14</f>
        <v>4609</v>
      </c>
      <c r="B14" s="415">
        <f>'1-συμβολαια'!B14</f>
        <v>14</v>
      </c>
      <c r="C14" s="415" t="str">
        <f>'1-συμβολαια'!C14</f>
        <v>αγοραπωλησία τίμημα = 6.057,27 Δ.Ο.Υ. =</v>
      </c>
      <c r="D14" s="325">
        <f>'1-συμβολαια'!D14</f>
        <v>18257.27</v>
      </c>
      <c r="E14" s="413">
        <f>'8-κ-15-17'!D14</f>
        <v>0</v>
      </c>
      <c r="F14" s="413">
        <f>'8-κ-15-17'!M14</f>
        <v>0</v>
      </c>
      <c r="G14" s="413">
        <f>'8-κ-15-17'!V14</f>
        <v>0</v>
      </c>
      <c r="H14" s="413">
        <f>'2-δικαιώμ'!I14</f>
        <v>20.2879188</v>
      </c>
      <c r="I14" s="413">
        <f>'2-δικαιώμ'!J14</f>
        <v>0.15</v>
      </c>
      <c r="J14" s="413">
        <f>'2-δικαιώμ'!K14</f>
        <v>11.417566000000001</v>
      </c>
      <c r="K14" s="413">
        <f>'2-δικαιώμ'!L14</f>
        <v>2.2835132000000002</v>
      </c>
      <c r="L14" s="4"/>
      <c r="M14" s="4"/>
      <c r="N14" s="451"/>
      <c r="O14" s="451"/>
      <c r="P14" s="451"/>
      <c r="Q14" s="4"/>
      <c r="R14" s="451"/>
      <c r="S14" s="451"/>
      <c r="T14" s="451"/>
      <c r="U14" s="451"/>
      <c r="V14" s="4"/>
      <c r="W14" s="451">
        <f>'2-δικαιώμ'!I14+'2-δικαιώμ'!J14</f>
        <v>20.437918799999998</v>
      </c>
      <c r="X14" s="451">
        <f>'2-δικαιώμ'!K14</f>
        <v>11.417566000000001</v>
      </c>
      <c r="Y14" s="451">
        <f>'2-δικαιώμ'!L14</f>
        <v>2.2835132000000002</v>
      </c>
      <c r="Z14" s="4"/>
      <c r="AA14" s="451"/>
      <c r="AB14" s="451"/>
      <c r="AC14" s="451"/>
      <c r="AD14" s="451"/>
      <c r="AE14" s="451"/>
    </row>
    <row r="15" spans="1:31" s="5" customFormat="1">
      <c r="A15" s="415">
        <f>'1-συμβολαια'!A15</f>
        <v>4610</v>
      </c>
      <c r="B15" s="415">
        <f>'1-συμβολαια'!B15</f>
        <v>14</v>
      </c>
      <c r="C15" s="415" t="str">
        <f>'1-συμβολαια'!C15</f>
        <v>πληρεξούσιο</v>
      </c>
      <c r="D15" s="325">
        <f>'1-συμβολαια'!D15</f>
        <v>0</v>
      </c>
      <c r="E15" s="413">
        <f>'8-κ-15-17'!D15</f>
        <v>0</v>
      </c>
      <c r="F15" s="413">
        <f>'8-κ-15-17'!M15</f>
        <v>0</v>
      </c>
      <c r="G15" s="413">
        <f>'8-κ-15-17'!V15</f>
        <v>0</v>
      </c>
      <c r="H15" s="413">
        <f>'2-δικαιώμ'!I15</f>
        <v>0</v>
      </c>
      <c r="I15" s="413">
        <f>'2-δικαιώμ'!J15</f>
        <v>0.44000000000000006</v>
      </c>
      <c r="J15" s="413">
        <f>'2-δικαιώμ'!K15</f>
        <v>0.03</v>
      </c>
      <c r="K15" s="413">
        <f>'2-δικαιώμ'!L15</f>
        <v>8.8000000000000009E-2</v>
      </c>
      <c r="L15" s="4"/>
      <c r="M15" s="4"/>
      <c r="N15" s="451"/>
      <c r="O15" s="451"/>
      <c r="P15" s="451"/>
      <c r="Q15" s="4"/>
      <c r="R15" s="451"/>
      <c r="S15" s="451"/>
      <c r="T15" s="451"/>
      <c r="U15" s="451"/>
      <c r="V15" s="4"/>
      <c r="W15" s="451">
        <f>'2-δικαιώμ'!I15+'2-δικαιώμ'!J15</f>
        <v>0.44000000000000006</v>
      </c>
      <c r="X15" s="451">
        <f>'2-δικαιώμ'!K15</f>
        <v>0.03</v>
      </c>
      <c r="Y15" s="451">
        <f>'2-δικαιώμ'!L15</f>
        <v>8.8000000000000009E-2</v>
      </c>
      <c r="Z15" s="4"/>
      <c r="AA15" s="451"/>
      <c r="AB15" s="451"/>
      <c r="AC15" s="451"/>
      <c r="AD15" s="451"/>
      <c r="AE15" s="451"/>
    </row>
    <row r="16" spans="1:31" s="5" customFormat="1">
      <c r="A16" s="452">
        <f>'1-συμβολαια'!A16</f>
        <v>4611</v>
      </c>
      <c r="B16" s="415">
        <f>'1-συμβολαια'!B16</f>
        <v>15</v>
      </c>
      <c r="C16" s="415" t="str">
        <f>'1-συμβολαια'!C16</f>
        <v>γονική</v>
      </c>
      <c r="D16" s="325">
        <f>'1-συμβολαια'!D16</f>
        <v>33521.660000000003</v>
      </c>
      <c r="E16" s="413">
        <f>'8-κ-15-17'!D16</f>
        <v>0</v>
      </c>
      <c r="F16" s="413">
        <f>'8-κ-15-17'!M16</f>
        <v>217.89079000000004</v>
      </c>
      <c r="G16" s="413">
        <f>'8-κ-15-17'!V16</f>
        <v>41.902075000000004</v>
      </c>
      <c r="H16" s="413">
        <f>'2-δικαιώμ'!I16</f>
        <v>36.77346</v>
      </c>
      <c r="I16" s="413">
        <f>'2-δικαιώμ'!J16</f>
        <v>0.15</v>
      </c>
      <c r="J16" s="413">
        <f>'2-δικαιώμ'!K16</f>
        <v>20.5762</v>
      </c>
      <c r="K16" s="413">
        <f>'2-δικαιώμ'!L16</f>
        <v>4.11524</v>
      </c>
      <c r="L16" s="4"/>
      <c r="M16" s="4"/>
      <c r="N16" s="451"/>
      <c r="O16" s="451"/>
      <c r="P16" s="451"/>
      <c r="Q16" s="4"/>
      <c r="R16" s="451"/>
      <c r="S16" s="451"/>
      <c r="T16" s="451"/>
      <c r="U16" s="451"/>
      <c r="V16" s="4"/>
      <c r="W16" s="451">
        <f>'2-δικαιώμ'!I16+'2-δικαιώμ'!J16</f>
        <v>36.923459999999999</v>
      </c>
      <c r="X16" s="451">
        <f>'2-δικαιώμ'!K16</f>
        <v>20.5762</v>
      </c>
      <c r="Y16" s="451">
        <f>'2-δικαιώμ'!L16</f>
        <v>4.11524</v>
      </c>
      <c r="Z16" s="4"/>
      <c r="AA16" s="451"/>
      <c r="AB16" s="451"/>
      <c r="AC16" s="451"/>
      <c r="AD16" s="451"/>
      <c r="AE16" s="451"/>
    </row>
    <row r="17" spans="1:31" s="5" customFormat="1">
      <c r="A17" s="452">
        <f>'1-συμβολαια'!A17</f>
        <v>0</v>
      </c>
      <c r="B17" s="415"/>
      <c r="C17" s="415" t="str">
        <f>'1-συμβολαια'!C17</f>
        <v>ΧΡΗΣΙΚΤΗΣΙΑ οικοπέδου = 1973 κυπαρισσίουΠαναγιώτη ΑΓΟΡΑΠΩΛΗΣΙΑ άτυπη</v>
      </c>
      <c r="D17" s="325">
        <f>'1-συμβολαια'!D17</f>
        <v>2222</v>
      </c>
      <c r="E17" s="413">
        <f>'8-κ-15-17'!D17</f>
        <v>0</v>
      </c>
      <c r="F17" s="413">
        <f>'8-κ-15-17'!M17</f>
        <v>14.443000000000001</v>
      </c>
      <c r="G17" s="413">
        <f>'8-κ-15-17'!V17</f>
        <v>2.7774999999999999</v>
      </c>
      <c r="H17" s="413">
        <f>'2-δικαιώμ'!I17</f>
        <v>2.9698272000000001</v>
      </c>
      <c r="I17" s="413">
        <f>'2-δικαιώμ'!J17</f>
        <v>0.15</v>
      </c>
      <c r="J17" s="413">
        <f>'2-δικαιώμ'!K17</f>
        <v>1.7964040000000001</v>
      </c>
      <c r="K17" s="413">
        <f>'2-δικαιώμ'!L17</f>
        <v>0.35928080000000001</v>
      </c>
      <c r="L17" s="4"/>
      <c r="M17" s="4"/>
      <c r="N17" s="451"/>
      <c r="O17" s="451"/>
      <c r="P17" s="451"/>
      <c r="Q17" s="4"/>
      <c r="R17" s="451"/>
      <c r="S17" s="451"/>
      <c r="T17" s="451"/>
      <c r="U17" s="451"/>
      <c r="V17" s="4"/>
      <c r="W17" s="451">
        <f>'2-δικαιώμ'!I17+'2-δικαιώμ'!J17</f>
        <v>3.1198272</v>
      </c>
      <c r="X17" s="451">
        <f>'2-δικαιώμ'!K17</f>
        <v>1.7964040000000001</v>
      </c>
      <c r="Y17" s="451">
        <f>'2-δικαιώμ'!L17</f>
        <v>0.35928080000000001</v>
      </c>
      <c r="Z17" s="4"/>
      <c r="AA17" s="451"/>
      <c r="AB17" s="451"/>
      <c r="AC17" s="451"/>
      <c r="AD17" s="451"/>
      <c r="AE17" s="451"/>
    </row>
    <row r="18" spans="1:31" s="5" customFormat="1">
      <c r="A18" s="452">
        <f>'1-συμβολαια'!A18</f>
        <v>0</v>
      </c>
      <c r="B18" s="415"/>
      <c r="C18" s="415" t="str">
        <f>'1-συμβολαια'!C18</f>
        <v>οριζόντιος ΣΥΣΤΑΣΗ</v>
      </c>
      <c r="D18" s="325">
        <f>'1-συμβολαια'!D18</f>
        <v>0</v>
      </c>
      <c r="E18" s="413">
        <f>'8-κ-15-17'!D18</f>
        <v>0</v>
      </c>
      <c r="F18" s="413">
        <f>'8-κ-15-17'!M18</f>
        <v>0</v>
      </c>
      <c r="G18" s="413">
        <f>'8-κ-15-17'!V18</f>
        <v>0</v>
      </c>
      <c r="H18" s="413">
        <f>'2-δικαιώμ'!I18</f>
        <v>0</v>
      </c>
      <c r="I18" s="413">
        <f>'2-δικαιώμ'!J18</f>
        <v>3.99</v>
      </c>
      <c r="J18" s="413">
        <f>'2-δικαιώμ'!K18</f>
        <v>0.03</v>
      </c>
      <c r="K18" s="413">
        <f>'2-δικαιώμ'!L18</f>
        <v>0.58689999999999998</v>
      </c>
      <c r="L18" s="4"/>
      <c r="M18" s="4"/>
      <c r="N18" s="451"/>
      <c r="O18" s="451"/>
      <c r="P18" s="451"/>
      <c r="Q18" s="4"/>
      <c r="R18" s="451"/>
      <c r="S18" s="451"/>
      <c r="T18" s="451"/>
      <c r="U18" s="451"/>
      <c r="V18" s="4"/>
      <c r="W18" s="451">
        <f>'2-δικαιώμ'!I18+'2-δικαιώμ'!J18</f>
        <v>3.99</v>
      </c>
      <c r="X18" s="451">
        <f>'2-δικαιώμ'!K18</f>
        <v>0.03</v>
      </c>
      <c r="Y18" s="451">
        <f>'2-δικαιώμ'!L18</f>
        <v>0.58689999999999998</v>
      </c>
      <c r="Z18" s="4"/>
      <c r="AA18" s="451"/>
      <c r="AB18" s="451"/>
      <c r="AC18" s="451"/>
      <c r="AD18" s="451"/>
      <c r="AE18" s="451"/>
    </row>
    <row r="19" spans="1:31" s="5" customFormat="1">
      <c r="A19" s="415">
        <f>'1-συμβολαια'!A19</f>
        <v>4612</v>
      </c>
      <c r="B19" s="415">
        <f>'1-συμβολαια'!B19</f>
        <v>15</v>
      </c>
      <c r="C19" s="415" t="str">
        <f>'1-συμβολαια'!C19</f>
        <v>κληρονομιάς ΑΠΟΔΟΧΗ</v>
      </c>
      <c r="D19" s="325">
        <f>'1-συμβολαια'!D19</f>
        <v>0</v>
      </c>
      <c r="E19" s="413">
        <f>'8-κ-15-17'!D19</f>
        <v>0</v>
      </c>
      <c r="F19" s="413">
        <f>'8-κ-15-17'!M19</f>
        <v>0</v>
      </c>
      <c r="G19" s="413">
        <f>'8-κ-15-17'!V19</f>
        <v>0</v>
      </c>
      <c r="H19" s="413">
        <f>'2-δικαιώμ'!I19</f>
        <v>0</v>
      </c>
      <c r="I19" s="413">
        <f>'2-δικαιώμ'!J19</f>
        <v>1.4675000000000002</v>
      </c>
      <c r="J19" s="413">
        <f>'2-δικαιώμ'!K19</f>
        <v>1.4675000000000002</v>
      </c>
      <c r="K19" s="413">
        <f>'2-δικαιώμ'!L19</f>
        <v>0.29350000000000004</v>
      </c>
      <c r="L19" s="4"/>
      <c r="M19" s="4"/>
      <c r="N19" s="451"/>
      <c r="O19" s="451"/>
      <c r="P19" s="451"/>
      <c r="Q19" s="4"/>
      <c r="R19" s="451"/>
      <c r="S19" s="451"/>
      <c r="T19" s="451"/>
      <c r="U19" s="451"/>
      <c r="V19" s="4"/>
      <c r="W19" s="451">
        <f>'2-δικαιώμ'!I19+'2-δικαιώμ'!J19</f>
        <v>1.4675000000000002</v>
      </c>
      <c r="X19" s="451">
        <f>'2-δικαιώμ'!K19</f>
        <v>1.4675000000000002</v>
      </c>
      <c r="Y19" s="451">
        <f>'2-δικαιώμ'!L19</f>
        <v>0.29350000000000004</v>
      </c>
      <c r="Z19" s="4"/>
      <c r="AA19" s="451"/>
      <c r="AB19" s="451"/>
      <c r="AC19" s="451"/>
      <c r="AD19" s="451"/>
      <c r="AE19" s="451"/>
    </row>
    <row r="20" spans="1:31" s="5" customFormat="1">
      <c r="A20" s="415">
        <f>'1-συμβολαια'!A20</f>
        <v>4613</v>
      </c>
      <c r="B20" s="415">
        <f>'1-συμβολαια'!B20</f>
        <v>15</v>
      </c>
      <c r="C20" s="415" t="str">
        <f>'1-συμβολαια'!C20</f>
        <v>γονική</v>
      </c>
      <c r="D20" s="325">
        <f>'1-συμβολαια'!D20</f>
        <v>6213.36</v>
      </c>
      <c r="E20" s="413">
        <f>'8-κ-15-17'!D20</f>
        <v>0</v>
      </c>
      <c r="F20" s="413">
        <f>'8-κ-15-17'!M20</f>
        <v>40.386839999999999</v>
      </c>
      <c r="G20" s="413">
        <f>'8-κ-15-17'!V20</f>
        <v>7.7667000000000002</v>
      </c>
      <c r="H20" s="413">
        <f>'2-δικαιώμ'!I20</f>
        <v>7.2804960000000003</v>
      </c>
      <c r="I20" s="413">
        <f>'2-δικαιώμ'!J20</f>
        <v>0.15</v>
      </c>
      <c r="J20" s="413">
        <f>'2-δικαιώμ'!K20</f>
        <v>4.1912200000000004</v>
      </c>
      <c r="K20" s="413">
        <f>'2-δικαιώμ'!L20</f>
        <v>0.83824399999999999</v>
      </c>
      <c r="L20" s="4"/>
      <c r="M20" s="4"/>
      <c r="N20" s="451"/>
      <c r="O20" s="451"/>
      <c r="P20" s="451"/>
      <c r="Q20" s="4"/>
      <c r="R20" s="451"/>
      <c r="S20" s="451"/>
      <c r="T20" s="451"/>
      <c r="U20" s="451"/>
      <c r="V20" s="4"/>
      <c r="W20" s="451">
        <f>'2-δικαιώμ'!I20+'2-δικαιώμ'!J20</f>
        <v>7.4304960000000007</v>
      </c>
      <c r="X20" s="451">
        <f>'2-δικαιώμ'!K20</f>
        <v>4.1912200000000004</v>
      </c>
      <c r="Y20" s="451">
        <f>'2-δικαιώμ'!L20</f>
        <v>0.83824399999999999</v>
      </c>
      <c r="Z20" s="4"/>
      <c r="AA20" s="451"/>
      <c r="AB20" s="451"/>
      <c r="AC20" s="451"/>
      <c r="AD20" s="451"/>
      <c r="AE20" s="451"/>
    </row>
    <row r="21" spans="1:31" s="5" customFormat="1">
      <c r="A21" s="415">
        <f>'1-συμβολαια'!A21</f>
        <v>4614</v>
      </c>
      <c r="B21" s="415">
        <f>'1-συμβολαια'!B21</f>
        <v>15</v>
      </c>
      <c r="C21" s="415" t="str">
        <f>'1-συμβολαια'!C21</f>
        <v>διαθήκη</v>
      </c>
      <c r="D21" s="325">
        <f>'1-συμβολαια'!D21</f>
        <v>0</v>
      </c>
      <c r="E21" s="413">
        <f>'8-κ-15-17'!D21</f>
        <v>0</v>
      </c>
      <c r="F21" s="413">
        <f>'8-κ-15-17'!M21</f>
        <v>0</v>
      </c>
      <c r="G21" s="413">
        <f>'8-κ-15-17'!V21</f>
        <v>0</v>
      </c>
      <c r="H21" s="413">
        <f>'2-δικαιώμ'!I21</f>
        <v>0</v>
      </c>
      <c r="I21" s="413">
        <f>'2-δικαιώμ'!J21</f>
        <v>0.73</v>
      </c>
      <c r="J21" s="413">
        <f>'2-δικαιώμ'!K21</f>
        <v>0.15</v>
      </c>
      <c r="K21" s="413">
        <f>'2-δικαιώμ'!L21</f>
        <v>0.58689999999999998</v>
      </c>
      <c r="L21" s="4"/>
      <c r="M21" s="4"/>
      <c r="N21" s="451"/>
      <c r="O21" s="451"/>
      <c r="P21" s="451"/>
      <c r="Q21" s="4"/>
      <c r="R21" s="451"/>
      <c r="S21" s="451"/>
      <c r="T21" s="451"/>
      <c r="U21" s="451"/>
      <c r="V21" s="4"/>
      <c r="W21" s="451">
        <f>'2-δικαιώμ'!I21+'2-δικαιώμ'!J21</f>
        <v>0.73</v>
      </c>
      <c r="X21" s="451">
        <f>'2-δικαιώμ'!K21</f>
        <v>0.15</v>
      </c>
      <c r="Y21" s="451">
        <f>'2-δικαιώμ'!L21</f>
        <v>0.58689999999999998</v>
      </c>
      <c r="Z21" s="4"/>
      <c r="AA21" s="451"/>
      <c r="AB21" s="451"/>
      <c r="AC21" s="451"/>
      <c r="AD21" s="451"/>
      <c r="AE21" s="451"/>
    </row>
    <row r="22" spans="1:31" s="5" customFormat="1">
      <c r="A22" s="452">
        <f>'1-συμβολαια'!A22</f>
        <v>4615</v>
      </c>
      <c r="B22" s="415">
        <f>'1-συμβολαια'!B22</f>
        <v>15</v>
      </c>
      <c r="C22" s="415" t="str">
        <f>'1-συμβολαια'!C22</f>
        <v>δωρεά</v>
      </c>
      <c r="D22" s="325">
        <f>'1-συμβολαια'!D22</f>
        <v>16035.1</v>
      </c>
      <c r="E22" s="413">
        <f>'8-κ-15-17'!D22</f>
        <v>0</v>
      </c>
      <c r="F22" s="413">
        <f>'8-κ-15-17'!M22</f>
        <v>104.22815000000001</v>
      </c>
      <c r="G22" s="413">
        <f>'8-κ-15-17'!V22</f>
        <v>20.043875</v>
      </c>
      <c r="H22" s="413">
        <f>'2-δικαιώμ'!I22</f>
        <v>17.8879752</v>
      </c>
      <c r="I22" s="413">
        <f>'2-δικαιώμ'!J22</f>
        <v>0.15</v>
      </c>
      <c r="J22" s="413">
        <f>'2-δικαιώμ'!K22</f>
        <v>10.084264000000001</v>
      </c>
      <c r="K22" s="413">
        <f>'2-δικαιώμ'!L22</f>
        <v>2.0168528000000001</v>
      </c>
      <c r="L22" s="4"/>
      <c r="M22" s="4"/>
      <c r="N22" s="451"/>
      <c r="O22" s="451"/>
      <c r="P22" s="451"/>
      <c r="Q22" s="4"/>
      <c r="R22" s="451"/>
      <c r="S22" s="451"/>
      <c r="T22" s="451"/>
      <c r="U22" s="451"/>
      <c r="V22" s="4"/>
      <c r="W22" s="451">
        <f>'2-δικαιώμ'!I22+'2-δικαιώμ'!J22</f>
        <v>18.037975199999998</v>
      </c>
      <c r="X22" s="451">
        <f>'2-δικαιώμ'!K22</f>
        <v>10.084264000000001</v>
      </c>
      <c r="Y22" s="451">
        <f>'2-δικαιώμ'!L22</f>
        <v>2.0168528000000001</v>
      </c>
      <c r="Z22" s="4"/>
      <c r="AA22" s="451"/>
      <c r="AB22" s="451"/>
      <c r="AC22" s="451"/>
      <c r="AD22" s="451"/>
      <c r="AE22" s="451"/>
    </row>
    <row r="23" spans="1:31" s="5" customFormat="1">
      <c r="A23" s="452"/>
      <c r="B23" s="415"/>
      <c r="C23" s="415" t="str">
        <f>'1-συμβολαια'!C23</f>
        <v>ΧΡΗΣΙΚΤΗΣΙΑ οικοπέδου &amp; οικίας = 1935 πατρός ΔΩΡΕΑ άτυπη</v>
      </c>
      <c r="D23" s="325">
        <f>'1-συμβολαια'!D23</f>
        <v>6666</v>
      </c>
      <c r="E23" s="413">
        <f>'8-κ-15-17'!D23</f>
        <v>0</v>
      </c>
      <c r="F23" s="413">
        <f>'8-κ-15-17'!M23</f>
        <v>43.329000000000001</v>
      </c>
      <c r="G23" s="413">
        <f>'8-κ-15-17'!V23</f>
        <v>8.3324999999999996</v>
      </c>
      <c r="H23" s="413">
        <f>'2-δικαιώμ'!I23</f>
        <v>7.7693472000000003</v>
      </c>
      <c r="I23" s="413">
        <f>'2-δικαιώμ'!J23</f>
        <v>0.15</v>
      </c>
      <c r="J23" s="413">
        <f>'2-δικαιώμ'!K23</f>
        <v>4.4628040000000002</v>
      </c>
      <c r="K23" s="413">
        <f>'2-δικαιώμ'!L23</f>
        <v>0.89256080000000004</v>
      </c>
      <c r="L23" s="4"/>
      <c r="M23" s="4"/>
      <c r="N23" s="451"/>
      <c r="O23" s="451"/>
      <c r="P23" s="451"/>
      <c r="Q23" s="4"/>
      <c r="R23" s="451"/>
      <c r="S23" s="451"/>
      <c r="T23" s="451"/>
      <c r="U23" s="451"/>
      <c r="V23" s="4"/>
      <c r="W23" s="451">
        <f>'2-δικαιώμ'!I23+'2-δικαιώμ'!J23</f>
        <v>7.9193472000000007</v>
      </c>
      <c r="X23" s="451">
        <f>'2-δικαιώμ'!K23</f>
        <v>4.4628040000000002</v>
      </c>
      <c r="Y23" s="451">
        <f>'2-δικαιώμ'!L23</f>
        <v>0.89256080000000004</v>
      </c>
      <c r="Z23" s="4"/>
      <c r="AA23" s="451"/>
      <c r="AB23" s="451"/>
      <c r="AC23" s="451"/>
      <c r="AD23" s="451"/>
      <c r="AE23" s="451"/>
    </row>
    <row r="24" spans="1:31" s="5" customFormat="1">
      <c r="A24" s="544">
        <f>'1-συμβολαια'!A24</f>
        <v>4616</v>
      </c>
      <c r="B24" s="415">
        <f>'1-συμβολαια'!B24</f>
        <v>17</v>
      </c>
      <c r="C24" s="415" t="str">
        <f>'1-συμβολαια'!C24</f>
        <v>δωρεά</v>
      </c>
      <c r="D24" s="325">
        <f>'1-συμβολαια'!D24</f>
        <v>9933.0499999999993</v>
      </c>
      <c r="E24" s="413">
        <f>'8-κ-15-17'!D24</f>
        <v>0</v>
      </c>
      <c r="F24" s="413">
        <f>'8-κ-15-17'!M24</f>
        <v>64.564824999999999</v>
      </c>
      <c r="G24" s="413">
        <f>'8-κ-15-17'!V24</f>
        <v>12.4163125</v>
      </c>
      <c r="H24" s="413">
        <f>'2-δικαιώμ'!I24</f>
        <v>11.2977612</v>
      </c>
      <c r="I24" s="413">
        <f>'2-δικαιώμ'!J24</f>
        <v>6.4230340000000004</v>
      </c>
      <c r="J24" s="413">
        <f>'2-δικαιώμ'!K24</f>
        <v>0.15</v>
      </c>
      <c r="K24" s="413">
        <f>'2-δικαιώμ'!L24</f>
        <v>1.2846067999999999</v>
      </c>
      <c r="L24" s="4"/>
      <c r="M24" s="4"/>
      <c r="N24" s="451"/>
      <c r="O24" s="451"/>
      <c r="P24" s="451"/>
      <c r="Q24" s="4"/>
      <c r="R24" s="451"/>
      <c r="S24" s="451"/>
      <c r="T24" s="451"/>
      <c r="U24" s="451"/>
      <c r="V24" s="4"/>
      <c r="W24" s="451">
        <f>'2-δικαιώμ'!I24+'2-δικαιώμ'!J24</f>
        <v>17.720795200000001</v>
      </c>
      <c r="X24" s="451">
        <f>'2-δικαιώμ'!K24</f>
        <v>0.15</v>
      </c>
      <c r="Y24" s="451">
        <f>'2-δικαιώμ'!L24</f>
        <v>1.2846067999999999</v>
      </c>
      <c r="Z24" s="4"/>
      <c r="AA24" s="451"/>
      <c r="AB24" s="451"/>
      <c r="AC24" s="451"/>
      <c r="AD24" s="451"/>
      <c r="AE24" s="451"/>
    </row>
    <row r="25" spans="1:31" s="5" customFormat="1">
      <c r="A25" s="544"/>
      <c r="B25" s="415">
        <f>'1-συμβολαια'!B25</f>
        <v>0</v>
      </c>
      <c r="C25" s="415" t="str">
        <f>'1-συμβολαια'!C25</f>
        <v>ΧΡΗΣΙΚΤΗΣΙΑ αγροτεμαχίου = 1925 πατρός ΔΩΡΕΑ άτυπη</v>
      </c>
      <c r="D25" s="325">
        <f>'1-συμβολαια'!D25</f>
        <v>1111</v>
      </c>
      <c r="E25" s="413">
        <f>'8-κ-15-17'!D25</f>
        <v>0</v>
      </c>
      <c r="F25" s="413">
        <f>'8-κ-15-17'!M25</f>
        <v>7.2215000000000007</v>
      </c>
      <c r="G25" s="413">
        <f>'8-κ-15-17'!V25</f>
        <v>1.3887499999999999</v>
      </c>
      <c r="H25" s="413">
        <f>'2-δικαιώμ'!I25</f>
        <v>1.7699472000000001</v>
      </c>
      <c r="I25" s="413">
        <f>'2-δικαιώμ'!J25</f>
        <v>1.129804</v>
      </c>
      <c r="J25" s="413">
        <f>'2-δικαιώμ'!K25</f>
        <v>0.15</v>
      </c>
      <c r="K25" s="413">
        <f>'2-δικαιώμ'!L25</f>
        <v>0.22596080000000002</v>
      </c>
      <c r="L25" s="4"/>
      <c r="M25" s="4"/>
      <c r="N25" s="451"/>
      <c r="O25" s="451"/>
      <c r="P25" s="451"/>
      <c r="Q25" s="4"/>
      <c r="R25" s="451"/>
      <c r="S25" s="451"/>
      <c r="T25" s="451"/>
      <c r="U25" s="451"/>
      <c r="V25" s="4"/>
      <c r="W25" s="451">
        <f>'2-δικαιώμ'!I25+'2-δικαιώμ'!J25</f>
        <v>2.8997511999999999</v>
      </c>
      <c r="X25" s="451">
        <f>'2-δικαιώμ'!K25</f>
        <v>0.15</v>
      </c>
      <c r="Y25" s="451">
        <f>'2-δικαιώμ'!L25</f>
        <v>0.22596080000000002</v>
      </c>
      <c r="Z25" s="4"/>
      <c r="AA25" s="451"/>
      <c r="AB25" s="451"/>
      <c r="AC25" s="451"/>
      <c r="AD25" s="451"/>
      <c r="AE25" s="451"/>
    </row>
    <row r="26" spans="1:31" s="5" customFormat="1">
      <c r="A26" s="544"/>
      <c r="B26" s="415">
        <f>'1-συμβολαια'!B26</f>
        <v>0</v>
      </c>
      <c r="C26" s="415" t="str">
        <f>'1-συμβολαια'!C26</f>
        <v>ΧΡΗΣΙΚΤΗΣΙΑ αγροτεμαχίου (νυν οικόπεδο) = 1975 ΑΝΑΔΑΣΜΟΣ</v>
      </c>
      <c r="D26" s="325">
        <f>'1-συμβολαια'!D26</f>
        <v>3333</v>
      </c>
      <c r="E26" s="413">
        <f>'8-κ-15-17'!D26</f>
        <v>0</v>
      </c>
      <c r="F26" s="413">
        <f>'8-κ-15-17'!M26</f>
        <v>21.6645</v>
      </c>
      <c r="G26" s="413">
        <f>'8-κ-15-17'!V26</f>
        <v>4.1662499999999998</v>
      </c>
      <c r="H26" s="413">
        <f>'2-δικαιώμ'!I26</f>
        <v>4.1697072000000004</v>
      </c>
      <c r="I26" s="413">
        <f>'2-δικαιώμ'!J26</f>
        <v>2.4630040000000002</v>
      </c>
      <c r="J26" s="413">
        <f>'2-δικαιώμ'!K26</f>
        <v>0.15</v>
      </c>
      <c r="K26" s="413">
        <f>'2-δικαιώμ'!L26</f>
        <v>0.49260080000000001</v>
      </c>
      <c r="L26" s="4"/>
      <c r="M26" s="4"/>
      <c r="N26" s="451"/>
      <c r="O26" s="451"/>
      <c r="P26" s="451"/>
      <c r="Q26" s="4"/>
      <c r="R26" s="451"/>
      <c r="S26" s="451"/>
      <c r="T26" s="451"/>
      <c r="U26" s="451"/>
      <c r="V26" s="4"/>
      <c r="W26" s="451">
        <f>'2-δικαιώμ'!I26+'2-δικαιώμ'!J26</f>
        <v>6.632711200000001</v>
      </c>
      <c r="X26" s="451">
        <f>'2-δικαιώμ'!K26</f>
        <v>0.15</v>
      </c>
      <c r="Y26" s="451">
        <f>'2-δικαιώμ'!L26</f>
        <v>0.49260080000000001</v>
      </c>
      <c r="Z26" s="4"/>
      <c r="AA26" s="451"/>
      <c r="AB26" s="451"/>
      <c r="AC26" s="451"/>
      <c r="AD26" s="451"/>
      <c r="AE26" s="451"/>
    </row>
    <row r="27" spans="1:31" s="5" customFormat="1">
      <c r="A27" s="452">
        <f>'1-συμβολαια'!A27</f>
        <v>4617</v>
      </c>
      <c r="B27" s="415">
        <f>'1-συμβολαια'!B27</f>
        <v>17</v>
      </c>
      <c r="C27" s="415" t="str">
        <f>'1-συμβολαια'!C27</f>
        <v>προσύμφωνο μεταβιβάσεως ποσοστών οικοπέδου</v>
      </c>
      <c r="D27" s="325">
        <f>'1-συμβολαια'!D27</f>
        <v>0</v>
      </c>
      <c r="E27" s="413">
        <f>'8-κ-15-17'!D27</f>
        <v>0</v>
      </c>
      <c r="F27" s="413">
        <f>'8-κ-15-17'!M27</f>
        <v>0</v>
      </c>
      <c r="G27" s="413">
        <f>'8-κ-15-17'!V27</f>
        <v>0</v>
      </c>
      <c r="H27" s="413">
        <f>'2-δικαιώμ'!I27</f>
        <v>0</v>
      </c>
      <c r="I27" s="413">
        <f>'2-δικαιώμ'!J27</f>
        <v>0.44000000000000006</v>
      </c>
      <c r="J27" s="413">
        <f>'2-δικαιώμ'!K27</f>
        <v>0.44000000000000006</v>
      </c>
      <c r="K27" s="413">
        <f>'2-δικαιώμ'!L27</f>
        <v>8.8000000000000009E-2</v>
      </c>
      <c r="L27" s="4"/>
      <c r="M27" s="4"/>
      <c r="N27" s="451"/>
      <c r="O27" s="451"/>
      <c r="P27" s="451"/>
      <c r="Q27" s="4"/>
      <c r="R27" s="451"/>
      <c r="S27" s="451"/>
      <c r="T27" s="451"/>
      <c r="U27" s="451"/>
      <c r="V27" s="4"/>
      <c r="W27" s="451">
        <f>'2-δικαιώμ'!I27+'2-δικαιώμ'!J27</f>
        <v>0.44000000000000006</v>
      </c>
      <c r="X27" s="451">
        <f>'2-δικαιώμ'!K27</f>
        <v>0.44000000000000006</v>
      </c>
      <c r="Y27" s="451">
        <f>'2-δικαιώμ'!L27</f>
        <v>8.8000000000000009E-2</v>
      </c>
      <c r="Z27" s="4"/>
      <c r="AA27" s="451"/>
      <c r="AB27" s="451"/>
      <c r="AC27" s="451"/>
      <c r="AD27" s="451"/>
      <c r="AE27" s="451"/>
    </row>
    <row r="28" spans="1:31" s="5" customFormat="1">
      <c r="A28" s="452"/>
      <c r="B28" s="415">
        <f>'1-συμβολαια'!B28</f>
        <v>0</v>
      </c>
      <c r="C28" s="415" t="str">
        <f>'1-συμβολαια'!C28</f>
        <v>εργολαβικό</v>
      </c>
      <c r="D28" s="325">
        <f>'1-συμβολαια'!D28</f>
        <v>200</v>
      </c>
      <c r="E28" s="413">
        <f>'8-κ-15-17'!D28</f>
        <v>2.6</v>
      </c>
      <c r="F28" s="413">
        <f>'8-κ-15-17'!M28</f>
        <v>0</v>
      </c>
      <c r="G28" s="413">
        <f>'8-κ-15-17'!V28</f>
        <v>0</v>
      </c>
      <c r="H28" s="413">
        <f>'2-δικαιώμ'!I28</f>
        <v>0.78606719999999997</v>
      </c>
      <c r="I28" s="413">
        <f>'2-δικαιώμ'!J28</f>
        <v>0.15</v>
      </c>
      <c r="J28" s="413">
        <f>'2-δικαιώμ'!K28</f>
        <v>0.58320400000000006</v>
      </c>
      <c r="K28" s="413">
        <f>'2-δικαιώμ'!L28</f>
        <v>0.1166408</v>
      </c>
      <c r="L28" s="4"/>
      <c r="M28" s="4"/>
      <c r="N28" s="451"/>
      <c r="O28" s="451"/>
      <c r="P28" s="451"/>
      <c r="Q28" s="4"/>
      <c r="R28" s="451"/>
      <c r="S28" s="451"/>
      <c r="T28" s="451"/>
      <c r="U28" s="451"/>
      <c r="V28" s="4"/>
      <c r="W28" s="451">
        <f>'2-δικαιώμ'!I28+'2-δικαιώμ'!J28</f>
        <v>0.93606719999999999</v>
      </c>
      <c r="X28" s="451">
        <f>'2-δικαιώμ'!K28</f>
        <v>0.58320400000000006</v>
      </c>
      <c r="Y28" s="451">
        <f>'2-δικαιώμ'!L28</f>
        <v>0.1166408</v>
      </c>
      <c r="Z28" s="4"/>
      <c r="AA28" s="451"/>
      <c r="AB28" s="451"/>
      <c r="AC28" s="451"/>
      <c r="AD28" s="451"/>
      <c r="AE28" s="451"/>
    </row>
    <row r="29" spans="1:31" s="5" customFormat="1">
      <c r="A29" s="415">
        <f>'1-συμβολαια'!A29</f>
        <v>4618</v>
      </c>
      <c r="B29" s="415">
        <f>'1-συμβολαια'!B29</f>
        <v>18</v>
      </c>
      <c r="C29" s="415" t="str">
        <f>'1-συμβολαια'!C29</f>
        <v>πληρεξούσιο</v>
      </c>
      <c r="D29" s="325">
        <f>'1-συμβολαια'!D29</f>
        <v>0</v>
      </c>
      <c r="E29" s="413">
        <f>'8-κ-15-17'!D29</f>
        <v>0</v>
      </c>
      <c r="F29" s="413">
        <f>'8-κ-15-17'!M29</f>
        <v>0</v>
      </c>
      <c r="G29" s="413">
        <f>'8-κ-15-17'!V29</f>
        <v>0</v>
      </c>
      <c r="H29" s="413">
        <f>'2-δικαιώμ'!I29</f>
        <v>0</v>
      </c>
      <c r="I29" s="413">
        <f>'2-δικαιώμ'!J29</f>
        <v>0.44000000000000006</v>
      </c>
      <c r="J29" s="413">
        <f>'2-δικαιώμ'!K29</f>
        <v>0.03</v>
      </c>
      <c r="K29" s="413">
        <f>'2-δικαιώμ'!L29</f>
        <v>8.8000000000000009E-2</v>
      </c>
      <c r="L29" s="4"/>
      <c r="M29" s="4"/>
      <c r="N29" s="451"/>
      <c r="O29" s="451"/>
      <c r="P29" s="451"/>
      <c r="Q29" s="4"/>
      <c r="R29" s="451"/>
      <c r="S29" s="451"/>
      <c r="T29" s="451"/>
      <c r="U29" s="451"/>
      <c r="V29" s="4"/>
      <c r="W29" s="451">
        <f>'2-δικαιώμ'!I29+'2-δικαιώμ'!J29</f>
        <v>0.44000000000000006</v>
      </c>
      <c r="X29" s="451">
        <f>'2-δικαιώμ'!K29</f>
        <v>0.03</v>
      </c>
      <c r="Y29" s="451">
        <f>'2-δικαιώμ'!L29</f>
        <v>8.8000000000000009E-2</v>
      </c>
      <c r="Z29" s="4"/>
      <c r="AA29" s="451"/>
      <c r="AB29" s="451"/>
      <c r="AC29" s="451"/>
      <c r="AD29" s="451"/>
      <c r="AE29" s="451"/>
    </row>
    <row r="30" spans="1:31" s="5" customFormat="1">
      <c r="A30" s="452">
        <f>'1-συμβολαια'!A30</f>
        <v>4619</v>
      </c>
      <c r="B30" s="415">
        <f>'1-συμβολαια'!B30</f>
        <v>18</v>
      </c>
      <c r="C30" s="415" t="str">
        <f>'1-συμβολαια'!C30</f>
        <v>αγοραπωλησίας ΠΡΟΣΥΜΦΩΝΟ τίμημα = αρραβών =</v>
      </c>
      <c r="D30" s="325">
        <f>'1-συμβολαια'!D30</f>
        <v>1800</v>
      </c>
      <c r="E30" s="413">
        <f>'8-κ-15-17'!D30</f>
        <v>0</v>
      </c>
      <c r="F30" s="413">
        <f>'8-κ-15-17'!M30</f>
        <v>0</v>
      </c>
      <c r="G30" s="413">
        <f>'8-κ-15-17'!V30</f>
        <v>0</v>
      </c>
      <c r="H30" s="413">
        <f>'2-δικαιώμ'!I30</f>
        <v>2.5140671999999999</v>
      </c>
      <c r="I30" s="413">
        <f>'2-δικαιώμ'!J30</f>
        <v>0.15</v>
      </c>
      <c r="J30" s="413">
        <f>'2-δικαιώμ'!K30</f>
        <v>1.5432040000000002</v>
      </c>
      <c r="K30" s="413">
        <f>'2-δικαιώμ'!L30</f>
        <v>0.30864079999999999</v>
      </c>
      <c r="L30" s="4"/>
      <c r="M30" s="4"/>
      <c r="N30" s="451"/>
      <c r="O30" s="451"/>
      <c r="P30" s="451"/>
      <c r="Q30" s="4"/>
      <c r="R30" s="451"/>
      <c r="S30" s="451"/>
      <c r="T30" s="451"/>
      <c r="U30" s="451"/>
      <c r="V30" s="4"/>
      <c r="W30" s="451">
        <f>'2-δικαιώμ'!I30+'2-δικαιώμ'!J30</f>
        <v>2.6640671999999999</v>
      </c>
      <c r="X30" s="451">
        <f>'2-δικαιώμ'!K30</f>
        <v>1.5432040000000002</v>
      </c>
      <c r="Y30" s="451">
        <f>'2-δικαιώμ'!L30</f>
        <v>0.30864079999999999</v>
      </c>
      <c r="Z30" s="4"/>
      <c r="AA30" s="451"/>
      <c r="AB30" s="451"/>
      <c r="AC30" s="451"/>
      <c r="AD30" s="451"/>
      <c r="AE30" s="451"/>
    </row>
    <row r="31" spans="1:31" s="5" customFormat="1">
      <c r="A31" s="452"/>
      <c r="B31" s="415">
        <f>'1-συμβολαια'!B31</f>
        <v>0</v>
      </c>
      <c r="C31" s="415" t="str">
        <f>'1-συμβολαια'!C31</f>
        <v>ΧΡΗΣΙΚΤΗΣΙΑ αγροτεμαχίου = 1975 πατρός ΔΩΡΕΑ άτυπη</v>
      </c>
      <c r="D31" s="325">
        <f>'1-συμβολαια'!D31</f>
        <v>1111</v>
      </c>
      <c r="E31" s="413">
        <f>'8-κ-15-17'!D31</f>
        <v>0</v>
      </c>
      <c r="F31" s="413">
        <f>'8-κ-15-17'!M31</f>
        <v>7.2215000000000007</v>
      </c>
      <c r="G31" s="413">
        <f>'8-κ-15-17'!V31</f>
        <v>1.3887499999999999</v>
      </c>
      <c r="H31" s="413">
        <f>'2-δικαιώμ'!I31</f>
        <v>1.7699472000000001</v>
      </c>
      <c r="I31" s="413">
        <f>'2-δικαιώμ'!J31</f>
        <v>0.15</v>
      </c>
      <c r="J31" s="413">
        <f>'2-δικαιώμ'!K31</f>
        <v>1.129804</v>
      </c>
      <c r="K31" s="413">
        <f>'2-δικαιώμ'!L31</f>
        <v>0.22596080000000002</v>
      </c>
      <c r="L31" s="4"/>
      <c r="M31" s="4"/>
      <c r="N31" s="451"/>
      <c r="O31" s="451"/>
      <c r="P31" s="451"/>
      <c r="Q31" s="4"/>
      <c r="R31" s="451"/>
      <c r="S31" s="451"/>
      <c r="T31" s="451"/>
      <c r="U31" s="451"/>
      <c r="V31" s="4"/>
      <c r="W31" s="451">
        <f>'2-δικαιώμ'!I31+'2-δικαιώμ'!J31</f>
        <v>1.9199472</v>
      </c>
      <c r="X31" s="451">
        <f>'2-δικαιώμ'!K31</f>
        <v>1.129804</v>
      </c>
      <c r="Y31" s="451">
        <f>'2-δικαιώμ'!L31</f>
        <v>0.22596080000000002</v>
      </c>
      <c r="Z31" s="4"/>
      <c r="AA31" s="451"/>
      <c r="AB31" s="451"/>
      <c r="AC31" s="451"/>
      <c r="AD31" s="451"/>
      <c r="AE31" s="451"/>
    </row>
    <row r="32" spans="1:31" s="5" customFormat="1">
      <c r="A32" s="559">
        <f>'1-συμβολαια'!A32</f>
        <v>4620</v>
      </c>
      <c r="B32" s="415">
        <f>'1-συμβολαια'!B32</f>
        <v>21</v>
      </c>
      <c r="C32" s="415" t="str">
        <f>'1-συμβολαια'!C32</f>
        <v>γονική</v>
      </c>
      <c r="D32" s="325">
        <f>'1-συμβολαια'!D32</f>
        <v>6285.73</v>
      </c>
      <c r="E32" s="413">
        <f>'8-κ-15-17'!D32</f>
        <v>0</v>
      </c>
      <c r="F32" s="413">
        <f>'8-κ-15-17'!M32</f>
        <v>40.857244999999999</v>
      </c>
      <c r="G32" s="413">
        <f>'8-κ-15-17'!V32</f>
        <v>7.8571624999999994</v>
      </c>
      <c r="H32" s="413">
        <f>'2-δικαιώμ'!I32</f>
        <v>7.3586555999999996</v>
      </c>
      <c r="I32" s="413">
        <f>'2-δικαιώμ'!J32</f>
        <v>0.15</v>
      </c>
      <c r="J32" s="413">
        <f>'2-δικαιώμ'!K32</f>
        <v>4.234642</v>
      </c>
      <c r="K32" s="413">
        <f>'2-δικαιώμ'!L32</f>
        <v>0.84692839999999991</v>
      </c>
      <c r="L32" s="4"/>
      <c r="M32" s="4"/>
      <c r="N32" s="451"/>
      <c r="O32" s="451"/>
      <c r="P32" s="451"/>
      <c r="Q32" s="4"/>
      <c r="R32" s="451"/>
      <c r="S32" s="451"/>
      <c r="T32" s="451"/>
      <c r="U32" s="451"/>
      <c r="V32" s="4"/>
      <c r="W32" s="451">
        <f>'2-δικαιώμ'!I32+'2-δικαιώμ'!J32</f>
        <v>7.5086556</v>
      </c>
      <c r="X32" s="451">
        <f>'2-δικαιώμ'!K32</f>
        <v>4.234642</v>
      </c>
      <c r="Y32" s="451">
        <f>'2-δικαιώμ'!L32</f>
        <v>0.84692839999999991</v>
      </c>
      <c r="Z32" s="4"/>
      <c r="AA32" s="451"/>
      <c r="AB32" s="451"/>
      <c r="AC32" s="451"/>
      <c r="AD32" s="451"/>
      <c r="AE32" s="451"/>
    </row>
    <row r="33" spans="1:31" s="5" customFormat="1">
      <c r="A33" s="544"/>
      <c r="B33" s="415">
        <f>'1-συμβολαια'!B33</f>
        <v>0</v>
      </c>
      <c r="C33" s="415" t="str">
        <f>'1-συμβολαια'!C33</f>
        <v>κάθετος ΣΥΣΤΑΣΗ</v>
      </c>
      <c r="D33" s="325">
        <f>'1-συμβολαια'!D33</f>
        <v>0</v>
      </c>
      <c r="E33" s="413">
        <f>'8-κ-15-17'!D33</f>
        <v>0</v>
      </c>
      <c r="F33" s="413">
        <f>'8-κ-15-17'!M33</f>
        <v>0</v>
      </c>
      <c r="G33" s="413">
        <f>'8-κ-15-17'!V33</f>
        <v>0</v>
      </c>
      <c r="H33" s="413">
        <f>'2-δικαιώμ'!I33</f>
        <v>0</v>
      </c>
      <c r="I33" s="413">
        <f>'2-δικαιώμ'!J33</f>
        <v>3.99</v>
      </c>
      <c r="J33" s="413">
        <f>'2-δικαιώμ'!K33</f>
        <v>2.9344999999999999</v>
      </c>
      <c r="K33" s="413">
        <f>'2-δικαιώμ'!L33</f>
        <v>0.58689999999999998</v>
      </c>
      <c r="L33" s="4"/>
      <c r="M33" s="4"/>
      <c r="N33" s="451"/>
      <c r="O33" s="451"/>
      <c r="P33" s="451"/>
      <c r="Q33" s="4"/>
      <c r="R33" s="451"/>
      <c r="S33" s="451"/>
      <c r="T33" s="451"/>
      <c r="U33" s="451"/>
      <c r="V33" s="4"/>
      <c r="W33" s="451">
        <f>'2-δικαιώμ'!I33+'2-δικαιώμ'!J33</f>
        <v>3.99</v>
      </c>
      <c r="X33" s="451">
        <f>'2-δικαιώμ'!K33</f>
        <v>2.9344999999999999</v>
      </c>
      <c r="Y33" s="451">
        <f>'2-δικαιώμ'!L33</f>
        <v>0.58689999999999998</v>
      </c>
      <c r="Z33" s="4"/>
      <c r="AA33" s="451"/>
      <c r="AB33" s="451"/>
      <c r="AC33" s="451"/>
      <c r="AD33" s="451"/>
      <c r="AE33" s="451"/>
    </row>
    <row r="34" spans="1:31" s="5" customFormat="1">
      <c r="A34" s="544"/>
      <c r="B34" s="415">
        <f>'1-συμβολαια'!B34</f>
        <v>0</v>
      </c>
      <c r="C34" s="415" t="str">
        <f>'1-συμβολαια'!C34</f>
        <v>ΧΡΗΣΙΚΤΗΣΙΑ αγροτεμαχίου (νυν οικόπεδο) = 19?? ΑΝΑΔΑΣΜΟΣ</v>
      </c>
      <c r="D34" s="325">
        <f>'1-συμβολαια'!D34</f>
        <v>3333</v>
      </c>
      <c r="E34" s="413">
        <f>'8-κ-15-17'!D34</f>
        <v>0</v>
      </c>
      <c r="F34" s="413">
        <f>'8-κ-15-17'!M34</f>
        <v>21.6645</v>
      </c>
      <c r="G34" s="413">
        <f>'8-κ-15-17'!V34</f>
        <v>4.1662499999999998</v>
      </c>
      <c r="H34" s="413">
        <f>'2-δικαιώμ'!I34</f>
        <v>4.1697072000000004</v>
      </c>
      <c r="I34" s="413">
        <f>'2-δικαιώμ'!J34</f>
        <v>0.15</v>
      </c>
      <c r="J34" s="413">
        <f>'2-δικαιώμ'!K34</f>
        <v>2.4630040000000002</v>
      </c>
      <c r="K34" s="413">
        <f>'2-δικαιώμ'!L34</f>
        <v>0.49260080000000001</v>
      </c>
      <c r="L34" s="4"/>
      <c r="M34" s="4"/>
      <c r="N34" s="451"/>
      <c r="O34" s="451"/>
      <c r="P34" s="451"/>
      <c r="Q34" s="4"/>
      <c r="R34" s="451"/>
      <c r="S34" s="451"/>
      <c r="T34" s="451"/>
      <c r="U34" s="451"/>
      <c r="V34" s="4"/>
      <c r="W34" s="451">
        <f>'2-δικαιώμ'!I34+'2-δικαιώμ'!J34</f>
        <v>4.3197072000000007</v>
      </c>
      <c r="X34" s="451">
        <f>'2-δικαιώμ'!K34</f>
        <v>2.4630040000000002</v>
      </c>
      <c r="Y34" s="451">
        <f>'2-δικαιώμ'!L34</f>
        <v>0.49260080000000001</v>
      </c>
      <c r="Z34" s="4"/>
      <c r="AA34" s="451"/>
      <c r="AB34" s="451"/>
      <c r="AC34" s="451"/>
      <c r="AD34" s="451"/>
      <c r="AE34" s="451"/>
    </row>
    <row r="35" spans="1:31" s="5" customFormat="1">
      <c r="A35" s="559">
        <f>'1-συμβολαια'!A35</f>
        <v>4621</v>
      </c>
      <c r="B35" s="415">
        <f>'1-συμβολαια'!B35</f>
        <v>21</v>
      </c>
      <c r="C35" s="415" t="str">
        <f>'1-συμβολαια'!C35</f>
        <v>γονική</v>
      </c>
      <c r="D35" s="325">
        <f>'1-συμβολαια'!D35</f>
        <v>30928.65</v>
      </c>
      <c r="E35" s="413">
        <f>'8-κ-15-17'!D35</f>
        <v>0</v>
      </c>
      <c r="F35" s="413">
        <f>'8-κ-15-17'!M35</f>
        <v>201.03622500000003</v>
      </c>
      <c r="G35" s="413">
        <f>'8-κ-15-17'!V35</f>
        <v>38.660812500000006</v>
      </c>
      <c r="H35" s="413">
        <f>'2-δικαιώμ'!I35</f>
        <v>33.9730092</v>
      </c>
      <c r="I35" s="413">
        <f>'2-δικαιώμ'!J35</f>
        <v>0.15</v>
      </c>
      <c r="J35" s="413">
        <f>'2-δικαιώμ'!K35</f>
        <v>19.020394000000003</v>
      </c>
      <c r="K35" s="413">
        <f>'2-δικαιώμ'!L35</f>
        <v>3.8040788000000005</v>
      </c>
      <c r="L35" s="4"/>
      <c r="M35" s="4"/>
      <c r="N35" s="451"/>
      <c r="O35" s="451"/>
      <c r="P35" s="451"/>
      <c r="Q35" s="4"/>
      <c r="R35" s="451"/>
      <c r="S35" s="451"/>
      <c r="T35" s="451"/>
      <c r="U35" s="451"/>
      <c r="V35" s="4"/>
      <c r="W35" s="451">
        <f>'2-δικαιώμ'!I35+'2-δικαιώμ'!J35</f>
        <v>34.123009199999998</v>
      </c>
      <c r="X35" s="451">
        <f>'2-δικαιώμ'!K35</f>
        <v>19.020394000000003</v>
      </c>
      <c r="Y35" s="451">
        <f>'2-δικαιώμ'!L35</f>
        <v>3.8040788000000005</v>
      </c>
      <c r="Z35" s="4"/>
      <c r="AA35" s="451"/>
      <c r="AB35" s="451"/>
      <c r="AC35" s="451"/>
      <c r="AD35" s="451"/>
      <c r="AE35" s="451"/>
    </row>
    <row r="36" spans="1:31" s="5" customFormat="1">
      <c r="A36" s="452"/>
      <c r="B36" s="415">
        <f>'1-συμβολαια'!B36</f>
        <v>0</v>
      </c>
      <c r="C36" s="415" t="str">
        <f>'1-συμβολαια'!C36</f>
        <v>οριζόντιος ΣΥΣΤΑΣΗ</v>
      </c>
      <c r="D36" s="325">
        <f>'1-συμβολαια'!D36</f>
        <v>0</v>
      </c>
      <c r="E36" s="413">
        <f>'8-κ-15-17'!D36</f>
        <v>0</v>
      </c>
      <c r="F36" s="413">
        <f>'8-κ-15-17'!M36</f>
        <v>0</v>
      </c>
      <c r="G36" s="413">
        <f>'8-κ-15-17'!V36</f>
        <v>0</v>
      </c>
      <c r="H36" s="413">
        <f>'2-δικαιώμ'!I36</f>
        <v>0</v>
      </c>
      <c r="I36" s="413">
        <f>'2-δικαιώμ'!J36</f>
        <v>3.99</v>
      </c>
      <c r="J36" s="413">
        <f>'2-δικαιώμ'!K36</f>
        <v>2.9344999999999999</v>
      </c>
      <c r="K36" s="413">
        <f>'2-δικαιώμ'!L36</f>
        <v>0.58689999999999998</v>
      </c>
      <c r="L36" s="4"/>
      <c r="M36" s="4"/>
      <c r="N36" s="451"/>
      <c r="O36" s="451"/>
      <c r="P36" s="451"/>
      <c r="Q36" s="4"/>
      <c r="R36" s="451"/>
      <c r="S36" s="451"/>
      <c r="T36" s="451"/>
      <c r="U36" s="451"/>
      <c r="V36" s="4"/>
      <c r="W36" s="451">
        <f>'2-δικαιώμ'!I36+'2-δικαιώμ'!J36</f>
        <v>3.99</v>
      </c>
      <c r="X36" s="451">
        <f>'2-δικαιώμ'!K36</f>
        <v>2.9344999999999999</v>
      </c>
      <c r="Y36" s="451">
        <f>'2-δικαιώμ'!L36</f>
        <v>0.58689999999999998</v>
      </c>
      <c r="Z36" s="4"/>
      <c r="AA36" s="451"/>
      <c r="AB36" s="451"/>
      <c r="AC36" s="451"/>
      <c r="AD36" s="451"/>
      <c r="AE36" s="451"/>
    </row>
    <row r="37" spans="1:31" s="5" customFormat="1">
      <c r="A37" s="415">
        <f>'1-συμβολαια'!A37</f>
        <v>4622</v>
      </c>
      <c r="B37" s="415">
        <f>'1-συμβολαια'!B37</f>
        <v>21</v>
      </c>
      <c r="C37" s="415" t="str">
        <f>'1-συμβολαια'!C37</f>
        <v>πληρεξούσιο</v>
      </c>
      <c r="D37" s="325">
        <f>'1-συμβολαια'!D37</f>
        <v>0</v>
      </c>
      <c r="E37" s="413">
        <f>'8-κ-15-17'!D37</f>
        <v>0</v>
      </c>
      <c r="F37" s="413">
        <f>'8-κ-15-17'!M37</f>
        <v>0</v>
      </c>
      <c r="G37" s="413">
        <f>'8-κ-15-17'!V37</f>
        <v>0</v>
      </c>
      <c r="H37" s="413">
        <f>'2-δικαιώμ'!I37</f>
        <v>0</v>
      </c>
      <c r="I37" s="413">
        <f>'2-δικαιώμ'!J37</f>
        <v>0.44000000000000006</v>
      </c>
      <c r="J37" s="413">
        <f>'2-δικαιώμ'!K37</f>
        <v>0.03</v>
      </c>
      <c r="K37" s="413">
        <f>'2-δικαιώμ'!L37</f>
        <v>8.8000000000000009E-2</v>
      </c>
      <c r="L37" s="4"/>
      <c r="M37" s="4"/>
      <c r="N37" s="451"/>
      <c r="O37" s="451"/>
      <c r="P37" s="451"/>
      <c r="Q37" s="4"/>
      <c r="R37" s="451"/>
      <c r="S37" s="451"/>
      <c r="T37" s="451"/>
      <c r="U37" s="451"/>
      <c r="V37" s="4"/>
      <c r="W37" s="451">
        <f>'2-δικαιώμ'!I37+'2-δικαιώμ'!J37</f>
        <v>0.44000000000000006</v>
      </c>
      <c r="X37" s="451">
        <f>'2-δικαιώμ'!K37</f>
        <v>0.03</v>
      </c>
      <c r="Y37" s="451">
        <f>'2-δικαιώμ'!L37</f>
        <v>8.8000000000000009E-2</v>
      </c>
      <c r="Z37" s="4"/>
      <c r="AA37" s="451"/>
      <c r="AB37" s="451"/>
      <c r="AC37" s="451"/>
      <c r="AD37" s="451"/>
      <c r="AE37" s="451"/>
    </row>
    <row r="38" spans="1:31" s="5" customFormat="1">
      <c r="A38" s="415">
        <f>'1-συμβολαια'!A38</f>
        <v>4623</v>
      </c>
      <c r="B38" s="415">
        <f>'1-συμβολαια'!B38</f>
        <v>21</v>
      </c>
      <c r="C38" s="415" t="str">
        <f>'1-συμβολαια'!C38</f>
        <v>πληρεξούσιο</v>
      </c>
      <c r="D38" s="325">
        <f>'1-συμβολαια'!D38</f>
        <v>0</v>
      </c>
      <c r="E38" s="413">
        <f>'8-κ-15-17'!D38</f>
        <v>0</v>
      </c>
      <c r="F38" s="413">
        <f>'8-κ-15-17'!M38</f>
        <v>0</v>
      </c>
      <c r="G38" s="413">
        <f>'8-κ-15-17'!V38</f>
        <v>0</v>
      </c>
      <c r="H38" s="413">
        <f>'2-δικαιώμ'!I38</f>
        <v>0</v>
      </c>
      <c r="I38" s="413">
        <f>'2-δικαιώμ'!J38</f>
        <v>0.44000000000000006</v>
      </c>
      <c r="J38" s="413">
        <f>'2-δικαιώμ'!K38</f>
        <v>0.03</v>
      </c>
      <c r="K38" s="413">
        <f>'2-δικαιώμ'!L38</f>
        <v>8.8000000000000009E-2</v>
      </c>
      <c r="L38" s="4"/>
      <c r="M38" s="4"/>
      <c r="N38" s="451"/>
      <c r="O38" s="451"/>
      <c r="P38" s="451"/>
      <c r="Q38" s="4"/>
      <c r="R38" s="451"/>
      <c r="S38" s="451"/>
      <c r="T38" s="451"/>
      <c r="U38" s="451"/>
      <c r="V38" s="4"/>
      <c r="W38" s="451">
        <f>'2-δικαιώμ'!I38+'2-δικαιώμ'!J38</f>
        <v>0.44000000000000006</v>
      </c>
      <c r="X38" s="451">
        <f>'2-δικαιώμ'!K38</f>
        <v>0.03</v>
      </c>
      <c r="Y38" s="451">
        <f>'2-δικαιώμ'!L38</f>
        <v>8.8000000000000009E-2</v>
      </c>
      <c r="Z38" s="4"/>
      <c r="AA38" s="451"/>
      <c r="AB38" s="451"/>
      <c r="AC38" s="451"/>
      <c r="AD38" s="451"/>
      <c r="AE38" s="451"/>
    </row>
    <row r="39" spans="1:31" s="5" customFormat="1">
      <c r="A39" s="452">
        <f>'1-συμβολαια'!A39</f>
        <v>4624</v>
      </c>
      <c r="B39" s="415">
        <f>'1-συμβολαια'!B39</f>
        <v>23</v>
      </c>
      <c r="C39" s="415" t="str">
        <f>'1-συμβολαια'!C39</f>
        <v>*γονική ΨΙΛΗΣ ΚΥΡΙΟΤΗΤΑΣ</v>
      </c>
      <c r="D39" s="325">
        <f>'1-συμβολαια'!D39</f>
        <v>11558.2</v>
      </c>
      <c r="E39" s="413">
        <f>'8-κ-15-17'!D39</f>
        <v>0</v>
      </c>
      <c r="F39" s="413">
        <f>'8-κ-15-17'!M39</f>
        <v>75.12830000000001</v>
      </c>
      <c r="G39" s="413">
        <f>'8-κ-15-17'!V39</f>
        <v>14.447750000000001</v>
      </c>
      <c r="H39" s="413">
        <f>'2-δικαιώμ'!I39</f>
        <v>13.052923200000002</v>
      </c>
      <c r="I39" s="413">
        <f>'2-δικαιώμ'!J39</f>
        <v>0.15</v>
      </c>
      <c r="J39" s="413">
        <f>'2-δικαιώμ'!K39</f>
        <v>7.3981240000000019</v>
      </c>
      <c r="K39" s="413">
        <f>'2-δικαιώμ'!L39</f>
        <v>1.4796248000000003</v>
      </c>
      <c r="L39" s="4"/>
      <c r="M39" s="4"/>
      <c r="N39" s="451"/>
      <c r="O39" s="451"/>
      <c r="P39" s="451"/>
      <c r="Q39" s="4"/>
      <c r="R39" s="451"/>
      <c r="S39" s="451"/>
      <c r="T39" s="451"/>
      <c r="U39" s="451"/>
      <c r="V39" s="4"/>
      <c r="W39" s="451">
        <f>'2-δικαιώμ'!I39+'2-δικαιώμ'!J39</f>
        <v>13.202923200000003</v>
      </c>
      <c r="X39" s="451">
        <f>'2-δικαιώμ'!K39</f>
        <v>7.3981240000000019</v>
      </c>
      <c r="Y39" s="451">
        <f>'2-δικαιώμ'!L39</f>
        <v>1.4796248000000003</v>
      </c>
      <c r="Z39" s="4"/>
      <c r="AA39" s="451"/>
      <c r="AB39" s="451"/>
      <c r="AC39" s="451"/>
      <c r="AD39" s="451"/>
      <c r="AE39" s="451"/>
    </row>
    <row r="40" spans="1:31" s="5" customFormat="1">
      <c r="A40" s="452"/>
      <c r="B40" s="415">
        <f>'1-συμβολαια'!B40</f>
        <v>0</v>
      </c>
      <c r="C40" s="415" t="str">
        <f>'1-συμβολαια'!C40</f>
        <v>ΧΡΗΣΙΚΤΗΣΙΑ οικοπέδου = 1949 πατρός ΔΩΡΕΑ άτυπη</v>
      </c>
      <c r="D40" s="325">
        <f>'1-συμβολαια'!D40</f>
        <v>4444</v>
      </c>
      <c r="E40" s="413">
        <f>'8-κ-15-17'!D40</f>
        <v>0</v>
      </c>
      <c r="F40" s="413">
        <f>'8-κ-15-17'!M40</f>
        <v>28.886000000000003</v>
      </c>
      <c r="G40" s="413">
        <f>'8-κ-15-17'!V40</f>
        <v>5.5549999999999997</v>
      </c>
      <c r="H40" s="413">
        <f>'2-δικαιώμ'!I40</f>
        <v>5.3695871999999998</v>
      </c>
      <c r="I40" s="413">
        <f>'2-δικαιώμ'!J40</f>
        <v>0.15</v>
      </c>
      <c r="J40" s="413">
        <f>'2-δικαιώμ'!K40</f>
        <v>3.1296040000000005</v>
      </c>
      <c r="K40" s="413">
        <f>'2-δικαιώμ'!L40</f>
        <v>0.62592080000000005</v>
      </c>
      <c r="L40" s="4"/>
      <c r="M40" s="4"/>
      <c r="N40" s="451"/>
      <c r="O40" s="451"/>
      <c r="P40" s="451"/>
      <c r="Q40" s="4"/>
      <c r="R40" s="451"/>
      <c r="S40" s="451"/>
      <c r="T40" s="451"/>
      <c r="U40" s="451"/>
      <c r="V40" s="4"/>
      <c r="W40" s="451">
        <f>'2-δικαιώμ'!I40+'2-δικαιώμ'!J40</f>
        <v>5.5195872000000001</v>
      </c>
      <c r="X40" s="451">
        <f>'2-δικαιώμ'!K40</f>
        <v>3.1296040000000005</v>
      </c>
      <c r="Y40" s="451">
        <f>'2-δικαιώμ'!L40</f>
        <v>0.62592080000000005</v>
      </c>
      <c r="Z40" s="4"/>
      <c r="AA40" s="451"/>
      <c r="AB40" s="451"/>
      <c r="AC40" s="451"/>
      <c r="AD40" s="451"/>
      <c r="AE40" s="451"/>
    </row>
    <row r="41" spans="1:31" s="5" customFormat="1">
      <c r="A41" s="452"/>
      <c r="B41" s="415">
        <f>'1-συμβολαια'!B41</f>
        <v>0</v>
      </c>
      <c r="C41" s="415" t="str">
        <f>'1-συμβολαια'!C41</f>
        <v>ΧΡΗΣΙΚΤΗΣΙΑ αγροτεμαχίων = 1963 αγοραπωλησίας ΒΑΣΕΙ προσυμφώνου ΜΗ εκτελεσθέντος</v>
      </c>
      <c r="D41" s="325">
        <f>'1-συμβολαια'!D41</f>
        <v>1111</v>
      </c>
      <c r="E41" s="413">
        <f>'8-κ-15-17'!D41</f>
        <v>0</v>
      </c>
      <c r="F41" s="413">
        <f>'8-κ-15-17'!M41</f>
        <v>7.2215000000000007</v>
      </c>
      <c r="G41" s="413">
        <f>'8-κ-15-17'!V41</f>
        <v>1.3887499999999999</v>
      </c>
      <c r="H41" s="413">
        <f>'2-δικαιώμ'!I41</f>
        <v>1.7699472000000001</v>
      </c>
      <c r="I41" s="413">
        <f>'2-δικαιώμ'!J41</f>
        <v>0.15</v>
      </c>
      <c r="J41" s="413">
        <f>'2-δικαιώμ'!K41</f>
        <v>1.129804</v>
      </c>
      <c r="K41" s="413">
        <f>'2-δικαιώμ'!L41</f>
        <v>0.22596080000000002</v>
      </c>
      <c r="L41" s="4"/>
      <c r="M41" s="4"/>
      <c r="N41" s="451"/>
      <c r="O41" s="451"/>
      <c r="P41" s="451"/>
      <c r="Q41" s="4"/>
      <c r="R41" s="451"/>
      <c r="S41" s="451"/>
      <c r="T41" s="451"/>
      <c r="U41" s="451"/>
      <c r="V41" s="4"/>
      <c r="W41" s="451">
        <f>'2-δικαιώμ'!I41+'2-δικαιώμ'!J41</f>
        <v>1.9199472</v>
      </c>
      <c r="X41" s="451">
        <f>'2-δικαιώμ'!K41</f>
        <v>1.129804</v>
      </c>
      <c r="Y41" s="451">
        <f>'2-δικαιώμ'!L41</f>
        <v>0.22596080000000002</v>
      </c>
      <c r="Z41" s="4"/>
      <c r="AA41" s="451"/>
      <c r="AB41" s="451"/>
      <c r="AC41" s="451"/>
      <c r="AD41" s="451"/>
      <c r="AE41" s="451"/>
    </row>
    <row r="42" spans="1:31" s="5" customFormat="1">
      <c r="A42" s="544">
        <f>'1-συμβολαια'!A42</f>
        <v>4625</v>
      </c>
      <c r="B42" s="415">
        <f>'1-συμβολαια'!B42</f>
        <v>23</v>
      </c>
      <c r="C42" s="415" t="str">
        <f>'1-συμβολαια'!C42</f>
        <v>*γονική ΨΙΛΗΣ ΚΥΡΙΟΤΗΤΑΣ</v>
      </c>
      <c r="D42" s="325">
        <f>'1-συμβολαια'!D42</f>
        <v>3061.77</v>
      </c>
      <c r="E42" s="413">
        <f>'8-κ-15-17'!D42</f>
        <v>0</v>
      </c>
      <c r="F42" s="413">
        <f>'8-κ-15-17'!M42</f>
        <v>19.901505</v>
      </c>
      <c r="G42" s="413">
        <f>'8-κ-15-17'!V42</f>
        <v>3.8272124999999999</v>
      </c>
      <c r="H42" s="413">
        <f>'2-δικαιώμ'!I42</f>
        <v>3.8767788000000003</v>
      </c>
      <c r="I42" s="413">
        <f>'2-δικαιώμ'!J42</f>
        <v>0.15</v>
      </c>
      <c r="J42" s="413">
        <f>'2-δικαιώμ'!K42</f>
        <v>2.3002660000000001</v>
      </c>
      <c r="K42" s="413">
        <f>'2-δικαιώμ'!L42</f>
        <v>0.46005320000000005</v>
      </c>
      <c r="L42" s="4"/>
      <c r="M42" s="4"/>
      <c r="N42" s="451"/>
      <c r="O42" s="451"/>
      <c r="P42" s="451"/>
      <c r="Q42" s="4"/>
      <c r="R42" s="451"/>
      <c r="S42" s="451"/>
      <c r="T42" s="451"/>
      <c r="U42" s="451"/>
      <c r="V42" s="4"/>
      <c r="W42" s="451">
        <f>'2-δικαιώμ'!I42+'2-δικαιώμ'!J42</f>
        <v>4.0267788000000007</v>
      </c>
      <c r="X42" s="451">
        <f>'2-δικαιώμ'!K42</f>
        <v>2.3002660000000001</v>
      </c>
      <c r="Y42" s="451">
        <f>'2-δικαιώμ'!L42</f>
        <v>0.46005320000000005</v>
      </c>
      <c r="Z42" s="4"/>
      <c r="AA42" s="451"/>
      <c r="AB42" s="451"/>
      <c r="AC42" s="451"/>
      <c r="AD42" s="451"/>
      <c r="AE42" s="451"/>
    </row>
    <row r="43" spans="1:31" s="5" customFormat="1">
      <c r="A43" s="544"/>
      <c r="B43" s="415">
        <f>'1-συμβολαια'!B43</f>
        <v>0</v>
      </c>
      <c r="C43" s="415" t="str">
        <f>'1-συμβολαια'!C43</f>
        <v>ΧΡΗΣΙΚΤΗΣΙΑ αγροτεμαχίου = 19?? πατρός ΔΩΡΕΑ άτυπη</v>
      </c>
      <c r="D43" s="325">
        <f>'1-συμβολαια'!D43</f>
        <v>1111</v>
      </c>
      <c r="E43" s="413">
        <f>'8-κ-15-17'!D43</f>
        <v>0</v>
      </c>
      <c r="F43" s="413">
        <f>'8-κ-15-17'!M43</f>
        <v>7.2215000000000007</v>
      </c>
      <c r="G43" s="413">
        <f>'8-κ-15-17'!V43</f>
        <v>1.3887499999999999</v>
      </c>
      <c r="H43" s="413">
        <f>'2-δικαιώμ'!I43</f>
        <v>1.7699472000000001</v>
      </c>
      <c r="I43" s="413">
        <f>'2-δικαιώμ'!J43</f>
        <v>0.15</v>
      </c>
      <c r="J43" s="413">
        <f>'2-δικαιώμ'!K43</f>
        <v>1.129804</v>
      </c>
      <c r="K43" s="413">
        <f>'2-δικαιώμ'!L43</f>
        <v>0.22596080000000002</v>
      </c>
      <c r="L43" s="4"/>
      <c r="M43" s="4"/>
      <c r="N43" s="451"/>
      <c r="O43" s="451"/>
      <c r="P43" s="451"/>
      <c r="Q43" s="4"/>
      <c r="R43" s="451"/>
      <c r="S43" s="451"/>
      <c r="T43" s="451"/>
      <c r="U43" s="451"/>
      <c r="V43" s="4"/>
      <c r="W43" s="451">
        <f>'2-δικαιώμ'!I43+'2-δικαιώμ'!J43</f>
        <v>1.9199472</v>
      </c>
      <c r="X43" s="451">
        <f>'2-δικαιώμ'!K43</f>
        <v>1.129804</v>
      </c>
      <c r="Y43" s="451">
        <f>'2-δικαιώμ'!L43</f>
        <v>0.22596080000000002</v>
      </c>
      <c r="Z43" s="4"/>
      <c r="AA43" s="451"/>
      <c r="AB43" s="451"/>
      <c r="AC43" s="451"/>
      <c r="AD43" s="451"/>
      <c r="AE43" s="451"/>
    </row>
    <row r="44" spans="1:31" s="5" customFormat="1">
      <c r="A44" s="452">
        <f>'1-συμβολαια'!A44</f>
        <v>4626</v>
      </c>
      <c r="B44" s="415">
        <f>'1-συμβολαια'!B44</f>
        <v>23</v>
      </c>
      <c r="C44" s="415" t="str">
        <f>'1-συμβολαια'!C44</f>
        <v>*γονική ΨΙΛΗΣ ΚΥΡΙΟΤΗΤΑΣ</v>
      </c>
      <c r="D44" s="325">
        <f>'1-συμβολαια'!D44</f>
        <v>5079.72</v>
      </c>
      <c r="E44" s="413">
        <f>'8-κ-15-17'!D44</f>
        <v>0</v>
      </c>
      <c r="F44" s="413">
        <f>'8-κ-15-17'!M44</f>
        <v>33.018180000000008</v>
      </c>
      <c r="G44" s="413">
        <f>'8-κ-15-17'!V44</f>
        <v>6.3496500000000005</v>
      </c>
      <c r="H44" s="413">
        <f>'2-δικαιώμ'!I44</f>
        <v>6.0561648000000003</v>
      </c>
      <c r="I44" s="413">
        <f>'2-δικαιώμ'!J44</f>
        <v>0.15</v>
      </c>
      <c r="J44" s="413">
        <f>'2-δικαιώμ'!K44</f>
        <v>3.5110360000000003</v>
      </c>
      <c r="K44" s="413">
        <f>'2-δικαιώμ'!L44</f>
        <v>0.70220720000000003</v>
      </c>
      <c r="L44" s="4"/>
      <c r="M44" s="4"/>
      <c r="N44" s="451"/>
      <c r="O44" s="451"/>
      <c r="P44" s="451"/>
      <c r="Q44" s="4"/>
      <c r="R44" s="451"/>
      <c r="S44" s="451"/>
      <c r="T44" s="451"/>
      <c r="U44" s="451"/>
      <c r="V44" s="4"/>
      <c r="W44" s="451">
        <f>'2-δικαιώμ'!I44+'2-δικαιώμ'!J44</f>
        <v>6.2061648000000007</v>
      </c>
      <c r="X44" s="451">
        <f>'2-δικαιώμ'!K44</f>
        <v>3.5110360000000003</v>
      </c>
      <c r="Y44" s="451">
        <f>'2-δικαιώμ'!L44</f>
        <v>0.70220720000000003</v>
      </c>
      <c r="Z44" s="4"/>
      <c r="AA44" s="451"/>
      <c r="AB44" s="451"/>
      <c r="AC44" s="451"/>
      <c r="AD44" s="451"/>
      <c r="AE44" s="451"/>
    </row>
    <row r="45" spans="1:31" s="5" customFormat="1">
      <c r="A45" s="452"/>
      <c r="B45" s="415">
        <f>'1-συμβολαια'!B45</f>
        <v>0</v>
      </c>
      <c r="C45" s="415" t="str">
        <f>'1-συμβολαια'!C45</f>
        <v>ΧΡΗΣΙΚΤΗΣΙΑ αγροτεμαχίου = 1979 ΑΝΑΔΑΣΜΟΣ</v>
      </c>
      <c r="D45" s="325">
        <f>'1-συμβολαια'!D45</f>
        <v>1111</v>
      </c>
      <c r="E45" s="413">
        <f>'8-κ-15-17'!D45</f>
        <v>0</v>
      </c>
      <c r="F45" s="413">
        <f>'8-κ-15-17'!M45</f>
        <v>7.2215000000000007</v>
      </c>
      <c r="G45" s="413">
        <f>'8-κ-15-17'!V45</f>
        <v>1.3887499999999999</v>
      </c>
      <c r="H45" s="413">
        <f>'2-δικαιώμ'!I45</f>
        <v>1.7699472000000001</v>
      </c>
      <c r="I45" s="413">
        <f>'2-δικαιώμ'!J45</f>
        <v>0.15</v>
      </c>
      <c r="J45" s="413">
        <f>'2-δικαιώμ'!K45</f>
        <v>1.129804</v>
      </c>
      <c r="K45" s="413">
        <f>'2-δικαιώμ'!L45</f>
        <v>0.22596080000000002</v>
      </c>
      <c r="L45" s="4"/>
      <c r="M45" s="4"/>
      <c r="N45" s="451"/>
      <c r="O45" s="451"/>
      <c r="P45" s="451"/>
      <c r="Q45" s="4"/>
      <c r="R45" s="451"/>
      <c r="S45" s="451"/>
      <c r="T45" s="451"/>
      <c r="U45" s="451"/>
      <c r="V45" s="4"/>
      <c r="W45" s="451">
        <f>'2-δικαιώμ'!I45+'2-δικαιώμ'!J45</f>
        <v>1.9199472</v>
      </c>
      <c r="X45" s="451">
        <f>'2-δικαιώμ'!K45</f>
        <v>1.129804</v>
      </c>
      <c r="Y45" s="451">
        <f>'2-δικαιώμ'!L45</f>
        <v>0.22596080000000002</v>
      </c>
      <c r="Z45" s="4"/>
      <c r="AA45" s="451"/>
      <c r="AB45" s="451"/>
      <c r="AC45" s="451"/>
      <c r="AD45" s="451"/>
      <c r="AE45" s="451"/>
    </row>
    <row r="46" spans="1:31" s="5" customFormat="1">
      <c r="A46" s="452"/>
      <c r="B46" s="415">
        <f>'1-συμβολαια'!B46</f>
        <v>0</v>
      </c>
      <c r="C46" s="415" t="str">
        <f>'1-συμβολαια'!C46</f>
        <v>ΧΡΗΣΙΚΤΗΣΙΑ αγροτεμαχίων = 1957 τακοΑναστασιο ΑΓΟΡΑΠΩΛΗΣΙΑ άτυπη</v>
      </c>
      <c r="D46" s="325">
        <f>'1-συμβολαια'!D46</f>
        <v>1111</v>
      </c>
      <c r="E46" s="413">
        <f>'8-κ-15-17'!D46</f>
        <v>0</v>
      </c>
      <c r="F46" s="413">
        <f>'8-κ-15-17'!M46</f>
        <v>7.2215000000000007</v>
      </c>
      <c r="G46" s="413">
        <f>'8-κ-15-17'!V46</f>
        <v>1.3887499999999999</v>
      </c>
      <c r="H46" s="413">
        <f>'2-δικαιώμ'!I46</f>
        <v>1.7699472000000001</v>
      </c>
      <c r="I46" s="413">
        <f>'2-δικαιώμ'!J46</f>
        <v>0.15</v>
      </c>
      <c r="J46" s="413">
        <f>'2-δικαιώμ'!K46</f>
        <v>1.129804</v>
      </c>
      <c r="K46" s="413">
        <f>'2-δικαιώμ'!L46</f>
        <v>0.22596080000000002</v>
      </c>
      <c r="L46" s="4"/>
      <c r="M46" s="4"/>
      <c r="N46" s="451"/>
      <c r="O46" s="451"/>
      <c r="P46" s="451"/>
      <c r="Q46" s="4"/>
      <c r="R46" s="451"/>
      <c r="S46" s="451"/>
      <c r="T46" s="451"/>
      <c r="U46" s="451"/>
      <c r="V46" s="4"/>
      <c r="W46" s="451">
        <f>'2-δικαιώμ'!I46+'2-δικαιώμ'!J46</f>
        <v>1.9199472</v>
      </c>
      <c r="X46" s="451">
        <f>'2-δικαιώμ'!K46</f>
        <v>1.129804</v>
      </c>
      <c r="Y46" s="451">
        <f>'2-δικαιώμ'!L46</f>
        <v>0.22596080000000002</v>
      </c>
      <c r="Z46" s="4"/>
      <c r="AA46" s="451"/>
      <c r="AB46" s="451"/>
      <c r="AC46" s="451"/>
      <c r="AD46" s="451"/>
      <c r="AE46" s="451"/>
    </row>
    <row r="47" spans="1:31" s="5" customFormat="1">
      <c r="A47" s="544">
        <f>'1-συμβολαια'!A47</f>
        <v>4627</v>
      </c>
      <c r="B47" s="415">
        <f>'1-συμβολαια'!B47</f>
        <v>23</v>
      </c>
      <c r="C47" s="415" t="str">
        <f>'1-συμβολαια'!C47</f>
        <v>*δωρεά ΑΙΤΙΑ θανάτου</v>
      </c>
      <c r="D47" s="325">
        <f>'1-συμβολαια'!D47</f>
        <v>0</v>
      </c>
      <c r="E47" s="413">
        <f>'8-κ-15-17'!D47</f>
        <v>0</v>
      </c>
      <c r="F47" s="413">
        <f>'8-κ-15-17'!M47</f>
        <v>0</v>
      </c>
      <c r="G47" s="413">
        <f>'8-κ-15-17'!V47</f>
        <v>0</v>
      </c>
      <c r="H47" s="413">
        <f>'2-δικαιώμ'!I47</f>
        <v>0</v>
      </c>
      <c r="I47" s="413">
        <f>'2-δικαιώμ'!J47</f>
        <v>0.44000000000000006</v>
      </c>
      <c r="J47" s="413">
        <f>'2-δικαιώμ'!K47</f>
        <v>0.03</v>
      </c>
      <c r="K47" s="413">
        <f>'2-δικαιώμ'!L47</f>
        <v>8.8000000000000009E-2</v>
      </c>
      <c r="L47" s="4"/>
      <c r="M47" s="4"/>
      <c r="N47" s="451"/>
      <c r="O47" s="451"/>
      <c r="P47" s="451"/>
      <c r="Q47" s="4"/>
      <c r="R47" s="451"/>
      <c r="S47" s="451"/>
      <c r="T47" s="451"/>
      <c r="U47" s="451"/>
      <c r="V47" s="4"/>
      <c r="W47" s="451">
        <f>'2-δικαιώμ'!I47+'2-δικαιώμ'!J47</f>
        <v>0.44000000000000006</v>
      </c>
      <c r="X47" s="451">
        <f>'2-δικαιώμ'!K47</f>
        <v>0.03</v>
      </c>
      <c r="Y47" s="451">
        <f>'2-δικαιώμ'!L47</f>
        <v>8.8000000000000009E-2</v>
      </c>
      <c r="Z47" s="4"/>
      <c r="AA47" s="451"/>
      <c r="AB47" s="451"/>
      <c r="AC47" s="451"/>
      <c r="AD47" s="451"/>
      <c r="AE47" s="451"/>
    </row>
    <row r="48" spans="1:31" s="5" customFormat="1">
      <c r="A48" s="544"/>
      <c r="B48" s="415">
        <f>'1-συμβολαια'!B48</f>
        <v>0</v>
      </c>
      <c r="C48" s="415" t="str">
        <f>'1-συμβολαια'!C48</f>
        <v>ΧΡΗΣΙΚΤΗΣΙΑ αγροτεμαχίου [νυν οικόπεδο ΜΕ οικοδομή] ] = 1970 ΑΝΑΔΑΣΜΟΣ</v>
      </c>
      <c r="D48" s="325">
        <f>'1-συμβολαια'!D48</f>
        <v>1111</v>
      </c>
      <c r="E48" s="413">
        <f>'8-κ-15-17'!D48</f>
        <v>0</v>
      </c>
      <c r="F48" s="413">
        <f>'8-κ-15-17'!M48</f>
        <v>7.2215000000000007</v>
      </c>
      <c r="G48" s="413">
        <f>'8-κ-15-17'!V48</f>
        <v>1.3887499999999999</v>
      </c>
      <c r="H48" s="413">
        <f>'2-δικαιώμ'!I48</f>
        <v>1.7699472000000001</v>
      </c>
      <c r="I48" s="413">
        <f>'2-δικαιώμ'!J48</f>
        <v>0.15</v>
      </c>
      <c r="J48" s="413">
        <f>'2-δικαιώμ'!K48</f>
        <v>1.129804</v>
      </c>
      <c r="K48" s="413">
        <f>'2-δικαιώμ'!L48</f>
        <v>0.22596080000000002</v>
      </c>
      <c r="L48" s="4"/>
      <c r="M48" s="4"/>
      <c r="N48" s="451"/>
      <c r="O48" s="451"/>
      <c r="P48" s="451"/>
      <c r="Q48" s="4"/>
      <c r="R48" s="451"/>
      <c r="S48" s="451"/>
      <c r="T48" s="451"/>
      <c r="U48" s="451"/>
      <c r="V48" s="4"/>
      <c r="W48" s="451">
        <f>'2-δικαιώμ'!I48+'2-δικαιώμ'!J48</f>
        <v>1.9199472</v>
      </c>
      <c r="X48" s="451">
        <f>'2-δικαιώμ'!K48</f>
        <v>1.129804</v>
      </c>
      <c r="Y48" s="451">
        <f>'2-δικαιώμ'!L48</f>
        <v>0.22596080000000002</v>
      </c>
      <c r="Z48" s="4"/>
      <c r="AA48" s="451"/>
      <c r="AB48" s="451"/>
      <c r="AC48" s="451"/>
      <c r="AD48" s="451"/>
      <c r="AE48" s="451"/>
    </row>
    <row r="49" spans="1:31" s="5" customFormat="1">
      <c r="A49" s="544"/>
      <c r="B49" s="415">
        <f>'1-συμβολαια'!B49</f>
        <v>0</v>
      </c>
      <c r="C49" s="415" t="str">
        <f>'1-συμβολαια'!C49</f>
        <v>*γονικής 1262  ΕΠΙΚΑΡΠΙΑ …  ΔΩΡΕΑ αιτία θανάτου</v>
      </c>
      <c r="D49" s="325">
        <f>'1-συμβολαια'!D49</f>
        <v>8888</v>
      </c>
      <c r="E49" s="413">
        <f>'8-κ-15-17'!D49</f>
        <v>0</v>
      </c>
      <c r="F49" s="413">
        <f>'8-κ-15-17'!M49</f>
        <v>57.772000000000006</v>
      </c>
      <c r="G49" s="413">
        <f>'8-κ-15-17'!V49</f>
        <v>11.11</v>
      </c>
      <c r="H49" s="413">
        <f>'2-δικαιώμ'!I49</f>
        <v>10.169107200000001</v>
      </c>
      <c r="I49" s="413">
        <f>'2-δικαιώμ'!J49</f>
        <v>0.15</v>
      </c>
      <c r="J49" s="413">
        <f>'2-δικαιώμ'!K49</f>
        <v>5.7960039999999999</v>
      </c>
      <c r="K49" s="413">
        <f>'2-δικαιώμ'!L49</f>
        <v>1.1592008</v>
      </c>
      <c r="L49" s="4"/>
      <c r="M49" s="4"/>
      <c r="N49" s="451"/>
      <c r="O49" s="451"/>
      <c r="P49" s="451"/>
      <c r="Q49" s="4"/>
      <c r="R49" s="451"/>
      <c r="S49" s="451"/>
      <c r="T49" s="451"/>
      <c r="U49" s="451"/>
      <c r="V49" s="4"/>
      <c r="W49" s="451">
        <f>'2-δικαιώμ'!I49+'2-δικαιώμ'!J49</f>
        <v>10.319107200000001</v>
      </c>
      <c r="X49" s="451">
        <f>'2-δικαιώμ'!K49</f>
        <v>5.7960039999999999</v>
      </c>
      <c r="Y49" s="451">
        <f>'2-δικαιώμ'!L49</f>
        <v>1.1592008</v>
      </c>
      <c r="Z49" s="4"/>
      <c r="AA49" s="451"/>
      <c r="AB49" s="451"/>
      <c r="AC49" s="451"/>
      <c r="AD49" s="451"/>
      <c r="AE49" s="451"/>
    </row>
    <row r="50" spans="1:31" s="5" customFormat="1">
      <c r="A50" s="415">
        <f>'1-συμβολαια'!A50</f>
        <v>4628</v>
      </c>
      <c r="B50" s="415">
        <f>'1-συμβολαια'!B50</f>
        <v>24</v>
      </c>
      <c r="C50" s="415" t="str">
        <f>'1-συμβολαια'!C50</f>
        <v>πληρεξούσιο</v>
      </c>
      <c r="D50" s="325">
        <f>'1-συμβολαια'!D50</f>
        <v>0</v>
      </c>
      <c r="E50" s="413">
        <f>'8-κ-15-17'!D50</f>
        <v>0</v>
      </c>
      <c r="F50" s="413">
        <f>'8-κ-15-17'!M50</f>
        <v>0</v>
      </c>
      <c r="G50" s="413">
        <f>'8-κ-15-17'!V50</f>
        <v>0</v>
      </c>
      <c r="H50" s="413">
        <f>'2-δικαιώμ'!I50</f>
        <v>0</v>
      </c>
      <c r="I50" s="413">
        <f>'2-δικαιώμ'!J50</f>
        <v>0.44000000000000006</v>
      </c>
      <c r="J50" s="413">
        <f>'2-δικαιώμ'!K50</f>
        <v>0.03</v>
      </c>
      <c r="K50" s="413">
        <f>'2-δικαιώμ'!L50</f>
        <v>8.8000000000000009E-2</v>
      </c>
      <c r="L50" s="4"/>
      <c r="M50" s="4"/>
      <c r="N50" s="451"/>
      <c r="O50" s="451"/>
      <c r="P50" s="451"/>
      <c r="Q50" s="4"/>
      <c r="R50" s="451"/>
      <c r="S50" s="451"/>
      <c r="T50" s="451"/>
      <c r="U50" s="451"/>
      <c r="V50" s="4"/>
      <c r="W50" s="451">
        <f>'2-δικαιώμ'!I50+'2-δικαιώμ'!J50</f>
        <v>0.44000000000000006</v>
      </c>
      <c r="X50" s="451">
        <f>'2-δικαιώμ'!K50</f>
        <v>0.03</v>
      </c>
      <c r="Y50" s="451">
        <f>'2-δικαιώμ'!L50</f>
        <v>8.8000000000000009E-2</v>
      </c>
      <c r="Z50" s="4"/>
      <c r="AA50" s="451"/>
      <c r="AB50" s="451"/>
      <c r="AC50" s="451"/>
      <c r="AD50" s="451"/>
      <c r="AE50" s="451"/>
    </row>
    <row r="51" spans="1:31" s="5" customFormat="1">
      <c r="A51" s="452">
        <f>'1-συμβολαια'!A51</f>
        <v>4629</v>
      </c>
      <c r="B51" s="415">
        <f>'1-συμβολαια'!B51</f>
        <v>24</v>
      </c>
      <c r="C51" s="415" t="str">
        <f>'1-συμβολαια'!C51</f>
        <v>κληρονομιάς ΑΠΟΔΟΧΗ</v>
      </c>
      <c r="D51" s="325">
        <f>'1-συμβολαια'!D51</f>
        <v>0</v>
      </c>
      <c r="E51" s="413">
        <f>'8-κ-15-17'!D51</f>
        <v>0</v>
      </c>
      <c r="F51" s="413">
        <f>'8-κ-15-17'!M51</f>
        <v>0</v>
      </c>
      <c r="G51" s="413">
        <f>'8-κ-15-17'!V51</f>
        <v>0</v>
      </c>
      <c r="H51" s="413">
        <f>'2-δικαιώμ'!I51</f>
        <v>0</v>
      </c>
      <c r="I51" s="413">
        <f>'2-δικαιώμ'!J51</f>
        <v>1.4675000000000002</v>
      </c>
      <c r="J51" s="413">
        <f>'2-δικαιώμ'!K51</f>
        <v>1.4675000000000002</v>
      </c>
      <c r="K51" s="413">
        <f>'2-δικαιώμ'!L51</f>
        <v>0.29350000000000004</v>
      </c>
      <c r="L51" s="4"/>
      <c r="M51" s="4"/>
      <c r="N51" s="451"/>
      <c r="O51" s="451"/>
      <c r="P51" s="451"/>
      <c r="Q51" s="4"/>
      <c r="R51" s="451"/>
      <c r="S51" s="451"/>
      <c r="T51" s="451"/>
      <c r="U51" s="451"/>
      <c r="V51" s="4"/>
      <c r="W51" s="451">
        <f>'2-δικαιώμ'!I51+'2-δικαιώμ'!J51</f>
        <v>1.4675000000000002</v>
      </c>
      <c r="X51" s="451">
        <f>'2-δικαιώμ'!K51</f>
        <v>1.4675000000000002</v>
      </c>
      <c r="Y51" s="451">
        <f>'2-δικαιώμ'!L51</f>
        <v>0.29350000000000004</v>
      </c>
      <c r="Z51" s="4"/>
      <c r="AA51" s="451"/>
      <c r="AB51" s="451"/>
      <c r="AC51" s="451"/>
      <c r="AD51" s="451"/>
      <c r="AE51" s="451"/>
    </row>
    <row r="52" spans="1:31" s="5" customFormat="1">
      <c r="A52" s="452"/>
      <c r="B52" s="415">
        <f>'1-συμβολαια'!B52</f>
        <v>0</v>
      </c>
      <c r="C52" s="415" t="str">
        <f>'1-συμβολαια'!C52</f>
        <v>ΧΡΗΣΙΚΤΗΣΙΑ αγροτεμαχίου = 1980 πατρός ΚΛΗΡΟΝΟΜΙΑ άτυπη</v>
      </c>
      <c r="D52" s="325">
        <f>'1-συμβολαια'!D52</f>
        <v>1111</v>
      </c>
      <c r="E52" s="413">
        <f>'8-κ-15-17'!D52</f>
        <v>0</v>
      </c>
      <c r="F52" s="413">
        <f>'8-κ-15-17'!M52</f>
        <v>7.2215000000000007</v>
      </c>
      <c r="G52" s="413">
        <f>'8-κ-15-17'!V52</f>
        <v>1.3887499999999999</v>
      </c>
      <c r="H52" s="413">
        <f>'2-δικαιώμ'!I52</f>
        <v>1.7699472000000001</v>
      </c>
      <c r="I52" s="413">
        <f>'2-δικαιώμ'!J52</f>
        <v>1.129804</v>
      </c>
      <c r="J52" s="413">
        <f>'2-δικαιώμ'!K52</f>
        <v>1.129804</v>
      </c>
      <c r="K52" s="413">
        <f>'2-δικαιώμ'!L52</f>
        <v>0.22596080000000002</v>
      </c>
      <c r="L52" s="4"/>
      <c r="M52" s="4"/>
      <c r="N52" s="451"/>
      <c r="O52" s="451"/>
      <c r="P52" s="451"/>
      <c r="Q52" s="4"/>
      <c r="R52" s="451"/>
      <c r="S52" s="451"/>
      <c r="T52" s="451"/>
      <c r="U52" s="451"/>
      <c r="V52" s="4"/>
      <c r="W52" s="451">
        <f>'2-δικαιώμ'!I52+'2-δικαιώμ'!J52</f>
        <v>2.8997511999999999</v>
      </c>
      <c r="X52" s="451">
        <f>'2-δικαιώμ'!K52</f>
        <v>1.129804</v>
      </c>
      <c r="Y52" s="451">
        <f>'2-δικαιώμ'!L52</f>
        <v>0.22596080000000002</v>
      </c>
      <c r="Z52" s="4"/>
      <c r="AA52" s="451"/>
      <c r="AB52" s="451"/>
      <c r="AC52" s="451"/>
      <c r="AD52" s="451"/>
      <c r="AE52" s="451"/>
    </row>
    <row r="53" spans="1:31" s="5" customFormat="1">
      <c r="A53" s="452"/>
      <c r="B53" s="415">
        <f>'1-συμβολαια'!B53</f>
        <v>0</v>
      </c>
      <c r="C53" s="415" t="str">
        <f>'1-συμβολαια'!C53</f>
        <v>ΧΡΗΣΙΚΤΗΣΙΑ αγροτεμαχίου = 1980 ΔΙΑΝΟΜΗ άτυπη</v>
      </c>
      <c r="D53" s="325">
        <f>'1-συμβολαια'!D53</f>
        <v>11</v>
      </c>
      <c r="E53" s="413">
        <f>'8-κ-15-17'!D53</f>
        <v>0</v>
      </c>
      <c r="F53" s="413">
        <f>'8-κ-15-17'!M53</f>
        <v>7.1500000000000008E-2</v>
      </c>
      <c r="G53" s="413">
        <f>'8-κ-15-17'!V53</f>
        <v>1.375E-2</v>
      </c>
      <c r="H53" s="413">
        <f>'2-δικαιώμ'!I53</f>
        <v>0</v>
      </c>
      <c r="I53" s="413">
        <f>'2-δικαιώμ'!J53</f>
        <v>0.44</v>
      </c>
      <c r="J53" s="413">
        <f>'2-δικαιώμ'!K53</f>
        <v>0.03</v>
      </c>
      <c r="K53" s="413">
        <f>'2-δικαιώμ'!L53</f>
        <v>8.8000000000000009E-2</v>
      </c>
      <c r="L53" s="4"/>
      <c r="M53" s="4"/>
      <c r="N53" s="451"/>
      <c r="O53" s="451"/>
      <c r="P53" s="451"/>
      <c r="Q53" s="4"/>
      <c r="R53" s="451"/>
      <c r="S53" s="451"/>
      <c r="T53" s="451"/>
      <c r="U53" s="451"/>
      <c r="V53" s="4"/>
      <c r="W53" s="451">
        <f>'2-δικαιώμ'!I53+'2-δικαιώμ'!J53</f>
        <v>0.44</v>
      </c>
      <c r="X53" s="451">
        <f>'2-δικαιώμ'!K53</f>
        <v>0.03</v>
      </c>
      <c r="Y53" s="451">
        <f>'2-δικαιώμ'!L53</f>
        <v>8.8000000000000009E-2</v>
      </c>
      <c r="Z53" s="4"/>
      <c r="AA53" s="451"/>
      <c r="AB53" s="451"/>
      <c r="AC53" s="451"/>
      <c r="AD53" s="451"/>
      <c r="AE53" s="451"/>
    </row>
    <row r="54" spans="1:31" s="5" customFormat="1">
      <c r="A54" s="544">
        <f>'1-συμβολαια'!A54</f>
        <v>4630</v>
      </c>
      <c r="B54" s="415">
        <f>'1-συμβολαια'!B54</f>
        <v>28</v>
      </c>
      <c r="C54" s="415" t="str">
        <f>'1-συμβολαια'!C54</f>
        <v xml:space="preserve">αγοραπωλησίας ΠΡΟΣΥΜΦΩΝΟ τίμημα = αρραβών = </v>
      </c>
      <c r="D54" s="325">
        <f>'1-συμβολαια'!D54</f>
        <v>8804.1</v>
      </c>
      <c r="E54" s="413">
        <f>'8-κ-15-17'!D54</f>
        <v>0</v>
      </c>
      <c r="F54" s="413">
        <f>'8-κ-15-17'!M54</f>
        <v>0</v>
      </c>
      <c r="G54" s="413">
        <f>'8-κ-15-17'!V54</f>
        <v>0</v>
      </c>
      <c r="H54" s="413">
        <f>'2-δικαιώμ'!I54</f>
        <v>10.078495200000001</v>
      </c>
      <c r="I54" s="413">
        <f>'2-δικαιώμ'!J54</f>
        <v>0.15</v>
      </c>
      <c r="J54" s="413">
        <f>'2-δικαιώμ'!K54</f>
        <v>5.7456640000000005</v>
      </c>
      <c r="K54" s="413">
        <f>'2-δικαιώμ'!L54</f>
        <v>1.1491328000000001</v>
      </c>
      <c r="L54" s="4"/>
      <c r="M54" s="4"/>
      <c r="N54" s="451"/>
      <c r="O54" s="451"/>
      <c r="P54" s="451"/>
      <c r="Q54" s="4"/>
      <c r="R54" s="451"/>
      <c r="S54" s="451"/>
      <c r="T54" s="451"/>
      <c r="U54" s="451"/>
      <c r="V54" s="4"/>
      <c r="W54" s="451">
        <f>'2-δικαιώμ'!I54+'2-δικαιώμ'!J54</f>
        <v>10.228495200000001</v>
      </c>
      <c r="X54" s="451">
        <f>'2-δικαιώμ'!K54</f>
        <v>5.7456640000000005</v>
      </c>
      <c r="Y54" s="451">
        <f>'2-δικαιώμ'!L54</f>
        <v>1.1491328000000001</v>
      </c>
      <c r="Z54" s="4"/>
      <c r="AA54" s="451"/>
      <c r="AB54" s="451"/>
      <c r="AC54" s="451"/>
      <c r="AD54" s="451"/>
      <c r="AE54" s="451"/>
    </row>
    <row r="55" spans="1:31" s="5" customFormat="1">
      <c r="A55" s="544"/>
      <c r="B55" s="415">
        <f>'1-συμβολαια'!B55</f>
        <v>0</v>
      </c>
      <c r="C55" s="415" t="str">
        <f>'1-συμβολαια'!C55</f>
        <v>ΧΡΗΣΙΚΤΗΣΙΑ αγροτεμαχίου = 1970 συζύγου ΔΩΡΕΑ άτυπη</v>
      </c>
      <c r="D55" s="325">
        <f>'1-συμβολαια'!D55</f>
        <v>5555</v>
      </c>
      <c r="E55" s="413">
        <f>'8-κ-15-17'!D55</f>
        <v>0</v>
      </c>
      <c r="F55" s="413">
        <f>'8-κ-15-17'!M55</f>
        <v>36.107500000000002</v>
      </c>
      <c r="G55" s="413">
        <f>'8-κ-15-17'!V55</f>
        <v>6.9437500000000005</v>
      </c>
      <c r="H55" s="413">
        <f>'2-δικαιώμ'!I55</f>
        <v>6.5694671999999992</v>
      </c>
      <c r="I55" s="413">
        <f>'2-δικαιώμ'!J55</f>
        <v>0.15</v>
      </c>
      <c r="J55" s="413">
        <f>'2-δικαιώμ'!K55</f>
        <v>3.7962040000000004</v>
      </c>
      <c r="K55" s="413">
        <f>'2-δικαιώμ'!L55</f>
        <v>0.75924080000000005</v>
      </c>
      <c r="L55" s="4"/>
      <c r="M55" s="4"/>
      <c r="N55" s="451"/>
      <c r="O55" s="451"/>
      <c r="P55" s="451"/>
      <c r="Q55" s="4"/>
      <c r="R55" s="451"/>
      <c r="S55" s="451"/>
      <c r="T55" s="451"/>
      <c r="U55" s="451"/>
      <c r="V55" s="4"/>
      <c r="W55" s="451">
        <f>'2-δικαιώμ'!I55+'2-δικαιώμ'!J55</f>
        <v>6.7194671999999995</v>
      </c>
      <c r="X55" s="451">
        <f>'2-δικαιώμ'!K55</f>
        <v>3.7962040000000004</v>
      </c>
      <c r="Y55" s="451">
        <f>'2-δικαιώμ'!L55</f>
        <v>0.75924080000000005</v>
      </c>
      <c r="Z55" s="4"/>
      <c r="AA55" s="451"/>
      <c r="AB55" s="451"/>
      <c r="AC55" s="451"/>
      <c r="AD55" s="451"/>
      <c r="AE55" s="451"/>
    </row>
    <row r="56" spans="1:31" s="5" customFormat="1">
      <c r="A56" s="415">
        <f>'1-συμβολαια'!A56</f>
        <v>4631</v>
      </c>
      <c r="B56" s="415">
        <f>'1-συμβολαια'!B56</f>
        <v>28</v>
      </c>
      <c r="C56" s="415" t="str">
        <f>'1-συμβολαια'!C56</f>
        <v>αγοραπωλησίας 4.191 ΕΞΟΦΛΗΣΗ</v>
      </c>
      <c r="D56" s="325">
        <f>'1-συμβολαια'!D56</f>
        <v>0</v>
      </c>
      <c r="E56" s="413">
        <f>'8-κ-15-17'!D56</f>
        <v>0</v>
      </c>
      <c r="F56" s="413">
        <f>'8-κ-15-17'!M56</f>
        <v>0</v>
      </c>
      <c r="G56" s="413">
        <f>'8-κ-15-17'!V56</f>
        <v>0</v>
      </c>
      <c r="H56" s="413">
        <f>'2-δικαιώμ'!I56</f>
        <v>0</v>
      </c>
      <c r="I56" s="413">
        <f>'2-δικαιώμ'!J56</f>
        <v>0.44000000000000006</v>
      </c>
      <c r="J56" s="413">
        <f>'2-δικαιώμ'!K56</f>
        <v>0.03</v>
      </c>
      <c r="K56" s="413">
        <f>'2-δικαιώμ'!L56</f>
        <v>8.8000000000000009E-2</v>
      </c>
      <c r="L56" s="4"/>
      <c r="M56" s="4"/>
      <c r="N56" s="451"/>
      <c r="O56" s="451"/>
      <c r="P56" s="451"/>
      <c r="Q56" s="4"/>
      <c r="R56" s="451"/>
      <c r="S56" s="451"/>
      <c r="T56" s="451"/>
      <c r="U56" s="451"/>
      <c r="V56" s="4"/>
      <c r="W56" s="451">
        <f>'2-δικαιώμ'!I56+'2-δικαιώμ'!J56</f>
        <v>0.44000000000000006</v>
      </c>
      <c r="X56" s="451">
        <f>'2-δικαιώμ'!K56</f>
        <v>0.03</v>
      </c>
      <c r="Y56" s="451">
        <f>'2-δικαιώμ'!L56</f>
        <v>8.8000000000000009E-2</v>
      </c>
      <c r="Z56" s="4"/>
      <c r="AA56" s="451"/>
      <c r="AB56" s="451"/>
      <c r="AC56" s="451"/>
      <c r="AD56" s="451"/>
      <c r="AE56" s="451"/>
    </row>
    <row r="57" spans="1:31" s="5" customFormat="1">
      <c r="A57" s="415"/>
      <c r="B57" s="415"/>
      <c r="C57" s="415"/>
      <c r="D57" s="325"/>
      <c r="E57" s="413"/>
      <c r="F57" s="413"/>
      <c r="G57" s="413"/>
      <c r="H57" s="413"/>
      <c r="I57" s="413"/>
      <c r="J57" s="413"/>
      <c r="K57" s="413"/>
      <c r="L57" s="4"/>
      <c r="M57" s="4"/>
      <c r="N57" s="451"/>
      <c r="O57" s="451"/>
      <c r="P57" s="451"/>
      <c r="Q57" s="4"/>
      <c r="R57" s="451"/>
      <c r="S57" s="451"/>
      <c r="T57" s="451"/>
      <c r="U57" s="451"/>
      <c r="V57" s="4"/>
      <c r="W57" s="451"/>
      <c r="X57" s="451"/>
      <c r="Y57" s="451"/>
      <c r="Z57" s="4"/>
      <c r="AA57" s="451"/>
      <c r="AB57" s="451"/>
      <c r="AC57" s="451"/>
      <c r="AD57" s="451"/>
      <c r="AE57" s="451"/>
    </row>
    <row r="58" spans="1:31" s="5" customFormat="1">
      <c r="A58" s="415"/>
      <c r="B58" s="415"/>
      <c r="C58" s="415"/>
      <c r="D58" s="325"/>
      <c r="E58" s="413"/>
      <c r="F58" s="413"/>
      <c r="G58" s="413"/>
      <c r="H58" s="413"/>
      <c r="I58" s="413"/>
      <c r="J58" s="413"/>
      <c r="K58" s="413"/>
      <c r="L58" s="4"/>
      <c r="M58" s="4"/>
      <c r="N58" s="451"/>
      <c r="O58" s="451"/>
      <c r="P58" s="451"/>
      <c r="Q58" s="4"/>
      <c r="R58" s="451"/>
      <c r="S58" s="451"/>
      <c r="T58" s="451"/>
      <c r="U58" s="451"/>
      <c r="V58" s="4"/>
      <c r="W58" s="451"/>
      <c r="X58" s="451"/>
      <c r="Y58" s="451"/>
      <c r="Z58" s="4"/>
      <c r="AA58" s="451"/>
      <c r="AB58" s="451"/>
      <c r="AC58" s="451"/>
      <c r="AD58" s="451"/>
      <c r="AE58" s="451"/>
    </row>
    <row r="59" spans="1:31">
      <c r="A59" s="734" t="str">
        <f>'1-συμβολαια'!A59</f>
        <v>σύνολο</v>
      </c>
      <c r="B59" s="735"/>
      <c r="C59" s="735"/>
      <c r="D59" s="736"/>
      <c r="E59" s="369">
        <f t="shared" ref="E59:K59" si="0">SUM(E3:E58)</f>
        <v>2.6</v>
      </c>
      <c r="F59" s="369">
        <f t="shared" si="0"/>
        <v>1159.2779900000005</v>
      </c>
      <c r="G59" s="369">
        <f t="shared" si="0"/>
        <v>222.93807499999994</v>
      </c>
      <c r="H59" s="369">
        <f t="shared" si="0"/>
        <v>244.50370559999996</v>
      </c>
      <c r="I59" s="369">
        <f t="shared" si="0"/>
        <v>38.758145999999975</v>
      </c>
      <c r="J59" s="369">
        <f t="shared" si="0"/>
        <v>142.38555000000002</v>
      </c>
      <c r="K59" s="369">
        <f t="shared" si="0"/>
        <v>32.594078400000008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2" spans="1:31">
      <c r="C62" s="111"/>
      <c r="E62" s="2"/>
      <c r="F62" s="2"/>
      <c r="G62" s="2"/>
      <c r="H62" s="2"/>
      <c r="I62" s="2"/>
      <c r="J62" s="2"/>
      <c r="K62" s="2"/>
    </row>
    <row r="63" spans="1:31" ht="15.75">
      <c r="C63" s="248" t="s">
        <v>414</v>
      </c>
      <c r="E63" s="2"/>
      <c r="F63" s="2"/>
      <c r="G63" s="2"/>
      <c r="H63" s="168"/>
      <c r="I63" s="351">
        <v>0.15</v>
      </c>
      <c r="J63" s="352">
        <v>2.93</v>
      </c>
      <c r="K63" s="5" t="s">
        <v>419</v>
      </c>
      <c r="M63" s="353">
        <f>J63-I63</f>
        <v>2.7800000000000002</v>
      </c>
    </row>
    <row r="64" spans="1:31" ht="12.75">
      <c r="C64" s="249" t="s">
        <v>415</v>
      </c>
      <c r="E64" s="2"/>
      <c r="F64" s="2"/>
      <c r="G64" s="2"/>
      <c r="H64" s="2"/>
      <c r="I64" s="196">
        <v>0.44</v>
      </c>
      <c r="J64" s="349">
        <v>0.56000000000000005</v>
      </c>
      <c r="K64" s="3" t="s">
        <v>420</v>
      </c>
      <c r="M64" s="353">
        <f>J64-I64</f>
        <v>0.12000000000000005</v>
      </c>
    </row>
    <row r="65" spans="3:13" ht="15.75">
      <c r="C65" s="265" t="s">
        <v>416</v>
      </c>
      <c r="E65" s="2"/>
      <c r="F65" s="2"/>
      <c r="G65" s="2"/>
      <c r="H65" s="360">
        <v>0.05</v>
      </c>
      <c r="I65" s="8"/>
      <c r="J65" s="4">
        <v>0.73</v>
      </c>
      <c r="K65" s="5" t="s">
        <v>145</v>
      </c>
      <c r="M65" s="5"/>
    </row>
    <row r="66" spans="3:13">
      <c r="C66" s="111"/>
      <c r="E66" s="2"/>
      <c r="F66" s="2"/>
      <c r="G66" s="2"/>
      <c r="H66" s="360">
        <v>0.05</v>
      </c>
      <c r="I66" s="8"/>
      <c r="J66" s="4">
        <v>1.47</v>
      </c>
      <c r="K66" s="3" t="s">
        <v>421</v>
      </c>
    </row>
    <row r="67" spans="3:13">
      <c r="C67" s="111"/>
      <c r="E67" s="2"/>
      <c r="F67" s="2"/>
      <c r="G67" s="2"/>
      <c r="H67" s="360">
        <v>0.05</v>
      </c>
      <c r="I67" s="8"/>
      <c r="J67" s="4">
        <v>3.99</v>
      </c>
      <c r="K67" s="5" t="s">
        <v>422</v>
      </c>
      <c r="L67" s="5"/>
      <c r="M67" s="5"/>
    </row>
    <row r="68" spans="3:13">
      <c r="C68" s="111"/>
      <c r="E68" s="2"/>
      <c r="F68" s="2"/>
      <c r="G68" s="2"/>
      <c r="H68" s="360">
        <v>0.05</v>
      </c>
      <c r="I68" s="8"/>
      <c r="J68" s="4"/>
      <c r="K68" s="5" t="s">
        <v>505</v>
      </c>
      <c r="L68" s="5"/>
      <c r="M68" s="5"/>
    </row>
    <row r="69" spans="3:13">
      <c r="C69" s="111"/>
      <c r="E69" s="2"/>
      <c r="F69" s="2"/>
      <c r="G69" s="2"/>
      <c r="H69" s="360">
        <v>0.05</v>
      </c>
      <c r="I69" s="8"/>
      <c r="J69" s="4"/>
      <c r="K69" s="5" t="s">
        <v>506</v>
      </c>
      <c r="L69" s="5"/>
      <c r="M69" s="5"/>
    </row>
    <row r="70" spans="3:13">
      <c r="C70" s="111"/>
      <c r="E70" s="2"/>
      <c r="F70" s="2"/>
      <c r="G70" s="2"/>
      <c r="H70" s="360"/>
      <c r="I70" s="8"/>
      <c r="J70" s="4"/>
      <c r="K70" s="5"/>
      <c r="L70" s="5"/>
      <c r="M70" s="5"/>
    </row>
    <row r="71" spans="3:13">
      <c r="C71" s="111"/>
      <c r="E71" s="2"/>
      <c r="F71" s="2"/>
      <c r="G71" s="2"/>
      <c r="H71" s="2"/>
      <c r="I71" s="5" t="s">
        <v>507</v>
      </c>
      <c r="J71" s="5"/>
      <c r="K71" s="5" t="s">
        <v>145</v>
      </c>
      <c r="L71" s="5"/>
      <c r="M71" s="5"/>
    </row>
    <row r="72" spans="3:13">
      <c r="H72" s="2"/>
      <c r="I72" s="5" t="s">
        <v>508</v>
      </c>
      <c r="J72" s="5"/>
      <c r="K72" s="5" t="s">
        <v>146</v>
      </c>
      <c r="L72" s="5"/>
      <c r="M72" s="5"/>
    </row>
    <row r="73" spans="3:13">
      <c r="H73" s="2"/>
      <c r="I73" s="5" t="s">
        <v>509</v>
      </c>
      <c r="J73" s="5"/>
      <c r="K73" s="5" t="s">
        <v>147</v>
      </c>
      <c r="L73" s="5"/>
      <c r="M73" s="5"/>
    </row>
    <row r="74" spans="3:13" ht="15">
      <c r="H74" s="2"/>
      <c r="I74" s="4">
        <v>2.2000000000000002</v>
      </c>
      <c r="J74" s="365"/>
      <c r="K74" s="5" t="s">
        <v>423</v>
      </c>
      <c r="L74" s="5"/>
      <c r="M74" s="5"/>
    </row>
    <row r="75" spans="3:13" ht="15">
      <c r="H75" s="2"/>
      <c r="I75" s="2">
        <v>2.93</v>
      </c>
      <c r="J75" s="366"/>
      <c r="K75" s="3" t="s">
        <v>424</v>
      </c>
      <c r="L75" s="5"/>
      <c r="M75" s="5"/>
    </row>
  </sheetData>
  <mergeCells count="14">
    <mergeCell ref="AA1:AE1"/>
    <mergeCell ref="A59:D59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85"/>
  <sheetViews>
    <sheetView workbookViewId="0">
      <pane ySplit="2" topLeftCell="A40" activePane="bottomLeft" state="frozen"/>
      <selection pane="bottomLeft" activeCell="B65" sqref="B65:B66"/>
    </sheetView>
  </sheetViews>
  <sheetFormatPr defaultRowHeight="15"/>
  <cols>
    <col min="1" max="1" width="11.5703125" style="128" bestFit="1" customWidth="1"/>
    <col min="2" max="2" width="51.28515625" style="129" customWidth="1"/>
    <col min="3" max="3" width="13.5703125" style="130" bestFit="1" customWidth="1"/>
    <col min="4" max="4" width="10.28515625" style="130" bestFit="1" customWidth="1"/>
    <col min="5" max="5" width="13.5703125" style="130" bestFit="1" customWidth="1"/>
    <col min="6" max="6" width="13.5703125" style="130" customWidth="1"/>
    <col min="7" max="7" width="7.85546875" style="127" customWidth="1"/>
    <col min="8" max="8" width="10" style="127" customWidth="1"/>
    <col min="9" max="9" width="12.42578125" style="127" customWidth="1"/>
    <col min="10" max="10" width="30.85546875" style="127" customWidth="1"/>
    <col min="11" max="208" width="9.140625" style="123"/>
    <col min="209" max="209" width="9" style="123" bestFit="1" customWidth="1"/>
    <col min="210" max="210" width="9.85546875" style="123" bestFit="1" customWidth="1"/>
    <col min="211" max="211" width="9.140625" style="123" bestFit="1" customWidth="1"/>
    <col min="212" max="212" width="16" style="123" bestFit="1" customWidth="1"/>
    <col min="213" max="213" width="9" style="123" bestFit="1" customWidth="1"/>
    <col min="214" max="214" width="7.85546875" style="123" bestFit="1" customWidth="1"/>
    <col min="215" max="215" width="11.7109375" style="123" bestFit="1" customWidth="1"/>
    <col min="216" max="216" width="14.28515625" style="123" customWidth="1"/>
    <col min="217" max="217" width="11.7109375" style="123" bestFit="1" customWidth="1"/>
    <col min="218" max="218" width="14.140625" style="123" bestFit="1" customWidth="1"/>
    <col min="219" max="219" width="16.7109375" style="123" customWidth="1"/>
    <col min="220" max="220" width="16.5703125" style="123" customWidth="1"/>
    <col min="221" max="222" width="7.85546875" style="123" bestFit="1" customWidth="1"/>
    <col min="223" max="223" width="8" style="123" bestFit="1" customWidth="1"/>
    <col min="224" max="225" width="7.85546875" style="123" bestFit="1" customWidth="1"/>
    <col min="226" max="226" width="9.7109375" style="123" customWidth="1"/>
    <col min="227" max="227" width="12.85546875" style="123" customWidth="1"/>
    <col min="228" max="464" width="9.140625" style="123"/>
    <col min="465" max="465" width="9" style="123" bestFit="1" customWidth="1"/>
    <col min="466" max="466" width="9.85546875" style="123" bestFit="1" customWidth="1"/>
    <col min="467" max="467" width="9.140625" style="123" bestFit="1" customWidth="1"/>
    <col min="468" max="468" width="16" style="123" bestFit="1" customWidth="1"/>
    <col min="469" max="469" width="9" style="123" bestFit="1" customWidth="1"/>
    <col min="470" max="470" width="7.85546875" style="123" bestFit="1" customWidth="1"/>
    <col min="471" max="471" width="11.7109375" style="123" bestFit="1" customWidth="1"/>
    <col min="472" max="472" width="14.28515625" style="123" customWidth="1"/>
    <col min="473" max="473" width="11.7109375" style="123" bestFit="1" customWidth="1"/>
    <col min="474" max="474" width="14.140625" style="123" bestFit="1" customWidth="1"/>
    <col min="475" max="475" width="16.7109375" style="123" customWidth="1"/>
    <col min="476" max="476" width="16.5703125" style="123" customWidth="1"/>
    <col min="477" max="478" width="7.85546875" style="123" bestFit="1" customWidth="1"/>
    <col min="479" max="479" width="8" style="123" bestFit="1" customWidth="1"/>
    <col min="480" max="481" width="7.85546875" style="123" bestFit="1" customWidth="1"/>
    <col min="482" max="482" width="9.7109375" style="123" customWidth="1"/>
    <col min="483" max="483" width="12.85546875" style="123" customWidth="1"/>
    <col min="484" max="720" width="9.140625" style="123"/>
    <col min="721" max="721" width="9" style="123" bestFit="1" customWidth="1"/>
    <col min="722" max="722" width="9.85546875" style="123" bestFit="1" customWidth="1"/>
    <col min="723" max="723" width="9.140625" style="123" bestFit="1" customWidth="1"/>
    <col min="724" max="724" width="16" style="123" bestFit="1" customWidth="1"/>
    <col min="725" max="725" width="9" style="123" bestFit="1" customWidth="1"/>
    <col min="726" max="726" width="7.85546875" style="123" bestFit="1" customWidth="1"/>
    <col min="727" max="727" width="11.7109375" style="123" bestFit="1" customWidth="1"/>
    <col min="728" max="728" width="14.28515625" style="123" customWidth="1"/>
    <col min="729" max="729" width="11.7109375" style="123" bestFit="1" customWidth="1"/>
    <col min="730" max="730" width="14.140625" style="123" bestFit="1" customWidth="1"/>
    <col min="731" max="731" width="16.7109375" style="123" customWidth="1"/>
    <col min="732" max="732" width="16.5703125" style="123" customWidth="1"/>
    <col min="733" max="734" width="7.85546875" style="123" bestFit="1" customWidth="1"/>
    <col min="735" max="735" width="8" style="123" bestFit="1" customWidth="1"/>
    <col min="736" max="737" width="7.85546875" style="123" bestFit="1" customWidth="1"/>
    <col min="738" max="738" width="9.7109375" style="123" customWidth="1"/>
    <col min="739" max="739" width="12.85546875" style="123" customWidth="1"/>
    <col min="740" max="976" width="9.140625" style="123"/>
    <col min="977" max="977" width="9" style="123" bestFit="1" customWidth="1"/>
    <col min="978" max="978" width="9.85546875" style="123" bestFit="1" customWidth="1"/>
    <col min="979" max="979" width="9.140625" style="123" bestFit="1" customWidth="1"/>
    <col min="980" max="980" width="16" style="123" bestFit="1" customWidth="1"/>
    <col min="981" max="981" width="9" style="123" bestFit="1" customWidth="1"/>
    <col min="982" max="982" width="7.85546875" style="123" bestFit="1" customWidth="1"/>
    <col min="983" max="983" width="11.7109375" style="123" bestFit="1" customWidth="1"/>
    <col min="984" max="984" width="14.28515625" style="123" customWidth="1"/>
    <col min="985" max="985" width="11.7109375" style="123" bestFit="1" customWidth="1"/>
    <col min="986" max="986" width="14.140625" style="123" bestFit="1" customWidth="1"/>
    <col min="987" max="987" width="16.7109375" style="123" customWidth="1"/>
    <col min="988" max="988" width="16.5703125" style="123" customWidth="1"/>
    <col min="989" max="990" width="7.85546875" style="123" bestFit="1" customWidth="1"/>
    <col min="991" max="991" width="8" style="123" bestFit="1" customWidth="1"/>
    <col min="992" max="993" width="7.85546875" style="123" bestFit="1" customWidth="1"/>
    <col min="994" max="994" width="9.7109375" style="123" customWidth="1"/>
    <col min="995" max="995" width="12.85546875" style="123" customWidth="1"/>
    <col min="996" max="1232" width="9.140625" style="123"/>
    <col min="1233" max="1233" width="9" style="123" bestFit="1" customWidth="1"/>
    <col min="1234" max="1234" width="9.85546875" style="123" bestFit="1" customWidth="1"/>
    <col min="1235" max="1235" width="9.140625" style="123" bestFit="1" customWidth="1"/>
    <col min="1236" max="1236" width="16" style="123" bestFit="1" customWidth="1"/>
    <col min="1237" max="1237" width="9" style="123" bestFit="1" customWidth="1"/>
    <col min="1238" max="1238" width="7.85546875" style="123" bestFit="1" customWidth="1"/>
    <col min="1239" max="1239" width="11.7109375" style="123" bestFit="1" customWidth="1"/>
    <col min="1240" max="1240" width="14.28515625" style="123" customWidth="1"/>
    <col min="1241" max="1241" width="11.7109375" style="123" bestFit="1" customWidth="1"/>
    <col min="1242" max="1242" width="14.140625" style="123" bestFit="1" customWidth="1"/>
    <col min="1243" max="1243" width="16.7109375" style="123" customWidth="1"/>
    <col min="1244" max="1244" width="16.5703125" style="123" customWidth="1"/>
    <col min="1245" max="1246" width="7.85546875" style="123" bestFit="1" customWidth="1"/>
    <col min="1247" max="1247" width="8" style="123" bestFit="1" customWidth="1"/>
    <col min="1248" max="1249" width="7.85546875" style="123" bestFit="1" customWidth="1"/>
    <col min="1250" max="1250" width="9.7109375" style="123" customWidth="1"/>
    <col min="1251" max="1251" width="12.85546875" style="123" customWidth="1"/>
    <col min="1252" max="1488" width="9.140625" style="123"/>
    <col min="1489" max="1489" width="9" style="123" bestFit="1" customWidth="1"/>
    <col min="1490" max="1490" width="9.85546875" style="123" bestFit="1" customWidth="1"/>
    <col min="1491" max="1491" width="9.140625" style="123" bestFit="1" customWidth="1"/>
    <col min="1492" max="1492" width="16" style="123" bestFit="1" customWidth="1"/>
    <col min="1493" max="1493" width="9" style="123" bestFit="1" customWidth="1"/>
    <col min="1494" max="1494" width="7.85546875" style="123" bestFit="1" customWidth="1"/>
    <col min="1495" max="1495" width="11.7109375" style="123" bestFit="1" customWidth="1"/>
    <col min="1496" max="1496" width="14.28515625" style="123" customWidth="1"/>
    <col min="1497" max="1497" width="11.7109375" style="123" bestFit="1" customWidth="1"/>
    <col min="1498" max="1498" width="14.140625" style="123" bestFit="1" customWidth="1"/>
    <col min="1499" max="1499" width="16.7109375" style="123" customWidth="1"/>
    <col min="1500" max="1500" width="16.5703125" style="123" customWidth="1"/>
    <col min="1501" max="1502" width="7.85546875" style="123" bestFit="1" customWidth="1"/>
    <col min="1503" max="1503" width="8" style="123" bestFit="1" customWidth="1"/>
    <col min="1504" max="1505" width="7.85546875" style="123" bestFit="1" customWidth="1"/>
    <col min="1506" max="1506" width="9.7109375" style="123" customWidth="1"/>
    <col min="1507" max="1507" width="12.85546875" style="123" customWidth="1"/>
    <col min="1508" max="1744" width="9.140625" style="123"/>
    <col min="1745" max="1745" width="9" style="123" bestFit="1" customWidth="1"/>
    <col min="1746" max="1746" width="9.85546875" style="123" bestFit="1" customWidth="1"/>
    <col min="1747" max="1747" width="9.140625" style="123" bestFit="1" customWidth="1"/>
    <col min="1748" max="1748" width="16" style="123" bestFit="1" customWidth="1"/>
    <col min="1749" max="1749" width="9" style="123" bestFit="1" customWidth="1"/>
    <col min="1750" max="1750" width="7.85546875" style="123" bestFit="1" customWidth="1"/>
    <col min="1751" max="1751" width="11.7109375" style="123" bestFit="1" customWidth="1"/>
    <col min="1752" max="1752" width="14.28515625" style="123" customWidth="1"/>
    <col min="1753" max="1753" width="11.7109375" style="123" bestFit="1" customWidth="1"/>
    <col min="1754" max="1754" width="14.140625" style="123" bestFit="1" customWidth="1"/>
    <col min="1755" max="1755" width="16.7109375" style="123" customWidth="1"/>
    <col min="1756" max="1756" width="16.5703125" style="123" customWidth="1"/>
    <col min="1757" max="1758" width="7.85546875" style="123" bestFit="1" customWidth="1"/>
    <col min="1759" max="1759" width="8" style="123" bestFit="1" customWidth="1"/>
    <col min="1760" max="1761" width="7.85546875" style="123" bestFit="1" customWidth="1"/>
    <col min="1762" max="1762" width="9.7109375" style="123" customWidth="1"/>
    <col min="1763" max="1763" width="12.85546875" style="123" customWidth="1"/>
    <col min="1764" max="2000" width="9.140625" style="123"/>
    <col min="2001" max="2001" width="9" style="123" bestFit="1" customWidth="1"/>
    <col min="2002" max="2002" width="9.85546875" style="123" bestFit="1" customWidth="1"/>
    <col min="2003" max="2003" width="9.140625" style="123" bestFit="1" customWidth="1"/>
    <col min="2004" max="2004" width="16" style="123" bestFit="1" customWidth="1"/>
    <col min="2005" max="2005" width="9" style="123" bestFit="1" customWidth="1"/>
    <col min="2006" max="2006" width="7.85546875" style="123" bestFit="1" customWidth="1"/>
    <col min="2007" max="2007" width="11.7109375" style="123" bestFit="1" customWidth="1"/>
    <col min="2008" max="2008" width="14.28515625" style="123" customWidth="1"/>
    <col min="2009" max="2009" width="11.7109375" style="123" bestFit="1" customWidth="1"/>
    <col min="2010" max="2010" width="14.140625" style="123" bestFit="1" customWidth="1"/>
    <col min="2011" max="2011" width="16.7109375" style="123" customWidth="1"/>
    <col min="2012" max="2012" width="16.5703125" style="123" customWidth="1"/>
    <col min="2013" max="2014" width="7.85546875" style="123" bestFit="1" customWidth="1"/>
    <col min="2015" max="2015" width="8" style="123" bestFit="1" customWidth="1"/>
    <col min="2016" max="2017" width="7.85546875" style="123" bestFit="1" customWidth="1"/>
    <col min="2018" max="2018" width="9.7109375" style="123" customWidth="1"/>
    <col min="2019" max="2019" width="12.85546875" style="123" customWidth="1"/>
    <col min="2020" max="2256" width="9.140625" style="123"/>
    <col min="2257" max="2257" width="9" style="123" bestFit="1" customWidth="1"/>
    <col min="2258" max="2258" width="9.85546875" style="123" bestFit="1" customWidth="1"/>
    <col min="2259" max="2259" width="9.140625" style="123" bestFit="1" customWidth="1"/>
    <col min="2260" max="2260" width="16" style="123" bestFit="1" customWidth="1"/>
    <col min="2261" max="2261" width="9" style="123" bestFit="1" customWidth="1"/>
    <col min="2262" max="2262" width="7.85546875" style="123" bestFit="1" customWidth="1"/>
    <col min="2263" max="2263" width="11.7109375" style="123" bestFit="1" customWidth="1"/>
    <col min="2264" max="2264" width="14.28515625" style="123" customWidth="1"/>
    <col min="2265" max="2265" width="11.7109375" style="123" bestFit="1" customWidth="1"/>
    <col min="2266" max="2266" width="14.140625" style="123" bestFit="1" customWidth="1"/>
    <col min="2267" max="2267" width="16.7109375" style="123" customWidth="1"/>
    <col min="2268" max="2268" width="16.5703125" style="123" customWidth="1"/>
    <col min="2269" max="2270" width="7.85546875" style="123" bestFit="1" customWidth="1"/>
    <col min="2271" max="2271" width="8" style="123" bestFit="1" customWidth="1"/>
    <col min="2272" max="2273" width="7.85546875" style="123" bestFit="1" customWidth="1"/>
    <col min="2274" max="2274" width="9.7109375" style="123" customWidth="1"/>
    <col min="2275" max="2275" width="12.85546875" style="123" customWidth="1"/>
    <col min="2276" max="2512" width="9.140625" style="123"/>
    <col min="2513" max="2513" width="9" style="123" bestFit="1" customWidth="1"/>
    <col min="2514" max="2514" width="9.85546875" style="123" bestFit="1" customWidth="1"/>
    <col min="2515" max="2515" width="9.140625" style="123" bestFit="1" customWidth="1"/>
    <col min="2516" max="2516" width="16" style="123" bestFit="1" customWidth="1"/>
    <col min="2517" max="2517" width="9" style="123" bestFit="1" customWidth="1"/>
    <col min="2518" max="2518" width="7.85546875" style="123" bestFit="1" customWidth="1"/>
    <col min="2519" max="2519" width="11.7109375" style="123" bestFit="1" customWidth="1"/>
    <col min="2520" max="2520" width="14.28515625" style="123" customWidth="1"/>
    <col min="2521" max="2521" width="11.7109375" style="123" bestFit="1" customWidth="1"/>
    <col min="2522" max="2522" width="14.140625" style="123" bestFit="1" customWidth="1"/>
    <col min="2523" max="2523" width="16.7109375" style="123" customWidth="1"/>
    <col min="2524" max="2524" width="16.5703125" style="123" customWidth="1"/>
    <col min="2525" max="2526" width="7.85546875" style="123" bestFit="1" customWidth="1"/>
    <col min="2527" max="2527" width="8" style="123" bestFit="1" customWidth="1"/>
    <col min="2528" max="2529" width="7.85546875" style="123" bestFit="1" customWidth="1"/>
    <col min="2530" max="2530" width="9.7109375" style="123" customWidth="1"/>
    <col min="2531" max="2531" width="12.85546875" style="123" customWidth="1"/>
    <col min="2532" max="2768" width="9.140625" style="123"/>
    <col min="2769" max="2769" width="9" style="123" bestFit="1" customWidth="1"/>
    <col min="2770" max="2770" width="9.85546875" style="123" bestFit="1" customWidth="1"/>
    <col min="2771" max="2771" width="9.140625" style="123" bestFit="1" customWidth="1"/>
    <col min="2772" max="2772" width="16" style="123" bestFit="1" customWidth="1"/>
    <col min="2773" max="2773" width="9" style="123" bestFit="1" customWidth="1"/>
    <col min="2774" max="2774" width="7.85546875" style="123" bestFit="1" customWidth="1"/>
    <col min="2775" max="2775" width="11.7109375" style="123" bestFit="1" customWidth="1"/>
    <col min="2776" max="2776" width="14.28515625" style="123" customWidth="1"/>
    <col min="2777" max="2777" width="11.7109375" style="123" bestFit="1" customWidth="1"/>
    <col min="2778" max="2778" width="14.140625" style="123" bestFit="1" customWidth="1"/>
    <col min="2779" max="2779" width="16.7109375" style="123" customWidth="1"/>
    <col min="2780" max="2780" width="16.5703125" style="123" customWidth="1"/>
    <col min="2781" max="2782" width="7.85546875" style="123" bestFit="1" customWidth="1"/>
    <col min="2783" max="2783" width="8" style="123" bestFit="1" customWidth="1"/>
    <col min="2784" max="2785" width="7.85546875" style="123" bestFit="1" customWidth="1"/>
    <col min="2786" max="2786" width="9.7109375" style="123" customWidth="1"/>
    <col min="2787" max="2787" width="12.85546875" style="123" customWidth="1"/>
    <col min="2788" max="3024" width="9.140625" style="123"/>
    <col min="3025" max="3025" width="9" style="123" bestFit="1" customWidth="1"/>
    <col min="3026" max="3026" width="9.85546875" style="123" bestFit="1" customWidth="1"/>
    <col min="3027" max="3027" width="9.140625" style="123" bestFit="1" customWidth="1"/>
    <col min="3028" max="3028" width="16" style="123" bestFit="1" customWidth="1"/>
    <col min="3029" max="3029" width="9" style="123" bestFit="1" customWidth="1"/>
    <col min="3030" max="3030" width="7.85546875" style="123" bestFit="1" customWidth="1"/>
    <col min="3031" max="3031" width="11.7109375" style="123" bestFit="1" customWidth="1"/>
    <col min="3032" max="3032" width="14.28515625" style="123" customWidth="1"/>
    <col min="3033" max="3033" width="11.7109375" style="123" bestFit="1" customWidth="1"/>
    <col min="3034" max="3034" width="14.140625" style="123" bestFit="1" customWidth="1"/>
    <col min="3035" max="3035" width="16.7109375" style="123" customWidth="1"/>
    <col min="3036" max="3036" width="16.5703125" style="123" customWidth="1"/>
    <col min="3037" max="3038" width="7.85546875" style="123" bestFit="1" customWidth="1"/>
    <col min="3039" max="3039" width="8" style="123" bestFit="1" customWidth="1"/>
    <col min="3040" max="3041" width="7.85546875" style="123" bestFit="1" customWidth="1"/>
    <col min="3042" max="3042" width="9.7109375" style="123" customWidth="1"/>
    <col min="3043" max="3043" width="12.85546875" style="123" customWidth="1"/>
    <col min="3044" max="3280" width="9.140625" style="123"/>
    <col min="3281" max="3281" width="9" style="123" bestFit="1" customWidth="1"/>
    <col min="3282" max="3282" width="9.85546875" style="123" bestFit="1" customWidth="1"/>
    <col min="3283" max="3283" width="9.140625" style="123" bestFit="1" customWidth="1"/>
    <col min="3284" max="3284" width="16" style="123" bestFit="1" customWidth="1"/>
    <col min="3285" max="3285" width="9" style="123" bestFit="1" customWidth="1"/>
    <col min="3286" max="3286" width="7.85546875" style="123" bestFit="1" customWidth="1"/>
    <col min="3287" max="3287" width="11.7109375" style="123" bestFit="1" customWidth="1"/>
    <col min="3288" max="3288" width="14.28515625" style="123" customWidth="1"/>
    <col min="3289" max="3289" width="11.7109375" style="123" bestFit="1" customWidth="1"/>
    <col min="3290" max="3290" width="14.140625" style="123" bestFit="1" customWidth="1"/>
    <col min="3291" max="3291" width="16.7109375" style="123" customWidth="1"/>
    <col min="3292" max="3292" width="16.5703125" style="123" customWidth="1"/>
    <col min="3293" max="3294" width="7.85546875" style="123" bestFit="1" customWidth="1"/>
    <col min="3295" max="3295" width="8" style="123" bestFit="1" customWidth="1"/>
    <col min="3296" max="3297" width="7.85546875" style="123" bestFit="1" customWidth="1"/>
    <col min="3298" max="3298" width="9.7109375" style="123" customWidth="1"/>
    <col min="3299" max="3299" width="12.85546875" style="123" customWidth="1"/>
    <col min="3300" max="3536" width="9.140625" style="123"/>
    <col min="3537" max="3537" width="9" style="123" bestFit="1" customWidth="1"/>
    <col min="3538" max="3538" width="9.85546875" style="123" bestFit="1" customWidth="1"/>
    <col min="3539" max="3539" width="9.140625" style="123" bestFit="1" customWidth="1"/>
    <col min="3540" max="3540" width="16" style="123" bestFit="1" customWidth="1"/>
    <col min="3541" max="3541" width="9" style="123" bestFit="1" customWidth="1"/>
    <col min="3542" max="3542" width="7.85546875" style="123" bestFit="1" customWidth="1"/>
    <col min="3543" max="3543" width="11.7109375" style="123" bestFit="1" customWidth="1"/>
    <col min="3544" max="3544" width="14.28515625" style="123" customWidth="1"/>
    <col min="3545" max="3545" width="11.7109375" style="123" bestFit="1" customWidth="1"/>
    <col min="3546" max="3546" width="14.140625" style="123" bestFit="1" customWidth="1"/>
    <col min="3547" max="3547" width="16.7109375" style="123" customWidth="1"/>
    <col min="3548" max="3548" width="16.5703125" style="123" customWidth="1"/>
    <col min="3549" max="3550" width="7.85546875" style="123" bestFit="1" customWidth="1"/>
    <col min="3551" max="3551" width="8" style="123" bestFit="1" customWidth="1"/>
    <col min="3552" max="3553" width="7.85546875" style="123" bestFit="1" customWidth="1"/>
    <col min="3554" max="3554" width="9.7109375" style="123" customWidth="1"/>
    <col min="3555" max="3555" width="12.85546875" style="123" customWidth="1"/>
    <col min="3556" max="3792" width="9.140625" style="123"/>
    <col min="3793" max="3793" width="9" style="123" bestFit="1" customWidth="1"/>
    <col min="3794" max="3794" width="9.85546875" style="123" bestFit="1" customWidth="1"/>
    <col min="3795" max="3795" width="9.140625" style="123" bestFit="1" customWidth="1"/>
    <col min="3796" max="3796" width="16" style="123" bestFit="1" customWidth="1"/>
    <col min="3797" max="3797" width="9" style="123" bestFit="1" customWidth="1"/>
    <col min="3798" max="3798" width="7.85546875" style="123" bestFit="1" customWidth="1"/>
    <col min="3799" max="3799" width="11.7109375" style="123" bestFit="1" customWidth="1"/>
    <col min="3800" max="3800" width="14.28515625" style="123" customWidth="1"/>
    <col min="3801" max="3801" width="11.7109375" style="123" bestFit="1" customWidth="1"/>
    <col min="3802" max="3802" width="14.140625" style="123" bestFit="1" customWidth="1"/>
    <col min="3803" max="3803" width="16.7109375" style="123" customWidth="1"/>
    <col min="3804" max="3804" width="16.5703125" style="123" customWidth="1"/>
    <col min="3805" max="3806" width="7.85546875" style="123" bestFit="1" customWidth="1"/>
    <col min="3807" max="3807" width="8" style="123" bestFit="1" customWidth="1"/>
    <col min="3808" max="3809" width="7.85546875" style="123" bestFit="1" customWidth="1"/>
    <col min="3810" max="3810" width="9.7109375" style="123" customWidth="1"/>
    <col min="3811" max="3811" width="12.85546875" style="123" customWidth="1"/>
    <col min="3812" max="4048" width="9.140625" style="123"/>
    <col min="4049" max="4049" width="9" style="123" bestFit="1" customWidth="1"/>
    <col min="4050" max="4050" width="9.85546875" style="123" bestFit="1" customWidth="1"/>
    <col min="4051" max="4051" width="9.140625" style="123" bestFit="1" customWidth="1"/>
    <col min="4052" max="4052" width="16" style="123" bestFit="1" customWidth="1"/>
    <col min="4053" max="4053" width="9" style="123" bestFit="1" customWidth="1"/>
    <col min="4054" max="4054" width="7.85546875" style="123" bestFit="1" customWidth="1"/>
    <col min="4055" max="4055" width="11.7109375" style="123" bestFit="1" customWidth="1"/>
    <col min="4056" max="4056" width="14.28515625" style="123" customWidth="1"/>
    <col min="4057" max="4057" width="11.7109375" style="123" bestFit="1" customWidth="1"/>
    <col min="4058" max="4058" width="14.140625" style="123" bestFit="1" customWidth="1"/>
    <col min="4059" max="4059" width="16.7109375" style="123" customWidth="1"/>
    <col min="4060" max="4060" width="16.5703125" style="123" customWidth="1"/>
    <col min="4061" max="4062" width="7.85546875" style="123" bestFit="1" customWidth="1"/>
    <col min="4063" max="4063" width="8" style="123" bestFit="1" customWidth="1"/>
    <col min="4064" max="4065" width="7.85546875" style="123" bestFit="1" customWidth="1"/>
    <col min="4066" max="4066" width="9.7109375" style="123" customWidth="1"/>
    <col min="4067" max="4067" width="12.85546875" style="123" customWidth="1"/>
    <col min="4068" max="4304" width="9.140625" style="123"/>
    <col min="4305" max="4305" width="9" style="123" bestFit="1" customWidth="1"/>
    <col min="4306" max="4306" width="9.85546875" style="123" bestFit="1" customWidth="1"/>
    <col min="4307" max="4307" width="9.140625" style="123" bestFit="1" customWidth="1"/>
    <col min="4308" max="4308" width="16" style="123" bestFit="1" customWidth="1"/>
    <col min="4309" max="4309" width="9" style="123" bestFit="1" customWidth="1"/>
    <col min="4310" max="4310" width="7.85546875" style="123" bestFit="1" customWidth="1"/>
    <col min="4311" max="4311" width="11.7109375" style="123" bestFit="1" customWidth="1"/>
    <col min="4312" max="4312" width="14.28515625" style="123" customWidth="1"/>
    <col min="4313" max="4313" width="11.7109375" style="123" bestFit="1" customWidth="1"/>
    <col min="4314" max="4314" width="14.140625" style="123" bestFit="1" customWidth="1"/>
    <col min="4315" max="4315" width="16.7109375" style="123" customWidth="1"/>
    <col min="4316" max="4316" width="16.5703125" style="123" customWidth="1"/>
    <col min="4317" max="4318" width="7.85546875" style="123" bestFit="1" customWidth="1"/>
    <col min="4319" max="4319" width="8" style="123" bestFit="1" customWidth="1"/>
    <col min="4320" max="4321" width="7.85546875" style="123" bestFit="1" customWidth="1"/>
    <col min="4322" max="4322" width="9.7109375" style="123" customWidth="1"/>
    <col min="4323" max="4323" width="12.85546875" style="123" customWidth="1"/>
    <col min="4324" max="4560" width="9.140625" style="123"/>
    <col min="4561" max="4561" width="9" style="123" bestFit="1" customWidth="1"/>
    <col min="4562" max="4562" width="9.85546875" style="123" bestFit="1" customWidth="1"/>
    <col min="4563" max="4563" width="9.140625" style="123" bestFit="1" customWidth="1"/>
    <col min="4564" max="4564" width="16" style="123" bestFit="1" customWidth="1"/>
    <col min="4565" max="4565" width="9" style="123" bestFit="1" customWidth="1"/>
    <col min="4566" max="4566" width="7.85546875" style="123" bestFit="1" customWidth="1"/>
    <col min="4567" max="4567" width="11.7109375" style="123" bestFit="1" customWidth="1"/>
    <col min="4568" max="4568" width="14.28515625" style="123" customWidth="1"/>
    <col min="4569" max="4569" width="11.7109375" style="123" bestFit="1" customWidth="1"/>
    <col min="4570" max="4570" width="14.140625" style="123" bestFit="1" customWidth="1"/>
    <col min="4571" max="4571" width="16.7109375" style="123" customWidth="1"/>
    <col min="4572" max="4572" width="16.5703125" style="123" customWidth="1"/>
    <col min="4573" max="4574" width="7.85546875" style="123" bestFit="1" customWidth="1"/>
    <col min="4575" max="4575" width="8" style="123" bestFit="1" customWidth="1"/>
    <col min="4576" max="4577" width="7.85546875" style="123" bestFit="1" customWidth="1"/>
    <col min="4578" max="4578" width="9.7109375" style="123" customWidth="1"/>
    <col min="4579" max="4579" width="12.85546875" style="123" customWidth="1"/>
    <col min="4580" max="4816" width="9.140625" style="123"/>
    <col min="4817" max="4817" width="9" style="123" bestFit="1" customWidth="1"/>
    <col min="4818" max="4818" width="9.85546875" style="123" bestFit="1" customWidth="1"/>
    <col min="4819" max="4819" width="9.140625" style="123" bestFit="1" customWidth="1"/>
    <col min="4820" max="4820" width="16" style="123" bestFit="1" customWidth="1"/>
    <col min="4821" max="4821" width="9" style="123" bestFit="1" customWidth="1"/>
    <col min="4822" max="4822" width="7.85546875" style="123" bestFit="1" customWidth="1"/>
    <col min="4823" max="4823" width="11.7109375" style="123" bestFit="1" customWidth="1"/>
    <col min="4824" max="4824" width="14.28515625" style="123" customWidth="1"/>
    <col min="4825" max="4825" width="11.7109375" style="123" bestFit="1" customWidth="1"/>
    <col min="4826" max="4826" width="14.140625" style="123" bestFit="1" customWidth="1"/>
    <col min="4827" max="4827" width="16.7109375" style="123" customWidth="1"/>
    <col min="4828" max="4828" width="16.5703125" style="123" customWidth="1"/>
    <col min="4829" max="4830" width="7.85546875" style="123" bestFit="1" customWidth="1"/>
    <col min="4831" max="4831" width="8" style="123" bestFit="1" customWidth="1"/>
    <col min="4832" max="4833" width="7.85546875" style="123" bestFit="1" customWidth="1"/>
    <col min="4834" max="4834" width="9.7109375" style="123" customWidth="1"/>
    <col min="4835" max="4835" width="12.85546875" style="123" customWidth="1"/>
    <col min="4836" max="5072" width="9.140625" style="123"/>
    <col min="5073" max="5073" width="9" style="123" bestFit="1" customWidth="1"/>
    <col min="5074" max="5074" width="9.85546875" style="123" bestFit="1" customWidth="1"/>
    <col min="5075" max="5075" width="9.140625" style="123" bestFit="1" customWidth="1"/>
    <col min="5076" max="5076" width="16" style="123" bestFit="1" customWidth="1"/>
    <col min="5077" max="5077" width="9" style="123" bestFit="1" customWidth="1"/>
    <col min="5078" max="5078" width="7.85546875" style="123" bestFit="1" customWidth="1"/>
    <col min="5079" max="5079" width="11.7109375" style="123" bestFit="1" customWidth="1"/>
    <col min="5080" max="5080" width="14.28515625" style="123" customWidth="1"/>
    <col min="5081" max="5081" width="11.7109375" style="123" bestFit="1" customWidth="1"/>
    <col min="5082" max="5082" width="14.140625" style="123" bestFit="1" customWidth="1"/>
    <col min="5083" max="5083" width="16.7109375" style="123" customWidth="1"/>
    <col min="5084" max="5084" width="16.5703125" style="123" customWidth="1"/>
    <col min="5085" max="5086" width="7.85546875" style="123" bestFit="1" customWidth="1"/>
    <col min="5087" max="5087" width="8" style="123" bestFit="1" customWidth="1"/>
    <col min="5088" max="5089" width="7.85546875" style="123" bestFit="1" customWidth="1"/>
    <col min="5090" max="5090" width="9.7109375" style="123" customWidth="1"/>
    <col min="5091" max="5091" width="12.85546875" style="123" customWidth="1"/>
    <col min="5092" max="5328" width="9.140625" style="123"/>
    <col min="5329" max="5329" width="9" style="123" bestFit="1" customWidth="1"/>
    <col min="5330" max="5330" width="9.85546875" style="123" bestFit="1" customWidth="1"/>
    <col min="5331" max="5331" width="9.140625" style="123" bestFit="1" customWidth="1"/>
    <col min="5332" max="5332" width="16" style="123" bestFit="1" customWidth="1"/>
    <col min="5333" max="5333" width="9" style="123" bestFit="1" customWidth="1"/>
    <col min="5334" max="5334" width="7.85546875" style="123" bestFit="1" customWidth="1"/>
    <col min="5335" max="5335" width="11.7109375" style="123" bestFit="1" customWidth="1"/>
    <col min="5336" max="5336" width="14.28515625" style="123" customWidth="1"/>
    <col min="5337" max="5337" width="11.7109375" style="123" bestFit="1" customWidth="1"/>
    <col min="5338" max="5338" width="14.140625" style="123" bestFit="1" customWidth="1"/>
    <col min="5339" max="5339" width="16.7109375" style="123" customWidth="1"/>
    <col min="5340" max="5340" width="16.5703125" style="123" customWidth="1"/>
    <col min="5341" max="5342" width="7.85546875" style="123" bestFit="1" customWidth="1"/>
    <col min="5343" max="5343" width="8" style="123" bestFit="1" customWidth="1"/>
    <col min="5344" max="5345" width="7.85546875" style="123" bestFit="1" customWidth="1"/>
    <col min="5346" max="5346" width="9.7109375" style="123" customWidth="1"/>
    <col min="5347" max="5347" width="12.85546875" style="123" customWidth="1"/>
    <col min="5348" max="5584" width="9.140625" style="123"/>
    <col min="5585" max="5585" width="9" style="123" bestFit="1" customWidth="1"/>
    <col min="5586" max="5586" width="9.85546875" style="123" bestFit="1" customWidth="1"/>
    <col min="5587" max="5587" width="9.140625" style="123" bestFit="1" customWidth="1"/>
    <col min="5588" max="5588" width="16" style="123" bestFit="1" customWidth="1"/>
    <col min="5589" max="5589" width="9" style="123" bestFit="1" customWidth="1"/>
    <col min="5590" max="5590" width="7.85546875" style="123" bestFit="1" customWidth="1"/>
    <col min="5591" max="5591" width="11.7109375" style="123" bestFit="1" customWidth="1"/>
    <col min="5592" max="5592" width="14.28515625" style="123" customWidth="1"/>
    <col min="5593" max="5593" width="11.7109375" style="123" bestFit="1" customWidth="1"/>
    <col min="5594" max="5594" width="14.140625" style="123" bestFit="1" customWidth="1"/>
    <col min="5595" max="5595" width="16.7109375" style="123" customWidth="1"/>
    <col min="5596" max="5596" width="16.5703125" style="123" customWidth="1"/>
    <col min="5597" max="5598" width="7.85546875" style="123" bestFit="1" customWidth="1"/>
    <col min="5599" max="5599" width="8" style="123" bestFit="1" customWidth="1"/>
    <col min="5600" max="5601" width="7.85546875" style="123" bestFit="1" customWidth="1"/>
    <col min="5602" max="5602" width="9.7109375" style="123" customWidth="1"/>
    <col min="5603" max="5603" width="12.85546875" style="123" customWidth="1"/>
    <col min="5604" max="5840" width="9.140625" style="123"/>
    <col min="5841" max="5841" width="9" style="123" bestFit="1" customWidth="1"/>
    <col min="5842" max="5842" width="9.85546875" style="123" bestFit="1" customWidth="1"/>
    <col min="5843" max="5843" width="9.140625" style="123" bestFit="1" customWidth="1"/>
    <col min="5844" max="5844" width="16" style="123" bestFit="1" customWidth="1"/>
    <col min="5845" max="5845" width="9" style="123" bestFit="1" customWidth="1"/>
    <col min="5846" max="5846" width="7.85546875" style="123" bestFit="1" customWidth="1"/>
    <col min="5847" max="5847" width="11.7109375" style="123" bestFit="1" customWidth="1"/>
    <col min="5848" max="5848" width="14.28515625" style="123" customWidth="1"/>
    <col min="5849" max="5849" width="11.7109375" style="123" bestFit="1" customWidth="1"/>
    <col min="5850" max="5850" width="14.140625" style="123" bestFit="1" customWidth="1"/>
    <col min="5851" max="5851" width="16.7109375" style="123" customWidth="1"/>
    <col min="5852" max="5852" width="16.5703125" style="123" customWidth="1"/>
    <col min="5853" max="5854" width="7.85546875" style="123" bestFit="1" customWidth="1"/>
    <col min="5855" max="5855" width="8" style="123" bestFit="1" customWidth="1"/>
    <col min="5856" max="5857" width="7.85546875" style="123" bestFit="1" customWidth="1"/>
    <col min="5858" max="5858" width="9.7109375" style="123" customWidth="1"/>
    <col min="5859" max="5859" width="12.85546875" style="123" customWidth="1"/>
    <col min="5860" max="6096" width="9.140625" style="123"/>
    <col min="6097" max="6097" width="9" style="123" bestFit="1" customWidth="1"/>
    <col min="6098" max="6098" width="9.85546875" style="123" bestFit="1" customWidth="1"/>
    <col min="6099" max="6099" width="9.140625" style="123" bestFit="1" customWidth="1"/>
    <col min="6100" max="6100" width="16" style="123" bestFit="1" customWidth="1"/>
    <col min="6101" max="6101" width="9" style="123" bestFit="1" customWidth="1"/>
    <col min="6102" max="6102" width="7.85546875" style="123" bestFit="1" customWidth="1"/>
    <col min="6103" max="6103" width="11.7109375" style="123" bestFit="1" customWidth="1"/>
    <col min="6104" max="6104" width="14.28515625" style="123" customWidth="1"/>
    <col min="6105" max="6105" width="11.7109375" style="123" bestFit="1" customWidth="1"/>
    <col min="6106" max="6106" width="14.140625" style="123" bestFit="1" customWidth="1"/>
    <col min="6107" max="6107" width="16.7109375" style="123" customWidth="1"/>
    <col min="6108" max="6108" width="16.5703125" style="123" customWidth="1"/>
    <col min="6109" max="6110" width="7.85546875" style="123" bestFit="1" customWidth="1"/>
    <col min="6111" max="6111" width="8" style="123" bestFit="1" customWidth="1"/>
    <col min="6112" max="6113" width="7.85546875" style="123" bestFit="1" customWidth="1"/>
    <col min="6114" max="6114" width="9.7109375" style="123" customWidth="1"/>
    <col min="6115" max="6115" width="12.85546875" style="123" customWidth="1"/>
    <col min="6116" max="6352" width="9.140625" style="123"/>
    <col min="6353" max="6353" width="9" style="123" bestFit="1" customWidth="1"/>
    <col min="6354" max="6354" width="9.85546875" style="123" bestFit="1" customWidth="1"/>
    <col min="6355" max="6355" width="9.140625" style="123" bestFit="1" customWidth="1"/>
    <col min="6356" max="6356" width="16" style="123" bestFit="1" customWidth="1"/>
    <col min="6357" max="6357" width="9" style="123" bestFit="1" customWidth="1"/>
    <col min="6358" max="6358" width="7.85546875" style="123" bestFit="1" customWidth="1"/>
    <col min="6359" max="6359" width="11.7109375" style="123" bestFit="1" customWidth="1"/>
    <col min="6360" max="6360" width="14.28515625" style="123" customWidth="1"/>
    <col min="6361" max="6361" width="11.7109375" style="123" bestFit="1" customWidth="1"/>
    <col min="6362" max="6362" width="14.140625" style="123" bestFit="1" customWidth="1"/>
    <col min="6363" max="6363" width="16.7109375" style="123" customWidth="1"/>
    <col min="6364" max="6364" width="16.5703125" style="123" customWidth="1"/>
    <col min="6365" max="6366" width="7.85546875" style="123" bestFit="1" customWidth="1"/>
    <col min="6367" max="6367" width="8" style="123" bestFit="1" customWidth="1"/>
    <col min="6368" max="6369" width="7.85546875" style="123" bestFit="1" customWidth="1"/>
    <col min="6370" max="6370" width="9.7109375" style="123" customWidth="1"/>
    <col min="6371" max="6371" width="12.85546875" style="123" customWidth="1"/>
    <col min="6372" max="6608" width="9.140625" style="123"/>
    <col min="6609" max="6609" width="9" style="123" bestFit="1" customWidth="1"/>
    <col min="6610" max="6610" width="9.85546875" style="123" bestFit="1" customWidth="1"/>
    <col min="6611" max="6611" width="9.140625" style="123" bestFit="1" customWidth="1"/>
    <col min="6612" max="6612" width="16" style="123" bestFit="1" customWidth="1"/>
    <col min="6613" max="6613" width="9" style="123" bestFit="1" customWidth="1"/>
    <col min="6614" max="6614" width="7.85546875" style="123" bestFit="1" customWidth="1"/>
    <col min="6615" max="6615" width="11.7109375" style="123" bestFit="1" customWidth="1"/>
    <col min="6616" max="6616" width="14.28515625" style="123" customWidth="1"/>
    <col min="6617" max="6617" width="11.7109375" style="123" bestFit="1" customWidth="1"/>
    <col min="6618" max="6618" width="14.140625" style="123" bestFit="1" customWidth="1"/>
    <col min="6619" max="6619" width="16.7109375" style="123" customWidth="1"/>
    <col min="6620" max="6620" width="16.5703125" style="123" customWidth="1"/>
    <col min="6621" max="6622" width="7.85546875" style="123" bestFit="1" customWidth="1"/>
    <col min="6623" max="6623" width="8" style="123" bestFit="1" customWidth="1"/>
    <col min="6624" max="6625" width="7.85546875" style="123" bestFit="1" customWidth="1"/>
    <col min="6626" max="6626" width="9.7109375" style="123" customWidth="1"/>
    <col min="6627" max="6627" width="12.85546875" style="123" customWidth="1"/>
    <col min="6628" max="6864" width="9.140625" style="123"/>
    <col min="6865" max="6865" width="9" style="123" bestFit="1" customWidth="1"/>
    <col min="6866" max="6866" width="9.85546875" style="123" bestFit="1" customWidth="1"/>
    <col min="6867" max="6867" width="9.140625" style="123" bestFit="1" customWidth="1"/>
    <col min="6868" max="6868" width="16" style="123" bestFit="1" customWidth="1"/>
    <col min="6869" max="6869" width="9" style="123" bestFit="1" customWidth="1"/>
    <col min="6870" max="6870" width="7.85546875" style="123" bestFit="1" customWidth="1"/>
    <col min="6871" max="6871" width="11.7109375" style="123" bestFit="1" customWidth="1"/>
    <col min="6872" max="6872" width="14.28515625" style="123" customWidth="1"/>
    <col min="6873" max="6873" width="11.7109375" style="123" bestFit="1" customWidth="1"/>
    <col min="6874" max="6874" width="14.140625" style="123" bestFit="1" customWidth="1"/>
    <col min="6875" max="6875" width="16.7109375" style="123" customWidth="1"/>
    <col min="6876" max="6876" width="16.5703125" style="123" customWidth="1"/>
    <col min="6877" max="6878" width="7.85546875" style="123" bestFit="1" customWidth="1"/>
    <col min="6879" max="6879" width="8" style="123" bestFit="1" customWidth="1"/>
    <col min="6880" max="6881" width="7.85546875" style="123" bestFit="1" customWidth="1"/>
    <col min="6882" max="6882" width="9.7109375" style="123" customWidth="1"/>
    <col min="6883" max="6883" width="12.85546875" style="123" customWidth="1"/>
    <col min="6884" max="7120" width="9.140625" style="123"/>
    <col min="7121" max="7121" width="9" style="123" bestFit="1" customWidth="1"/>
    <col min="7122" max="7122" width="9.85546875" style="123" bestFit="1" customWidth="1"/>
    <col min="7123" max="7123" width="9.140625" style="123" bestFit="1" customWidth="1"/>
    <col min="7124" max="7124" width="16" style="123" bestFit="1" customWidth="1"/>
    <col min="7125" max="7125" width="9" style="123" bestFit="1" customWidth="1"/>
    <col min="7126" max="7126" width="7.85546875" style="123" bestFit="1" customWidth="1"/>
    <col min="7127" max="7127" width="11.7109375" style="123" bestFit="1" customWidth="1"/>
    <col min="7128" max="7128" width="14.28515625" style="123" customWidth="1"/>
    <col min="7129" max="7129" width="11.7109375" style="123" bestFit="1" customWidth="1"/>
    <col min="7130" max="7130" width="14.140625" style="123" bestFit="1" customWidth="1"/>
    <col min="7131" max="7131" width="16.7109375" style="123" customWidth="1"/>
    <col min="7132" max="7132" width="16.5703125" style="123" customWidth="1"/>
    <col min="7133" max="7134" width="7.85546875" style="123" bestFit="1" customWidth="1"/>
    <col min="7135" max="7135" width="8" style="123" bestFit="1" customWidth="1"/>
    <col min="7136" max="7137" width="7.85546875" style="123" bestFit="1" customWidth="1"/>
    <col min="7138" max="7138" width="9.7109375" style="123" customWidth="1"/>
    <col min="7139" max="7139" width="12.85546875" style="123" customWidth="1"/>
    <col min="7140" max="7376" width="9.140625" style="123"/>
    <col min="7377" max="7377" width="9" style="123" bestFit="1" customWidth="1"/>
    <col min="7378" max="7378" width="9.85546875" style="123" bestFit="1" customWidth="1"/>
    <col min="7379" max="7379" width="9.140625" style="123" bestFit="1" customWidth="1"/>
    <col min="7380" max="7380" width="16" style="123" bestFit="1" customWidth="1"/>
    <col min="7381" max="7381" width="9" style="123" bestFit="1" customWidth="1"/>
    <col min="7382" max="7382" width="7.85546875" style="123" bestFit="1" customWidth="1"/>
    <col min="7383" max="7383" width="11.7109375" style="123" bestFit="1" customWidth="1"/>
    <col min="7384" max="7384" width="14.28515625" style="123" customWidth="1"/>
    <col min="7385" max="7385" width="11.7109375" style="123" bestFit="1" customWidth="1"/>
    <col min="7386" max="7386" width="14.140625" style="123" bestFit="1" customWidth="1"/>
    <col min="7387" max="7387" width="16.7109375" style="123" customWidth="1"/>
    <col min="7388" max="7388" width="16.5703125" style="123" customWidth="1"/>
    <col min="7389" max="7390" width="7.85546875" style="123" bestFit="1" customWidth="1"/>
    <col min="7391" max="7391" width="8" style="123" bestFit="1" customWidth="1"/>
    <col min="7392" max="7393" width="7.85546875" style="123" bestFit="1" customWidth="1"/>
    <col min="7394" max="7394" width="9.7109375" style="123" customWidth="1"/>
    <col min="7395" max="7395" width="12.85546875" style="123" customWidth="1"/>
    <col min="7396" max="7632" width="9.140625" style="123"/>
    <col min="7633" max="7633" width="9" style="123" bestFit="1" customWidth="1"/>
    <col min="7634" max="7634" width="9.85546875" style="123" bestFit="1" customWidth="1"/>
    <col min="7635" max="7635" width="9.140625" style="123" bestFit="1" customWidth="1"/>
    <col min="7636" max="7636" width="16" style="123" bestFit="1" customWidth="1"/>
    <col min="7637" max="7637" width="9" style="123" bestFit="1" customWidth="1"/>
    <col min="7638" max="7638" width="7.85546875" style="123" bestFit="1" customWidth="1"/>
    <col min="7639" max="7639" width="11.7109375" style="123" bestFit="1" customWidth="1"/>
    <col min="7640" max="7640" width="14.28515625" style="123" customWidth="1"/>
    <col min="7641" max="7641" width="11.7109375" style="123" bestFit="1" customWidth="1"/>
    <col min="7642" max="7642" width="14.140625" style="123" bestFit="1" customWidth="1"/>
    <col min="7643" max="7643" width="16.7109375" style="123" customWidth="1"/>
    <col min="7644" max="7644" width="16.5703125" style="123" customWidth="1"/>
    <col min="7645" max="7646" width="7.85546875" style="123" bestFit="1" customWidth="1"/>
    <col min="7647" max="7647" width="8" style="123" bestFit="1" customWidth="1"/>
    <col min="7648" max="7649" width="7.85546875" style="123" bestFit="1" customWidth="1"/>
    <col min="7650" max="7650" width="9.7109375" style="123" customWidth="1"/>
    <col min="7651" max="7651" width="12.85546875" style="123" customWidth="1"/>
    <col min="7652" max="7888" width="9.140625" style="123"/>
    <col min="7889" max="7889" width="9" style="123" bestFit="1" customWidth="1"/>
    <col min="7890" max="7890" width="9.85546875" style="123" bestFit="1" customWidth="1"/>
    <col min="7891" max="7891" width="9.140625" style="123" bestFit="1" customWidth="1"/>
    <col min="7892" max="7892" width="16" style="123" bestFit="1" customWidth="1"/>
    <col min="7893" max="7893" width="9" style="123" bestFit="1" customWidth="1"/>
    <col min="7894" max="7894" width="7.85546875" style="123" bestFit="1" customWidth="1"/>
    <col min="7895" max="7895" width="11.7109375" style="123" bestFit="1" customWidth="1"/>
    <col min="7896" max="7896" width="14.28515625" style="123" customWidth="1"/>
    <col min="7897" max="7897" width="11.7109375" style="123" bestFit="1" customWidth="1"/>
    <col min="7898" max="7898" width="14.140625" style="123" bestFit="1" customWidth="1"/>
    <col min="7899" max="7899" width="16.7109375" style="123" customWidth="1"/>
    <col min="7900" max="7900" width="16.5703125" style="123" customWidth="1"/>
    <col min="7901" max="7902" width="7.85546875" style="123" bestFit="1" customWidth="1"/>
    <col min="7903" max="7903" width="8" style="123" bestFit="1" customWidth="1"/>
    <col min="7904" max="7905" width="7.85546875" style="123" bestFit="1" customWidth="1"/>
    <col min="7906" max="7906" width="9.7109375" style="123" customWidth="1"/>
    <col min="7907" max="7907" width="12.85546875" style="123" customWidth="1"/>
    <col min="7908" max="8144" width="9.140625" style="123"/>
    <col min="8145" max="8145" width="9" style="123" bestFit="1" customWidth="1"/>
    <col min="8146" max="8146" width="9.85546875" style="123" bestFit="1" customWidth="1"/>
    <col min="8147" max="8147" width="9.140625" style="123" bestFit="1" customWidth="1"/>
    <col min="8148" max="8148" width="16" style="123" bestFit="1" customWidth="1"/>
    <col min="8149" max="8149" width="9" style="123" bestFit="1" customWidth="1"/>
    <col min="8150" max="8150" width="7.85546875" style="123" bestFit="1" customWidth="1"/>
    <col min="8151" max="8151" width="11.7109375" style="123" bestFit="1" customWidth="1"/>
    <col min="8152" max="8152" width="14.28515625" style="123" customWidth="1"/>
    <col min="8153" max="8153" width="11.7109375" style="123" bestFit="1" customWidth="1"/>
    <col min="8154" max="8154" width="14.140625" style="123" bestFit="1" customWidth="1"/>
    <col min="8155" max="8155" width="16.7109375" style="123" customWidth="1"/>
    <col min="8156" max="8156" width="16.5703125" style="123" customWidth="1"/>
    <col min="8157" max="8158" width="7.85546875" style="123" bestFit="1" customWidth="1"/>
    <col min="8159" max="8159" width="8" style="123" bestFit="1" customWidth="1"/>
    <col min="8160" max="8161" width="7.85546875" style="123" bestFit="1" customWidth="1"/>
    <col min="8162" max="8162" width="9.7109375" style="123" customWidth="1"/>
    <col min="8163" max="8163" width="12.85546875" style="123" customWidth="1"/>
    <col min="8164" max="8400" width="9.140625" style="123"/>
    <col min="8401" max="8401" width="9" style="123" bestFit="1" customWidth="1"/>
    <col min="8402" max="8402" width="9.85546875" style="123" bestFit="1" customWidth="1"/>
    <col min="8403" max="8403" width="9.140625" style="123" bestFit="1" customWidth="1"/>
    <col min="8404" max="8404" width="16" style="123" bestFit="1" customWidth="1"/>
    <col min="8405" max="8405" width="9" style="123" bestFit="1" customWidth="1"/>
    <col min="8406" max="8406" width="7.85546875" style="123" bestFit="1" customWidth="1"/>
    <col min="8407" max="8407" width="11.7109375" style="123" bestFit="1" customWidth="1"/>
    <col min="8408" max="8408" width="14.28515625" style="123" customWidth="1"/>
    <col min="8409" max="8409" width="11.7109375" style="123" bestFit="1" customWidth="1"/>
    <col min="8410" max="8410" width="14.140625" style="123" bestFit="1" customWidth="1"/>
    <col min="8411" max="8411" width="16.7109375" style="123" customWidth="1"/>
    <col min="8412" max="8412" width="16.5703125" style="123" customWidth="1"/>
    <col min="8413" max="8414" width="7.85546875" style="123" bestFit="1" customWidth="1"/>
    <col min="8415" max="8415" width="8" style="123" bestFit="1" customWidth="1"/>
    <col min="8416" max="8417" width="7.85546875" style="123" bestFit="1" customWidth="1"/>
    <col min="8418" max="8418" width="9.7109375" style="123" customWidth="1"/>
    <col min="8419" max="8419" width="12.85546875" style="123" customWidth="1"/>
    <col min="8420" max="8656" width="9.140625" style="123"/>
    <col min="8657" max="8657" width="9" style="123" bestFit="1" customWidth="1"/>
    <col min="8658" max="8658" width="9.85546875" style="123" bestFit="1" customWidth="1"/>
    <col min="8659" max="8659" width="9.140625" style="123" bestFit="1" customWidth="1"/>
    <col min="8660" max="8660" width="16" style="123" bestFit="1" customWidth="1"/>
    <col min="8661" max="8661" width="9" style="123" bestFit="1" customWidth="1"/>
    <col min="8662" max="8662" width="7.85546875" style="123" bestFit="1" customWidth="1"/>
    <col min="8663" max="8663" width="11.7109375" style="123" bestFit="1" customWidth="1"/>
    <col min="8664" max="8664" width="14.28515625" style="123" customWidth="1"/>
    <col min="8665" max="8665" width="11.7109375" style="123" bestFit="1" customWidth="1"/>
    <col min="8666" max="8666" width="14.140625" style="123" bestFit="1" customWidth="1"/>
    <col min="8667" max="8667" width="16.7109375" style="123" customWidth="1"/>
    <col min="8668" max="8668" width="16.5703125" style="123" customWidth="1"/>
    <col min="8669" max="8670" width="7.85546875" style="123" bestFit="1" customWidth="1"/>
    <col min="8671" max="8671" width="8" style="123" bestFit="1" customWidth="1"/>
    <col min="8672" max="8673" width="7.85546875" style="123" bestFit="1" customWidth="1"/>
    <col min="8674" max="8674" width="9.7109375" style="123" customWidth="1"/>
    <col min="8675" max="8675" width="12.85546875" style="123" customWidth="1"/>
    <col min="8676" max="8912" width="9.140625" style="123"/>
    <col min="8913" max="8913" width="9" style="123" bestFit="1" customWidth="1"/>
    <col min="8914" max="8914" width="9.85546875" style="123" bestFit="1" customWidth="1"/>
    <col min="8915" max="8915" width="9.140625" style="123" bestFit="1" customWidth="1"/>
    <col min="8916" max="8916" width="16" style="123" bestFit="1" customWidth="1"/>
    <col min="8917" max="8917" width="9" style="123" bestFit="1" customWidth="1"/>
    <col min="8918" max="8918" width="7.85546875" style="123" bestFit="1" customWidth="1"/>
    <col min="8919" max="8919" width="11.7109375" style="123" bestFit="1" customWidth="1"/>
    <col min="8920" max="8920" width="14.28515625" style="123" customWidth="1"/>
    <col min="8921" max="8921" width="11.7109375" style="123" bestFit="1" customWidth="1"/>
    <col min="8922" max="8922" width="14.140625" style="123" bestFit="1" customWidth="1"/>
    <col min="8923" max="8923" width="16.7109375" style="123" customWidth="1"/>
    <col min="8924" max="8924" width="16.5703125" style="123" customWidth="1"/>
    <col min="8925" max="8926" width="7.85546875" style="123" bestFit="1" customWidth="1"/>
    <col min="8927" max="8927" width="8" style="123" bestFit="1" customWidth="1"/>
    <col min="8928" max="8929" width="7.85546875" style="123" bestFit="1" customWidth="1"/>
    <col min="8930" max="8930" width="9.7109375" style="123" customWidth="1"/>
    <col min="8931" max="8931" width="12.85546875" style="123" customWidth="1"/>
    <col min="8932" max="9168" width="9.140625" style="123"/>
    <col min="9169" max="9169" width="9" style="123" bestFit="1" customWidth="1"/>
    <col min="9170" max="9170" width="9.85546875" style="123" bestFit="1" customWidth="1"/>
    <col min="9171" max="9171" width="9.140625" style="123" bestFit="1" customWidth="1"/>
    <col min="9172" max="9172" width="16" style="123" bestFit="1" customWidth="1"/>
    <col min="9173" max="9173" width="9" style="123" bestFit="1" customWidth="1"/>
    <col min="9174" max="9174" width="7.85546875" style="123" bestFit="1" customWidth="1"/>
    <col min="9175" max="9175" width="11.7109375" style="123" bestFit="1" customWidth="1"/>
    <col min="9176" max="9176" width="14.28515625" style="123" customWidth="1"/>
    <col min="9177" max="9177" width="11.7109375" style="123" bestFit="1" customWidth="1"/>
    <col min="9178" max="9178" width="14.140625" style="123" bestFit="1" customWidth="1"/>
    <col min="9179" max="9179" width="16.7109375" style="123" customWidth="1"/>
    <col min="9180" max="9180" width="16.5703125" style="123" customWidth="1"/>
    <col min="9181" max="9182" width="7.85546875" style="123" bestFit="1" customWidth="1"/>
    <col min="9183" max="9183" width="8" style="123" bestFit="1" customWidth="1"/>
    <col min="9184" max="9185" width="7.85546875" style="123" bestFit="1" customWidth="1"/>
    <col min="9186" max="9186" width="9.7109375" style="123" customWidth="1"/>
    <col min="9187" max="9187" width="12.85546875" style="123" customWidth="1"/>
    <col min="9188" max="9424" width="9.140625" style="123"/>
    <col min="9425" max="9425" width="9" style="123" bestFit="1" customWidth="1"/>
    <col min="9426" max="9426" width="9.85546875" style="123" bestFit="1" customWidth="1"/>
    <col min="9427" max="9427" width="9.140625" style="123" bestFit="1" customWidth="1"/>
    <col min="9428" max="9428" width="16" style="123" bestFit="1" customWidth="1"/>
    <col min="9429" max="9429" width="9" style="123" bestFit="1" customWidth="1"/>
    <col min="9430" max="9430" width="7.85546875" style="123" bestFit="1" customWidth="1"/>
    <col min="9431" max="9431" width="11.7109375" style="123" bestFit="1" customWidth="1"/>
    <col min="9432" max="9432" width="14.28515625" style="123" customWidth="1"/>
    <col min="9433" max="9433" width="11.7109375" style="123" bestFit="1" customWidth="1"/>
    <col min="9434" max="9434" width="14.140625" style="123" bestFit="1" customWidth="1"/>
    <col min="9435" max="9435" width="16.7109375" style="123" customWidth="1"/>
    <col min="9436" max="9436" width="16.5703125" style="123" customWidth="1"/>
    <col min="9437" max="9438" width="7.85546875" style="123" bestFit="1" customWidth="1"/>
    <col min="9439" max="9439" width="8" style="123" bestFit="1" customWidth="1"/>
    <col min="9440" max="9441" width="7.85546875" style="123" bestFit="1" customWidth="1"/>
    <col min="9442" max="9442" width="9.7109375" style="123" customWidth="1"/>
    <col min="9443" max="9443" width="12.85546875" style="123" customWidth="1"/>
    <col min="9444" max="9680" width="9.140625" style="123"/>
    <col min="9681" max="9681" width="9" style="123" bestFit="1" customWidth="1"/>
    <col min="9682" max="9682" width="9.85546875" style="123" bestFit="1" customWidth="1"/>
    <col min="9683" max="9683" width="9.140625" style="123" bestFit="1" customWidth="1"/>
    <col min="9684" max="9684" width="16" style="123" bestFit="1" customWidth="1"/>
    <col min="9685" max="9685" width="9" style="123" bestFit="1" customWidth="1"/>
    <col min="9686" max="9686" width="7.85546875" style="123" bestFit="1" customWidth="1"/>
    <col min="9687" max="9687" width="11.7109375" style="123" bestFit="1" customWidth="1"/>
    <col min="9688" max="9688" width="14.28515625" style="123" customWidth="1"/>
    <col min="9689" max="9689" width="11.7109375" style="123" bestFit="1" customWidth="1"/>
    <col min="9690" max="9690" width="14.140625" style="123" bestFit="1" customWidth="1"/>
    <col min="9691" max="9691" width="16.7109375" style="123" customWidth="1"/>
    <col min="9692" max="9692" width="16.5703125" style="123" customWidth="1"/>
    <col min="9693" max="9694" width="7.85546875" style="123" bestFit="1" customWidth="1"/>
    <col min="9695" max="9695" width="8" style="123" bestFit="1" customWidth="1"/>
    <col min="9696" max="9697" width="7.85546875" style="123" bestFit="1" customWidth="1"/>
    <col min="9698" max="9698" width="9.7109375" style="123" customWidth="1"/>
    <col min="9699" max="9699" width="12.85546875" style="123" customWidth="1"/>
    <col min="9700" max="9936" width="9.140625" style="123"/>
    <col min="9937" max="9937" width="9" style="123" bestFit="1" customWidth="1"/>
    <col min="9938" max="9938" width="9.85546875" style="123" bestFit="1" customWidth="1"/>
    <col min="9939" max="9939" width="9.140625" style="123" bestFit="1" customWidth="1"/>
    <col min="9940" max="9940" width="16" style="123" bestFit="1" customWidth="1"/>
    <col min="9941" max="9941" width="9" style="123" bestFit="1" customWidth="1"/>
    <col min="9942" max="9942" width="7.85546875" style="123" bestFit="1" customWidth="1"/>
    <col min="9943" max="9943" width="11.7109375" style="123" bestFit="1" customWidth="1"/>
    <col min="9944" max="9944" width="14.28515625" style="123" customWidth="1"/>
    <col min="9945" max="9945" width="11.7109375" style="123" bestFit="1" customWidth="1"/>
    <col min="9946" max="9946" width="14.140625" style="123" bestFit="1" customWidth="1"/>
    <col min="9947" max="9947" width="16.7109375" style="123" customWidth="1"/>
    <col min="9948" max="9948" width="16.5703125" style="123" customWidth="1"/>
    <col min="9949" max="9950" width="7.85546875" style="123" bestFit="1" customWidth="1"/>
    <col min="9951" max="9951" width="8" style="123" bestFit="1" customWidth="1"/>
    <col min="9952" max="9953" width="7.85546875" style="123" bestFit="1" customWidth="1"/>
    <col min="9954" max="9954" width="9.7109375" style="123" customWidth="1"/>
    <col min="9955" max="9955" width="12.85546875" style="123" customWidth="1"/>
    <col min="9956" max="10192" width="9.140625" style="123"/>
    <col min="10193" max="10193" width="9" style="123" bestFit="1" customWidth="1"/>
    <col min="10194" max="10194" width="9.85546875" style="123" bestFit="1" customWidth="1"/>
    <col min="10195" max="10195" width="9.140625" style="123" bestFit="1" customWidth="1"/>
    <col min="10196" max="10196" width="16" style="123" bestFit="1" customWidth="1"/>
    <col min="10197" max="10197" width="9" style="123" bestFit="1" customWidth="1"/>
    <col min="10198" max="10198" width="7.85546875" style="123" bestFit="1" customWidth="1"/>
    <col min="10199" max="10199" width="11.7109375" style="123" bestFit="1" customWidth="1"/>
    <col min="10200" max="10200" width="14.28515625" style="123" customWidth="1"/>
    <col min="10201" max="10201" width="11.7109375" style="123" bestFit="1" customWidth="1"/>
    <col min="10202" max="10202" width="14.140625" style="123" bestFit="1" customWidth="1"/>
    <col min="10203" max="10203" width="16.7109375" style="123" customWidth="1"/>
    <col min="10204" max="10204" width="16.5703125" style="123" customWidth="1"/>
    <col min="10205" max="10206" width="7.85546875" style="123" bestFit="1" customWidth="1"/>
    <col min="10207" max="10207" width="8" style="123" bestFit="1" customWidth="1"/>
    <col min="10208" max="10209" width="7.85546875" style="123" bestFit="1" customWidth="1"/>
    <col min="10210" max="10210" width="9.7109375" style="123" customWidth="1"/>
    <col min="10211" max="10211" width="12.85546875" style="123" customWidth="1"/>
    <col min="10212" max="10448" width="9.140625" style="123"/>
    <col min="10449" max="10449" width="9" style="123" bestFit="1" customWidth="1"/>
    <col min="10450" max="10450" width="9.85546875" style="123" bestFit="1" customWidth="1"/>
    <col min="10451" max="10451" width="9.140625" style="123" bestFit="1" customWidth="1"/>
    <col min="10452" max="10452" width="16" style="123" bestFit="1" customWidth="1"/>
    <col min="10453" max="10453" width="9" style="123" bestFit="1" customWidth="1"/>
    <col min="10454" max="10454" width="7.85546875" style="123" bestFit="1" customWidth="1"/>
    <col min="10455" max="10455" width="11.7109375" style="123" bestFit="1" customWidth="1"/>
    <col min="10456" max="10456" width="14.28515625" style="123" customWidth="1"/>
    <col min="10457" max="10457" width="11.7109375" style="123" bestFit="1" customWidth="1"/>
    <col min="10458" max="10458" width="14.140625" style="123" bestFit="1" customWidth="1"/>
    <col min="10459" max="10459" width="16.7109375" style="123" customWidth="1"/>
    <col min="10460" max="10460" width="16.5703125" style="123" customWidth="1"/>
    <col min="10461" max="10462" width="7.85546875" style="123" bestFit="1" customWidth="1"/>
    <col min="10463" max="10463" width="8" style="123" bestFit="1" customWidth="1"/>
    <col min="10464" max="10465" width="7.85546875" style="123" bestFit="1" customWidth="1"/>
    <col min="10466" max="10466" width="9.7109375" style="123" customWidth="1"/>
    <col min="10467" max="10467" width="12.85546875" style="123" customWidth="1"/>
    <col min="10468" max="10704" width="9.140625" style="123"/>
    <col min="10705" max="10705" width="9" style="123" bestFit="1" customWidth="1"/>
    <col min="10706" max="10706" width="9.85546875" style="123" bestFit="1" customWidth="1"/>
    <col min="10707" max="10707" width="9.140625" style="123" bestFit="1" customWidth="1"/>
    <col min="10708" max="10708" width="16" style="123" bestFit="1" customWidth="1"/>
    <col min="10709" max="10709" width="9" style="123" bestFit="1" customWidth="1"/>
    <col min="10710" max="10710" width="7.85546875" style="123" bestFit="1" customWidth="1"/>
    <col min="10711" max="10711" width="11.7109375" style="123" bestFit="1" customWidth="1"/>
    <col min="10712" max="10712" width="14.28515625" style="123" customWidth="1"/>
    <col min="10713" max="10713" width="11.7109375" style="123" bestFit="1" customWidth="1"/>
    <col min="10714" max="10714" width="14.140625" style="123" bestFit="1" customWidth="1"/>
    <col min="10715" max="10715" width="16.7109375" style="123" customWidth="1"/>
    <col min="10716" max="10716" width="16.5703125" style="123" customWidth="1"/>
    <col min="10717" max="10718" width="7.85546875" style="123" bestFit="1" customWidth="1"/>
    <col min="10719" max="10719" width="8" style="123" bestFit="1" customWidth="1"/>
    <col min="10720" max="10721" width="7.85546875" style="123" bestFit="1" customWidth="1"/>
    <col min="10722" max="10722" width="9.7109375" style="123" customWidth="1"/>
    <col min="10723" max="10723" width="12.85546875" style="123" customWidth="1"/>
    <col min="10724" max="10960" width="9.140625" style="123"/>
    <col min="10961" max="10961" width="9" style="123" bestFit="1" customWidth="1"/>
    <col min="10962" max="10962" width="9.85546875" style="123" bestFit="1" customWidth="1"/>
    <col min="10963" max="10963" width="9.140625" style="123" bestFit="1" customWidth="1"/>
    <col min="10964" max="10964" width="16" style="123" bestFit="1" customWidth="1"/>
    <col min="10965" max="10965" width="9" style="123" bestFit="1" customWidth="1"/>
    <col min="10966" max="10966" width="7.85546875" style="123" bestFit="1" customWidth="1"/>
    <col min="10967" max="10967" width="11.7109375" style="123" bestFit="1" customWidth="1"/>
    <col min="10968" max="10968" width="14.28515625" style="123" customWidth="1"/>
    <col min="10969" max="10969" width="11.7109375" style="123" bestFit="1" customWidth="1"/>
    <col min="10970" max="10970" width="14.140625" style="123" bestFit="1" customWidth="1"/>
    <col min="10971" max="10971" width="16.7109375" style="123" customWidth="1"/>
    <col min="10972" max="10972" width="16.5703125" style="123" customWidth="1"/>
    <col min="10973" max="10974" width="7.85546875" style="123" bestFit="1" customWidth="1"/>
    <col min="10975" max="10975" width="8" style="123" bestFit="1" customWidth="1"/>
    <col min="10976" max="10977" width="7.85546875" style="123" bestFit="1" customWidth="1"/>
    <col min="10978" max="10978" width="9.7109375" style="123" customWidth="1"/>
    <col min="10979" max="10979" width="12.85546875" style="123" customWidth="1"/>
    <col min="10980" max="11216" width="9.140625" style="123"/>
    <col min="11217" max="11217" width="9" style="123" bestFit="1" customWidth="1"/>
    <col min="11218" max="11218" width="9.85546875" style="123" bestFit="1" customWidth="1"/>
    <col min="11219" max="11219" width="9.140625" style="123" bestFit="1" customWidth="1"/>
    <col min="11220" max="11220" width="16" style="123" bestFit="1" customWidth="1"/>
    <col min="11221" max="11221" width="9" style="123" bestFit="1" customWidth="1"/>
    <col min="11222" max="11222" width="7.85546875" style="123" bestFit="1" customWidth="1"/>
    <col min="11223" max="11223" width="11.7109375" style="123" bestFit="1" customWidth="1"/>
    <col min="11224" max="11224" width="14.28515625" style="123" customWidth="1"/>
    <col min="11225" max="11225" width="11.7109375" style="123" bestFit="1" customWidth="1"/>
    <col min="11226" max="11226" width="14.140625" style="123" bestFit="1" customWidth="1"/>
    <col min="11227" max="11227" width="16.7109375" style="123" customWidth="1"/>
    <col min="11228" max="11228" width="16.5703125" style="123" customWidth="1"/>
    <col min="11229" max="11230" width="7.85546875" style="123" bestFit="1" customWidth="1"/>
    <col min="11231" max="11231" width="8" style="123" bestFit="1" customWidth="1"/>
    <col min="11232" max="11233" width="7.85546875" style="123" bestFit="1" customWidth="1"/>
    <col min="11234" max="11234" width="9.7109375" style="123" customWidth="1"/>
    <col min="11235" max="11235" width="12.85546875" style="123" customWidth="1"/>
    <col min="11236" max="11472" width="9.140625" style="123"/>
    <col min="11473" max="11473" width="9" style="123" bestFit="1" customWidth="1"/>
    <col min="11474" max="11474" width="9.85546875" style="123" bestFit="1" customWidth="1"/>
    <col min="11475" max="11475" width="9.140625" style="123" bestFit="1" customWidth="1"/>
    <col min="11476" max="11476" width="16" style="123" bestFit="1" customWidth="1"/>
    <col min="11477" max="11477" width="9" style="123" bestFit="1" customWidth="1"/>
    <col min="11478" max="11478" width="7.85546875" style="123" bestFit="1" customWidth="1"/>
    <col min="11479" max="11479" width="11.7109375" style="123" bestFit="1" customWidth="1"/>
    <col min="11480" max="11480" width="14.28515625" style="123" customWidth="1"/>
    <col min="11481" max="11481" width="11.7109375" style="123" bestFit="1" customWidth="1"/>
    <col min="11482" max="11482" width="14.140625" style="123" bestFit="1" customWidth="1"/>
    <col min="11483" max="11483" width="16.7109375" style="123" customWidth="1"/>
    <col min="11484" max="11484" width="16.5703125" style="123" customWidth="1"/>
    <col min="11485" max="11486" width="7.85546875" style="123" bestFit="1" customWidth="1"/>
    <col min="11487" max="11487" width="8" style="123" bestFit="1" customWidth="1"/>
    <col min="11488" max="11489" width="7.85546875" style="123" bestFit="1" customWidth="1"/>
    <col min="11490" max="11490" width="9.7109375" style="123" customWidth="1"/>
    <col min="11491" max="11491" width="12.85546875" style="123" customWidth="1"/>
    <col min="11492" max="11728" width="9.140625" style="123"/>
    <col min="11729" max="11729" width="9" style="123" bestFit="1" customWidth="1"/>
    <col min="11730" max="11730" width="9.85546875" style="123" bestFit="1" customWidth="1"/>
    <col min="11731" max="11731" width="9.140625" style="123" bestFit="1" customWidth="1"/>
    <col min="11732" max="11732" width="16" style="123" bestFit="1" customWidth="1"/>
    <col min="11733" max="11733" width="9" style="123" bestFit="1" customWidth="1"/>
    <col min="11734" max="11734" width="7.85546875" style="123" bestFit="1" customWidth="1"/>
    <col min="11735" max="11735" width="11.7109375" style="123" bestFit="1" customWidth="1"/>
    <col min="11736" max="11736" width="14.28515625" style="123" customWidth="1"/>
    <col min="11737" max="11737" width="11.7109375" style="123" bestFit="1" customWidth="1"/>
    <col min="11738" max="11738" width="14.140625" style="123" bestFit="1" customWidth="1"/>
    <col min="11739" max="11739" width="16.7109375" style="123" customWidth="1"/>
    <col min="11740" max="11740" width="16.5703125" style="123" customWidth="1"/>
    <col min="11741" max="11742" width="7.85546875" style="123" bestFit="1" customWidth="1"/>
    <col min="11743" max="11743" width="8" style="123" bestFit="1" customWidth="1"/>
    <col min="11744" max="11745" width="7.85546875" style="123" bestFit="1" customWidth="1"/>
    <col min="11746" max="11746" width="9.7109375" style="123" customWidth="1"/>
    <col min="11747" max="11747" width="12.85546875" style="123" customWidth="1"/>
    <col min="11748" max="11984" width="9.140625" style="123"/>
    <col min="11985" max="11985" width="9" style="123" bestFit="1" customWidth="1"/>
    <col min="11986" max="11986" width="9.85546875" style="123" bestFit="1" customWidth="1"/>
    <col min="11987" max="11987" width="9.140625" style="123" bestFit="1" customWidth="1"/>
    <col min="11988" max="11988" width="16" style="123" bestFit="1" customWidth="1"/>
    <col min="11989" max="11989" width="9" style="123" bestFit="1" customWidth="1"/>
    <col min="11990" max="11990" width="7.85546875" style="123" bestFit="1" customWidth="1"/>
    <col min="11991" max="11991" width="11.7109375" style="123" bestFit="1" customWidth="1"/>
    <col min="11992" max="11992" width="14.28515625" style="123" customWidth="1"/>
    <col min="11993" max="11993" width="11.7109375" style="123" bestFit="1" customWidth="1"/>
    <col min="11994" max="11994" width="14.140625" style="123" bestFit="1" customWidth="1"/>
    <col min="11995" max="11995" width="16.7109375" style="123" customWidth="1"/>
    <col min="11996" max="11996" width="16.5703125" style="123" customWidth="1"/>
    <col min="11997" max="11998" width="7.85546875" style="123" bestFit="1" customWidth="1"/>
    <col min="11999" max="11999" width="8" style="123" bestFit="1" customWidth="1"/>
    <col min="12000" max="12001" width="7.85546875" style="123" bestFit="1" customWidth="1"/>
    <col min="12002" max="12002" width="9.7109375" style="123" customWidth="1"/>
    <col min="12003" max="12003" width="12.85546875" style="123" customWidth="1"/>
    <col min="12004" max="12240" width="9.140625" style="123"/>
    <col min="12241" max="12241" width="9" style="123" bestFit="1" customWidth="1"/>
    <col min="12242" max="12242" width="9.85546875" style="123" bestFit="1" customWidth="1"/>
    <col min="12243" max="12243" width="9.140625" style="123" bestFit="1" customWidth="1"/>
    <col min="12244" max="12244" width="16" style="123" bestFit="1" customWidth="1"/>
    <col min="12245" max="12245" width="9" style="123" bestFit="1" customWidth="1"/>
    <col min="12246" max="12246" width="7.85546875" style="123" bestFit="1" customWidth="1"/>
    <col min="12247" max="12247" width="11.7109375" style="123" bestFit="1" customWidth="1"/>
    <col min="12248" max="12248" width="14.28515625" style="123" customWidth="1"/>
    <col min="12249" max="12249" width="11.7109375" style="123" bestFit="1" customWidth="1"/>
    <col min="12250" max="12250" width="14.140625" style="123" bestFit="1" customWidth="1"/>
    <col min="12251" max="12251" width="16.7109375" style="123" customWidth="1"/>
    <col min="12252" max="12252" width="16.5703125" style="123" customWidth="1"/>
    <col min="12253" max="12254" width="7.85546875" style="123" bestFit="1" customWidth="1"/>
    <col min="12255" max="12255" width="8" style="123" bestFit="1" customWidth="1"/>
    <col min="12256" max="12257" width="7.85546875" style="123" bestFit="1" customWidth="1"/>
    <col min="12258" max="12258" width="9.7109375" style="123" customWidth="1"/>
    <col min="12259" max="12259" width="12.85546875" style="123" customWidth="1"/>
    <col min="12260" max="12496" width="9.140625" style="123"/>
    <col min="12497" max="12497" width="9" style="123" bestFit="1" customWidth="1"/>
    <col min="12498" max="12498" width="9.85546875" style="123" bestFit="1" customWidth="1"/>
    <col min="12499" max="12499" width="9.140625" style="123" bestFit="1" customWidth="1"/>
    <col min="12500" max="12500" width="16" style="123" bestFit="1" customWidth="1"/>
    <col min="12501" max="12501" width="9" style="123" bestFit="1" customWidth="1"/>
    <col min="12502" max="12502" width="7.85546875" style="123" bestFit="1" customWidth="1"/>
    <col min="12503" max="12503" width="11.7109375" style="123" bestFit="1" customWidth="1"/>
    <col min="12504" max="12504" width="14.28515625" style="123" customWidth="1"/>
    <col min="12505" max="12505" width="11.7109375" style="123" bestFit="1" customWidth="1"/>
    <col min="12506" max="12506" width="14.140625" style="123" bestFit="1" customWidth="1"/>
    <col min="12507" max="12507" width="16.7109375" style="123" customWidth="1"/>
    <col min="12508" max="12508" width="16.5703125" style="123" customWidth="1"/>
    <col min="12509" max="12510" width="7.85546875" style="123" bestFit="1" customWidth="1"/>
    <col min="12511" max="12511" width="8" style="123" bestFit="1" customWidth="1"/>
    <col min="12512" max="12513" width="7.85546875" style="123" bestFit="1" customWidth="1"/>
    <col min="12514" max="12514" width="9.7109375" style="123" customWidth="1"/>
    <col min="12515" max="12515" width="12.85546875" style="123" customWidth="1"/>
    <col min="12516" max="12752" width="9.140625" style="123"/>
    <col min="12753" max="12753" width="9" style="123" bestFit="1" customWidth="1"/>
    <col min="12754" max="12754" width="9.85546875" style="123" bestFit="1" customWidth="1"/>
    <col min="12755" max="12755" width="9.140625" style="123" bestFit="1" customWidth="1"/>
    <col min="12756" max="12756" width="16" style="123" bestFit="1" customWidth="1"/>
    <col min="12757" max="12757" width="9" style="123" bestFit="1" customWidth="1"/>
    <col min="12758" max="12758" width="7.85546875" style="123" bestFit="1" customWidth="1"/>
    <col min="12759" max="12759" width="11.7109375" style="123" bestFit="1" customWidth="1"/>
    <col min="12760" max="12760" width="14.28515625" style="123" customWidth="1"/>
    <col min="12761" max="12761" width="11.7109375" style="123" bestFit="1" customWidth="1"/>
    <col min="12762" max="12762" width="14.140625" style="123" bestFit="1" customWidth="1"/>
    <col min="12763" max="12763" width="16.7109375" style="123" customWidth="1"/>
    <col min="12764" max="12764" width="16.5703125" style="123" customWidth="1"/>
    <col min="12765" max="12766" width="7.85546875" style="123" bestFit="1" customWidth="1"/>
    <col min="12767" max="12767" width="8" style="123" bestFit="1" customWidth="1"/>
    <col min="12768" max="12769" width="7.85546875" style="123" bestFit="1" customWidth="1"/>
    <col min="12770" max="12770" width="9.7109375" style="123" customWidth="1"/>
    <col min="12771" max="12771" width="12.85546875" style="123" customWidth="1"/>
    <col min="12772" max="13008" width="9.140625" style="123"/>
    <col min="13009" max="13009" width="9" style="123" bestFit="1" customWidth="1"/>
    <col min="13010" max="13010" width="9.85546875" style="123" bestFit="1" customWidth="1"/>
    <col min="13011" max="13011" width="9.140625" style="123" bestFit="1" customWidth="1"/>
    <col min="13012" max="13012" width="16" style="123" bestFit="1" customWidth="1"/>
    <col min="13013" max="13013" width="9" style="123" bestFit="1" customWidth="1"/>
    <col min="13014" max="13014" width="7.85546875" style="123" bestFit="1" customWidth="1"/>
    <col min="13015" max="13015" width="11.7109375" style="123" bestFit="1" customWidth="1"/>
    <col min="13016" max="13016" width="14.28515625" style="123" customWidth="1"/>
    <col min="13017" max="13017" width="11.7109375" style="123" bestFit="1" customWidth="1"/>
    <col min="13018" max="13018" width="14.140625" style="123" bestFit="1" customWidth="1"/>
    <col min="13019" max="13019" width="16.7109375" style="123" customWidth="1"/>
    <col min="13020" max="13020" width="16.5703125" style="123" customWidth="1"/>
    <col min="13021" max="13022" width="7.85546875" style="123" bestFit="1" customWidth="1"/>
    <col min="13023" max="13023" width="8" style="123" bestFit="1" customWidth="1"/>
    <col min="13024" max="13025" width="7.85546875" style="123" bestFit="1" customWidth="1"/>
    <col min="13026" max="13026" width="9.7109375" style="123" customWidth="1"/>
    <col min="13027" max="13027" width="12.85546875" style="123" customWidth="1"/>
    <col min="13028" max="13264" width="9.140625" style="123"/>
    <col min="13265" max="13265" width="9" style="123" bestFit="1" customWidth="1"/>
    <col min="13266" max="13266" width="9.85546875" style="123" bestFit="1" customWidth="1"/>
    <col min="13267" max="13267" width="9.140625" style="123" bestFit="1" customWidth="1"/>
    <col min="13268" max="13268" width="16" style="123" bestFit="1" customWidth="1"/>
    <col min="13269" max="13269" width="9" style="123" bestFit="1" customWidth="1"/>
    <col min="13270" max="13270" width="7.85546875" style="123" bestFit="1" customWidth="1"/>
    <col min="13271" max="13271" width="11.7109375" style="123" bestFit="1" customWidth="1"/>
    <col min="13272" max="13272" width="14.28515625" style="123" customWidth="1"/>
    <col min="13273" max="13273" width="11.7109375" style="123" bestFit="1" customWidth="1"/>
    <col min="13274" max="13274" width="14.140625" style="123" bestFit="1" customWidth="1"/>
    <col min="13275" max="13275" width="16.7109375" style="123" customWidth="1"/>
    <col min="13276" max="13276" width="16.5703125" style="123" customWidth="1"/>
    <col min="13277" max="13278" width="7.85546875" style="123" bestFit="1" customWidth="1"/>
    <col min="13279" max="13279" width="8" style="123" bestFit="1" customWidth="1"/>
    <col min="13280" max="13281" width="7.85546875" style="123" bestFit="1" customWidth="1"/>
    <col min="13282" max="13282" width="9.7109375" style="123" customWidth="1"/>
    <col min="13283" max="13283" width="12.85546875" style="123" customWidth="1"/>
    <col min="13284" max="13520" width="9.140625" style="123"/>
    <col min="13521" max="13521" width="9" style="123" bestFit="1" customWidth="1"/>
    <col min="13522" max="13522" width="9.85546875" style="123" bestFit="1" customWidth="1"/>
    <col min="13523" max="13523" width="9.140625" style="123" bestFit="1" customWidth="1"/>
    <col min="13524" max="13524" width="16" style="123" bestFit="1" customWidth="1"/>
    <col min="13525" max="13525" width="9" style="123" bestFit="1" customWidth="1"/>
    <col min="13526" max="13526" width="7.85546875" style="123" bestFit="1" customWidth="1"/>
    <col min="13527" max="13527" width="11.7109375" style="123" bestFit="1" customWidth="1"/>
    <col min="13528" max="13528" width="14.28515625" style="123" customWidth="1"/>
    <col min="13529" max="13529" width="11.7109375" style="123" bestFit="1" customWidth="1"/>
    <col min="13530" max="13530" width="14.140625" style="123" bestFit="1" customWidth="1"/>
    <col min="13531" max="13531" width="16.7109375" style="123" customWidth="1"/>
    <col min="13532" max="13532" width="16.5703125" style="123" customWidth="1"/>
    <col min="13533" max="13534" width="7.85546875" style="123" bestFit="1" customWidth="1"/>
    <col min="13535" max="13535" width="8" style="123" bestFit="1" customWidth="1"/>
    <col min="13536" max="13537" width="7.85546875" style="123" bestFit="1" customWidth="1"/>
    <col min="13538" max="13538" width="9.7109375" style="123" customWidth="1"/>
    <col min="13539" max="13539" width="12.85546875" style="123" customWidth="1"/>
    <col min="13540" max="13776" width="9.140625" style="123"/>
    <col min="13777" max="13777" width="9" style="123" bestFit="1" customWidth="1"/>
    <col min="13778" max="13778" width="9.85546875" style="123" bestFit="1" customWidth="1"/>
    <col min="13779" max="13779" width="9.140625" style="123" bestFit="1" customWidth="1"/>
    <col min="13780" max="13780" width="16" style="123" bestFit="1" customWidth="1"/>
    <col min="13781" max="13781" width="9" style="123" bestFit="1" customWidth="1"/>
    <col min="13782" max="13782" width="7.85546875" style="123" bestFit="1" customWidth="1"/>
    <col min="13783" max="13783" width="11.7109375" style="123" bestFit="1" customWidth="1"/>
    <col min="13784" max="13784" width="14.28515625" style="123" customWidth="1"/>
    <col min="13785" max="13785" width="11.7109375" style="123" bestFit="1" customWidth="1"/>
    <col min="13786" max="13786" width="14.140625" style="123" bestFit="1" customWidth="1"/>
    <col min="13787" max="13787" width="16.7109375" style="123" customWidth="1"/>
    <col min="13788" max="13788" width="16.5703125" style="123" customWidth="1"/>
    <col min="13789" max="13790" width="7.85546875" style="123" bestFit="1" customWidth="1"/>
    <col min="13791" max="13791" width="8" style="123" bestFit="1" customWidth="1"/>
    <col min="13792" max="13793" width="7.85546875" style="123" bestFit="1" customWidth="1"/>
    <col min="13794" max="13794" width="9.7109375" style="123" customWidth="1"/>
    <col min="13795" max="13795" width="12.85546875" style="123" customWidth="1"/>
    <col min="13796" max="14032" width="9.140625" style="123"/>
    <col min="14033" max="14033" width="9" style="123" bestFit="1" customWidth="1"/>
    <col min="14034" max="14034" width="9.85546875" style="123" bestFit="1" customWidth="1"/>
    <col min="14035" max="14035" width="9.140625" style="123" bestFit="1" customWidth="1"/>
    <col min="14036" max="14036" width="16" style="123" bestFit="1" customWidth="1"/>
    <col min="14037" max="14037" width="9" style="123" bestFit="1" customWidth="1"/>
    <col min="14038" max="14038" width="7.85546875" style="123" bestFit="1" customWidth="1"/>
    <col min="14039" max="14039" width="11.7109375" style="123" bestFit="1" customWidth="1"/>
    <col min="14040" max="14040" width="14.28515625" style="123" customWidth="1"/>
    <col min="14041" max="14041" width="11.7109375" style="123" bestFit="1" customWidth="1"/>
    <col min="14042" max="14042" width="14.140625" style="123" bestFit="1" customWidth="1"/>
    <col min="14043" max="14043" width="16.7109375" style="123" customWidth="1"/>
    <col min="14044" max="14044" width="16.5703125" style="123" customWidth="1"/>
    <col min="14045" max="14046" width="7.85546875" style="123" bestFit="1" customWidth="1"/>
    <col min="14047" max="14047" width="8" style="123" bestFit="1" customWidth="1"/>
    <col min="14048" max="14049" width="7.85546875" style="123" bestFit="1" customWidth="1"/>
    <col min="14050" max="14050" width="9.7109375" style="123" customWidth="1"/>
    <col min="14051" max="14051" width="12.85546875" style="123" customWidth="1"/>
    <col min="14052" max="14288" width="9.140625" style="123"/>
    <col min="14289" max="14289" width="9" style="123" bestFit="1" customWidth="1"/>
    <col min="14290" max="14290" width="9.85546875" style="123" bestFit="1" customWidth="1"/>
    <col min="14291" max="14291" width="9.140625" style="123" bestFit="1" customWidth="1"/>
    <col min="14292" max="14292" width="16" style="123" bestFit="1" customWidth="1"/>
    <col min="14293" max="14293" width="9" style="123" bestFit="1" customWidth="1"/>
    <col min="14294" max="14294" width="7.85546875" style="123" bestFit="1" customWidth="1"/>
    <col min="14295" max="14295" width="11.7109375" style="123" bestFit="1" customWidth="1"/>
    <col min="14296" max="14296" width="14.28515625" style="123" customWidth="1"/>
    <col min="14297" max="14297" width="11.7109375" style="123" bestFit="1" customWidth="1"/>
    <col min="14298" max="14298" width="14.140625" style="123" bestFit="1" customWidth="1"/>
    <col min="14299" max="14299" width="16.7109375" style="123" customWidth="1"/>
    <col min="14300" max="14300" width="16.5703125" style="123" customWidth="1"/>
    <col min="14301" max="14302" width="7.85546875" style="123" bestFit="1" customWidth="1"/>
    <col min="14303" max="14303" width="8" style="123" bestFit="1" customWidth="1"/>
    <col min="14304" max="14305" width="7.85546875" style="123" bestFit="1" customWidth="1"/>
    <col min="14306" max="14306" width="9.7109375" style="123" customWidth="1"/>
    <col min="14307" max="14307" width="12.85546875" style="123" customWidth="1"/>
    <col min="14308" max="14544" width="9.140625" style="123"/>
    <col min="14545" max="14545" width="9" style="123" bestFit="1" customWidth="1"/>
    <col min="14546" max="14546" width="9.85546875" style="123" bestFit="1" customWidth="1"/>
    <col min="14547" max="14547" width="9.140625" style="123" bestFit="1" customWidth="1"/>
    <col min="14548" max="14548" width="16" style="123" bestFit="1" customWidth="1"/>
    <col min="14549" max="14549" width="9" style="123" bestFit="1" customWidth="1"/>
    <col min="14550" max="14550" width="7.85546875" style="123" bestFit="1" customWidth="1"/>
    <col min="14551" max="14551" width="11.7109375" style="123" bestFit="1" customWidth="1"/>
    <col min="14552" max="14552" width="14.28515625" style="123" customWidth="1"/>
    <col min="14553" max="14553" width="11.7109375" style="123" bestFit="1" customWidth="1"/>
    <col min="14554" max="14554" width="14.140625" style="123" bestFit="1" customWidth="1"/>
    <col min="14555" max="14555" width="16.7109375" style="123" customWidth="1"/>
    <col min="14556" max="14556" width="16.5703125" style="123" customWidth="1"/>
    <col min="14557" max="14558" width="7.85546875" style="123" bestFit="1" customWidth="1"/>
    <col min="14559" max="14559" width="8" style="123" bestFit="1" customWidth="1"/>
    <col min="14560" max="14561" width="7.85546875" style="123" bestFit="1" customWidth="1"/>
    <col min="14562" max="14562" width="9.7109375" style="123" customWidth="1"/>
    <col min="14563" max="14563" width="12.85546875" style="123" customWidth="1"/>
    <col min="14564" max="14800" width="9.140625" style="123"/>
    <col min="14801" max="14801" width="9" style="123" bestFit="1" customWidth="1"/>
    <col min="14802" max="14802" width="9.85546875" style="123" bestFit="1" customWidth="1"/>
    <col min="14803" max="14803" width="9.140625" style="123" bestFit="1" customWidth="1"/>
    <col min="14804" max="14804" width="16" style="123" bestFit="1" customWidth="1"/>
    <col min="14805" max="14805" width="9" style="123" bestFit="1" customWidth="1"/>
    <col min="14806" max="14806" width="7.85546875" style="123" bestFit="1" customWidth="1"/>
    <col min="14807" max="14807" width="11.7109375" style="123" bestFit="1" customWidth="1"/>
    <col min="14808" max="14808" width="14.28515625" style="123" customWidth="1"/>
    <col min="14809" max="14809" width="11.7109375" style="123" bestFit="1" customWidth="1"/>
    <col min="14810" max="14810" width="14.140625" style="123" bestFit="1" customWidth="1"/>
    <col min="14811" max="14811" width="16.7109375" style="123" customWidth="1"/>
    <col min="14812" max="14812" width="16.5703125" style="123" customWidth="1"/>
    <col min="14813" max="14814" width="7.85546875" style="123" bestFit="1" customWidth="1"/>
    <col min="14815" max="14815" width="8" style="123" bestFit="1" customWidth="1"/>
    <col min="14816" max="14817" width="7.85546875" style="123" bestFit="1" customWidth="1"/>
    <col min="14818" max="14818" width="9.7109375" style="123" customWidth="1"/>
    <col min="14819" max="14819" width="12.85546875" style="123" customWidth="1"/>
    <col min="14820" max="15056" width="9.140625" style="123"/>
    <col min="15057" max="15057" width="9" style="123" bestFit="1" customWidth="1"/>
    <col min="15058" max="15058" width="9.85546875" style="123" bestFit="1" customWidth="1"/>
    <col min="15059" max="15059" width="9.140625" style="123" bestFit="1" customWidth="1"/>
    <col min="15060" max="15060" width="16" style="123" bestFit="1" customWidth="1"/>
    <col min="15061" max="15061" width="9" style="123" bestFit="1" customWidth="1"/>
    <col min="15062" max="15062" width="7.85546875" style="123" bestFit="1" customWidth="1"/>
    <col min="15063" max="15063" width="11.7109375" style="123" bestFit="1" customWidth="1"/>
    <col min="15064" max="15064" width="14.28515625" style="123" customWidth="1"/>
    <col min="15065" max="15065" width="11.7109375" style="123" bestFit="1" customWidth="1"/>
    <col min="15066" max="15066" width="14.140625" style="123" bestFit="1" customWidth="1"/>
    <col min="15067" max="15067" width="16.7109375" style="123" customWidth="1"/>
    <col min="15068" max="15068" width="16.5703125" style="123" customWidth="1"/>
    <col min="15069" max="15070" width="7.85546875" style="123" bestFit="1" customWidth="1"/>
    <col min="15071" max="15071" width="8" style="123" bestFit="1" customWidth="1"/>
    <col min="15072" max="15073" width="7.85546875" style="123" bestFit="1" customWidth="1"/>
    <col min="15074" max="15074" width="9.7109375" style="123" customWidth="1"/>
    <col min="15075" max="15075" width="12.85546875" style="123" customWidth="1"/>
    <col min="15076" max="15312" width="9.140625" style="123"/>
    <col min="15313" max="15313" width="9" style="123" bestFit="1" customWidth="1"/>
    <col min="15314" max="15314" width="9.85546875" style="123" bestFit="1" customWidth="1"/>
    <col min="15315" max="15315" width="9.140625" style="123" bestFit="1" customWidth="1"/>
    <col min="15316" max="15316" width="16" style="123" bestFit="1" customWidth="1"/>
    <col min="15317" max="15317" width="9" style="123" bestFit="1" customWidth="1"/>
    <col min="15318" max="15318" width="7.85546875" style="123" bestFit="1" customWidth="1"/>
    <col min="15319" max="15319" width="11.7109375" style="123" bestFit="1" customWidth="1"/>
    <col min="15320" max="15320" width="14.28515625" style="123" customWidth="1"/>
    <col min="15321" max="15321" width="11.7109375" style="123" bestFit="1" customWidth="1"/>
    <col min="15322" max="15322" width="14.140625" style="123" bestFit="1" customWidth="1"/>
    <col min="15323" max="15323" width="16.7109375" style="123" customWidth="1"/>
    <col min="15324" max="15324" width="16.5703125" style="123" customWidth="1"/>
    <col min="15325" max="15326" width="7.85546875" style="123" bestFit="1" customWidth="1"/>
    <col min="15327" max="15327" width="8" style="123" bestFit="1" customWidth="1"/>
    <col min="15328" max="15329" width="7.85546875" style="123" bestFit="1" customWidth="1"/>
    <col min="15330" max="15330" width="9.7109375" style="123" customWidth="1"/>
    <col min="15331" max="15331" width="12.85546875" style="123" customWidth="1"/>
    <col min="15332" max="15568" width="9.140625" style="123"/>
    <col min="15569" max="15569" width="9" style="123" bestFit="1" customWidth="1"/>
    <col min="15570" max="15570" width="9.85546875" style="123" bestFit="1" customWidth="1"/>
    <col min="15571" max="15571" width="9.140625" style="123" bestFit="1" customWidth="1"/>
    <col min="15572" max="15572" width="16" style="123" bestFit="1" customWidth="1"/>
    <col min="15573" max="15573" width="9" style="123" bestFit="1" customWidth="1"/>
    <col min="15574" max="15574" width="7.85546875" style="123" bestFit="1" customWidth="1"/>
    <col min="15575" max="15575" width="11.7109375" style="123" bestFit="1" customWidth="1"/>
    <col min="15576" max="15576" width="14.28515625" style="123" customWidth="1"/>
    <col min="15577" max="15577" width="11.7109375" style="123" bestFit="1" customWidth="1"/>
    <col min="15578" max="15578" width="14.140625" style="123" bestFit="1" customWidth="1"/>
    <col min="15579" max="15579" width="16.7109375" style="123" customWidth="1"/>
    <col min="15580" max="15580" width="16.5703125" style="123" customWidth="1"/>
    <col min="15581" max="15582" width="7.85546875" style="123" bestFit="1" customWidth="1"/>
    <col min="15583" max="15583" width="8" style="123" bestFit="1" customWidth="1"/>
    <col min="15584" max="15585" width="7.85546875" style="123" bestFit="1" customWidth="1"/>
    <col min="15586" max="15586" width="9.7109375" style="123" customWidth="1"/>
    <col min="15587" max="15587" width="12.85546875" style="123" customWidth="1"/>
    <col min="15588" max="15824" width="9.140625" style="123"/>
    <col min="15825" max="15825" width="9" style="123" bestFit="1" customWidth="1"/>
    <col min="15826" max="15826" width="9.85546875" style="123" bestFit="1" customWidth="1"/>
    <col min="15827" max="15827" width="9.140625" style="123" bestFit="1" customWidth="1"/>
    <col min="15828" max="15828" width="16" style="123" bestFit="1" customWidth="1"/>
    <col min="15829" max="15829" width="9" style="123" bestFit="1" customWidth="1"/>
    <col min="15830" max="15830" width="7.85546875" style="123" bestFit="1" customWidth="1"/>
    <col min="15831" max="15831" width="11.7109375" style="123" bestFit="1" customWidth="1"/>
    <col min="15832" max="15832" width="14.28515625" style="123" customWidth="1"/>
    <col min="15833" max="15833" width="11.7109375" style="123" bestFit="1" customWidth="1"/>
    <col min="15834" max="15834" width="14.140625" style="123" bestFit="1" customWidth="1"/>
    <col min="15835" max="15835" width="16.7109375" style="123" customWidth="1"/>
    <col min="15836" max="15836" width="16.5703125" style="123" customWidth="1"/>
    <col min="15837" max="15838" width="7.85546875" style="123" bestFit="1" customWidth="1"/>
    <col min="15839" max="15839" width="8" style="123" bestFit="1" customWidth="1"/>
    <col min="15840" max="15841" width="7.85546875" style="123" bestFit="1" customWidth="1"/>
    <col min="15842" max="15842" width="9.7109375" style="123" customWidth="1"/>
    <col min="15843" max="15843" width="12.85546875" style="123" customWidth="1"/>
    <col min="15844" max="16080" width="9.140625" style="123"/>
    <col min="16081" max="16081" width="9" style="123" bestFit="1" customWidth="1"/>
    <col min="16082" max="16082" width="9.85546875" style="123" bestFit="1" customWidth="1"/>
    <col min="16083" max="16083" width="9.140625" style="123" bestFit="1" customWidth="1"/>
    <col min="16084" max="16084" width="16" style="123" bestFit="1" customWidth="1"/>
    <col min="16085" max="16085" width="9" style="123" bestFit="1" customWidth="1"/>
    <col min="16086" max="16086" width="7.85546875" style="123" bestFit="1" customWidth="1"/>
    <col min="16087" max="16087" width="11.7109375" style="123" bestFit="1" customWidth="1"/>
    <col min="16088" max="16088" width="14.28515625" style="123" customWidth="1"/>
    <col min="16089" max="16089" width="11.7109375" style="123" bestFit="1" customWidth="1"/>
    <col min="16090" max="16090" width="14.140625" style="123" bestFit="1" customWidth="1"/>
    <col min="16091" max="16091" width="16.7109375" style="123" customWidth="1"/>
    <col min="16092" max="16092" width="16.5703125" style="123" customWidth="1"/>
    <col min="16093" max="16094" width="7.85546875" style="123" bestFit="1" customWidth="1"/>
    <col min="16095" max="16095" width="8" style="123" bestFit="1" customWidth="1"/>
    <col min="16096" max="16097" width="7.85546875" style="123" bestFit="1" customWidth="1"/>
    <col min="16098" max="16098" width="9.7109375" style="123" customWidth="1"/>
    <col min="16099" max="16099" width="12.85546875" style="123" customWidth="1"/>
    <col min="16100" max="16384" width="9.140625" style="123"/>
  </cols>
  <sheetData>
    <row r="1" spans="1:10" s="125" customFormat="1" ht="15.75" customHeight="1">
      <c r="A1" s="622" t="s">
        <v>1</v>
      </c>
      <c r="B1" s="755" t="s">
        <v>0</v>
      </c>
      <c r="C1" s="754" t="s">
        <v>98</v>
      </c>
      <c r="D1" s="754"/>
      <c r="E1" s="754"/>
      <c r="F1" s="757" t="s">
        <v>264</v>
      </c>
      <c r="G1" s="751" t="s">
        <v>29</v>
      </c>
      <c r="H1" s="752"/>
      <c r="I1" s="752"/>
      <c r="J1" s="753"/>
    </row>
    <row r="2" spans="1:10" ht="16.5" thickBot="1">
      <c r="A2" s="623"/>
      <c r="B2" s="756"/>
      <c r="C2" s="126" t="s">
        <v>23</v>
      </c>
      <c r="D2" s="131" t="s">
        <v>9</v>
      </c>
      <c r="E2" s="134" t="s">
        <v>33</v>
      </c>
      <c r="F2" s="758"/>
      <c r="G2" s="205"/>
      <c r="H2" s="205"/>
      <c r="I2" s="205"/>
      <c r="J2" s="206"/>
    </row>
    <row r="3" spans="1:10" s="273" customFormat="1">
      <c r="A3" s="266">
        <f>'1-συμβολαια'!A3</f>
        <v>4600</v>
      </c>
      <c r="B3" s="267" t="str">
        <f>'1-συμβολαια'!C3</f>
        <v>δωρεά</v>
      </c>
      <c r="C3" s="268"/>
      <c r="D3" s="269"/>
      <c r="E3" s="269"/>
      <c r="F3" s="269"/>
      <c r="G3" s="270" t="s">
        <v>261</v>
      </c>
      <c r="H3" s="270" t="s">
        <v>262</v>
      </c>
      <c r="I3" s="271" t="s">
        <v>263</v>
      </c>
      <c r="J3" s="272"/>
    </row>
    <row r="4" spans="1:10" s="273" customFormat="1">
      <c r="A4" s="266">
        <f>'1-συμβολαια'!A4</f>
        <v>0</v>
      </c>
      <c r="B4" s="267" t="str">
        <f>'1-συμβολαια'!C4</f>
        <v>ΧΡΗΣΙΚΤΗΣΙΑ οικοπέδου &amp; οικίας = 1930 πατρός ΔΩΡΕΑ άτυπη</v>
      </c>
      <c r="C4" s="268"/>
      <c r="D4" s="269"/>
      <c r="E4" s="269"/>
      <c r="F4" s="269"/>
      <c r="G4" s="270" t="s">
        <v>261</v>
      </c>
      <c r="H4" s="270" t="s">
        <v>262</v>
      </c>
      <c r="I4" s="271" t="s">
        <v>263</v>
      </c>
      <c r="J4" s="272"/>
    </row>
    <row r="5" spans="1:10" s="273" customFormat="1">
      <c r="A5" s="266">
        <f>'1-συμβολαια'!A5</f>
        <v>4601</v>
      </c>
      <c r="B5" s="267" t="str">
        <f>'1-συμβολαια'!C5</f>
        <v>αγοραπωλησίας 13.835κ ΕΞΟΦΛΗΣΗ</v>
      </c>
      <c r="C5" s="268"/>
      <c r="D5" s="269"/>
      <c r="E5" s="269"/>
      <c r="F5" s="269"/>
      <c r="G5" s="270" t="s">
        <v>261</v>
      </c>
      <c r="H5" s="270" t="s">
        <v>262</v>
      </c>
      <c r="I5" s="271" t="s">
        <v>263</v>
      </c>
      <c r="J5" s="272"/>
    </row>
    <row r="6" spans="1:10" s="273" customFormat="1">
      <c r="A6" s="266">
        <f>'1-συμβολαια'!A6</f>
        <v>4602</v>
      </c>
      <c r="B6" s="267" t="str">
        <f>'1-συμβολαια'!C6</f>
        <v>κληρονομιάς ΑΠΟΔΟΧΗ</v>
      </c>
      <c r="C6" s="268"/>
      <c r="D6" s="269"/>
      <c r="E6" s="269"/>
      <c r="F6" s="269"/>
      <c r="G6" s="270" t="s">
        <v>261</v>
      </c>
      <c r="H6" s="270" t="s">
        <v>262</v>
      </c>
      <c r="I6" s="271" t="s">
        <v>263</v>
      </c>
      <c r="J6" s="272"/>
    </row>
    <row r="7" spans="1:10" s="273" customFormat="1">
      <c r="A7" s="266">
        <f>'1-συμβολαια'!A7</f>
        <v>0</v>
      </c>
      <c r="B7" s="267" t="str">
        <f>'1-συμβολαια'!C7</f>
        <v>ΧΡΗΣΙΚΤΗΣΙΑ αγροτεμαχίου = 19?? ΑΝΑΔΑΣΜΟΣ</v>
      </c>
      <c r="C7" s="268"/>
      <c r="D7" s="269"/>
      <c r="E7" s="269"/>
      <c r="F7" s="269"/>
      <c r="G7" s="270" t="s">
        <v>261</v>
      </c>
      <c r="H7" s="270" t="s">
        <v>262</v>
      </c>
      <c r="I7" s="271" t="s">
        <v>263</v>
      </c>
      <c r="J7" s="272"/>
    </row>
    <row r="8" spans="1:10" s="273" customFormat="1">
      <c r="A8" s="266">
        <f>'1-συμβολαια'!A8</f>
        <v>4603</v>
      </c>
      <c r="B8" s="267" t="str">
        <f>'1-συμβολαια'!C8</f>
        <v>γονικής 11.618καπολα ΔΙΟΡΘΩΣΗ</v>
      </c>
      <c r="C8" s="268"/>
      <c r="D8" s="269"/>
      <c r="E8" s="269"/>
      <c r="F8" s="269"/>
      <c r="G8" s="270" t="s">
        <v>261</v>
      </c>
      <c r="H8" s="270" t="s">
        <v>262</v>
      </c>
      <c r="I8" s="271" t="s">
        <v>263</v>
      </c>
      <c r="J8" s="272"/>
    </row>
    <row r="9" spans="1:10" s="273" customFormat="1">
      <c r="A9" s="266">
        <f>'1-συμβολαια'!A9</f>
        <v>4604</v>
      </c>
      <c r="B9" s="267" t="str">
        <f>'1-συμβολαια'!C9</f>
        <v>γονικής 11.619καπολα ΔΙΟΡΘΩΣΗ</v>
      </c>
      <c r="C9" s="268"/>
      <c r="D9" s="269"/>
      <c r="E9" s="269"/>
      <c r="F9" s="269"/>
      <c r="G9" s="270" t="s">
        <v>261</v>
      </c>
      <c r="H9" s="270" t="s">
        <v>262</v>
      </c>
      <c r="I9" s="271" t="s">
        <v>263</v>
      </c>
      <c r="J9" s="272"/>
    </row>
    <row r="10" spans="1:10" s="273" customFormat="1">
      <c r="A10" s="266">
        <f>'1-συμβολαια'!A10</f>
        <v>4605</v>
      </c>
      <c r="B10" s="267" t="str">
        <f>'1-συμβολαια'!C10</f>
        <v>* γονικής 11.618καπολα επικαρπίας ΕΝΣΩΜΑΤΩΣΗ {= παραίτηση αδερφής δικαιώματος οίκησης</v>
      </c>
      <c r="C10" s="268"/>
      <c r="D10" s="269"/>
      <c r="E10" s="269"/>
      <c r="F10" s="269"/>
      <c r="G10" s="270" t="s">
        <v>261</v>
      </c>
      <c r="H10" s="270" t="s">
        <v>262</v>
      </c>
      <c r="I10" s="271" t="s">
        <v>263</v>
      </c>
      <c r="J10" s="272"/>
    </row>
    <row r="11" spans="1:10" s="273" customFormat="1">
      <c r="A11" s="266">
        <f>'1-συμβολαια'!A11</f>
        <v>4606</v>
      </c>
      <c r="B11" s="267" t="str">
        <f>'1-συμβολαια'!C11</f>
        <v>πληρεξούσιο</v>
      </c>
      <c r="C11" s="268"/>
      <c r="D11" s="269"/>
      <c r="E11" s="269"/>
      <c r="F11" s="269"/>
      <c r="G11" s="270" t="s">
        <v>261</v>
      </c>
      <c r="H11" s="270" t="s">
        <v>262</v>
      </c>
      <c r="I11" s="271" t="s">
        <v>263</v>
      </c>
      <c r="J11" s="272"/>
    </row>
    <row r="12" spans="1:10" s="273" customFormat="1">
      <c r="A12" s="266">
        <f>'1-συμβολαια'!A12</f>
        <v>4607</v>
      </c>
      <c r="B12" s="267" t="str">
        <f>'1-συμβολαια'!C12</f>
        <v>αγοραπωλησίας 3.919 ΔΙΟΡΘΩΣΗ</v>
      </c>
      <c r="C12" s="268"/>
      <c r="D12" s="269"/>
      <c r="E12" s="269"/>
      <c r="F12" s="269"/>
      <c r="G12" s="270" t="s">
        <v>261</v>
      </c>
      <c r="H12" s="270" t="s">
        <v>262</v>
      </c>
      <c r="I12" s="271" t="s">
        <v>263</v>
      </c>
      <c r="J12" s="272"/>
    </row>
    <row r="13" spans="1:10" s="273" customFormat="1">
      <c r="A13" s="266">
        <f>'1-συμβολαια'!A13</f>
        <v>4608</v>
      </c>
      <c r="B13" s="267" t="str">
        <f>'1-συμβολαια'!C13</f>
        <v>αγοραπωλησία τίμημα = Δ.Ο.Υ. =</v>
      </c>
      <c r="C13" s="268"/>
      <c r="D13" s="269"/>
      <c r="E13" s="269"/>
      <c r="F13" s="269"/>
      <c r="G13" s="270" t="s">
        <v>261</v>
      </c>
      <c r="H13" s="270" t="s">
        <v>262</v>
      </c>
      <c r="I13" s="271" t="s">
        <v>263</v>
      </c>
      <c r="J13" s="272"/>
    </row>
    <row r="14" spans="1:10" s="273" customFormat="1">
      <c r="A14" s="266">
        <f>'1-συμβολαια'!A14</f>
        <v>4609</v>
      </c>
      <c r="B14" s="267" t="str">
        <f>'1-συμβολαια'!C14</f>
        <v>αγοραπωλησία τίμημα = 6.057,27 Δ.Ο.Υ. =</v>
      </c>
      <c r="C14" s="268"/>
      <c r="D14" s="269"/>
      <c r="E14" s="269"/>
      <c r="F14" s="269"/>
      <c r="G14" s="270" t="s">
        <v>261</v>
      </c>
      <c r="H14" s="270" t="s">
        <v>262</v>
      </c>
      <c r="I14" s="271" t="s">
        <v>263</v>
      </c>
      <c r="J14" s="272"/>
    </row>
    <row r="15" spans="1:10" s="273" customFormat="1">
      <c r="A15" s="266">
        <f>'1-συμβολαια'!A15</f>
        <v>4610</v>
      </c>
      <c r="B15" s="267" t="str">
        <f>'1-συμβολαια'!C15</f>
        <v>πληρεξούσιο</v>
      </c>
      <c r="C15" s="268"/>
      <c r="D15" s="269"/>
      <c r="E15" s="269"/>
      <c r="F15" s="269"/>
      <c r="G15" s="270" t="s">
        <v>261</v>
      </c>
      <c r="H15" s="270" t="s">
        <v>262</v>
      </c>
      <c r="I15" s="271" t="s">
        <v>263</v>
      </c>
      <c r="J15" s="272"/>
    </row>
    <row r="16" spans="1:10" s="273" customFormat="1">
      <c r="A16" s="266">
        <f>'1-συμβολαια'!A16</f>
        <v>4611</v>
      </c>
      <c r="B16" s="267" t="str">
        <f>'1-συμβολαια'!C16</f>
        <v>γονική</v>
      </c>
      <c r="C16" s="268"/>
      <c r="D16" s="269"/>
      <c r="E16" s="269"/>
      <c r="F16" s="269"/>
      <c r="G16" s="270" t="s">
        <v>261</v>
      </c>
      <c r="H16" s="270" t="s">
        <v>262</v>
      </c>
      <c r="I16" s="271" t="s">
        <v>263</v>
      </c>
      <c r="J16" s="272"/>
    </row>
    <row r="17" spans="1:10" s="273" customFormat="1">
      <c r="A17" s="266">
        <f>'1-συμβολαια'!A17</f>
        <v>0</v>
      </c>
      <c r="B17" s="267" t="str">
        <f>'1-συμβολαια'!C17</f>
        <v>ΧΡΗΣΙΚΤΗΣΙΑ οικοπέδου = 1973 κυπαρισσίουΠαναγιώτη ΑΓΟΡΑΠΩΛΗΣΙΑ άτυπη</v>
      </c>
      <c r="C17" s="268"/>
      <c r="D17" s="269"/>
      <c r="E17" s="269"/>
      <c r="F17" s="269"/>
      <c r="G17" s="270" t="s">
        <v>261</v>
      </c>
      <c r="H17" s="270" t="s">
        <v>262</v>
      </c>
      <c r="I17" s="271" t="s">
        <v>263</v>
      </c>
      <c r="J17" s="272"/>
    </row>
    <row r="18" spans="1:10" s="273" customFormat="1">
      <c r="A18" s="266">
        <f>'1-συμβολαια'!A18</f>
        <v>0</v>
      </c>
      <c r="B18" s="267" t="str">
        <f>'1-συμβολαια'!C18</f>
        <v>οριζόντιος ΣΥΣΤΑΣΗ</v>
      </c>
      <c r="C18" s="268"/>
      <c r="D18" s="269"/>
      <c r="E18" s="269"/>
      <c r="F18" s="269"/>
      <c r="G18" s="270" t="s">
        <v>261</v>
      </c>
      <c r="H18" s="270" t="s">
        <v>262</v>
      </c>
      <c r="I18" s="271" t="s">
        <v>263</v>
      </c>
      <c r="J18" s="272"/>
    </row>
    <row r="19" spans="1:10" s="273" customFormat="1">
      <c r="A19" s="266">
        <f>'1-συμβολαια'!A19</f>
        <v>4612</v>
      </c>
      <c r="B19" s="267" t="str">
        <f>'1-συμβολαια'!C19</f>
        <v>κληρονομιάς ΑΠΟΔΟΧΗ</v>
      </c>
      <c r="C19" s="268"/>
      <c r="D19" s="269"/>
      <c r="E19" s="269"/>
      <c r="F19" s="269"/>
      <c r="G19" s="270" t="s">
        <v>261</v>
      </c>
      <c r="H19" s="270" t="s">
        <v>262</v>
      </c>
      <c r="I19" s="271" t="s">
        <v>263</v>
      </c>
      <c r="J19" s="272"/>
    </row>
    <row r="20" spans="1:10" s="273" customFormat="1">
      <c r="A20" s="266">
        <f>'1-συμβολαια'!A20</f>
        <v>4613</v>
      </c>
      <c r="B20" s="267" t="str">
        <f>'1-συμβολαια'!C20</f>
        <v>γονική</v>
      </c>
      <c r="C20" s="268"/>
      <c r="D20" s="269"/>
      <c r="E20" s="269"/>
      <c r="F20" s="269"/>
      <c r="G20" s="270" t="s">
        <v>261</v>
      </c>
      <c r="H20" s="270" t="s">
        <v>262</v>
      </c>
      <c r="I20" s="271" t="s">
        <v>263</v>
      </c>
      <c r="J20" s="272"/>
    </row>
    <row r="21" spans="1:10" s="273" customFormat="1">
      <c r="A21" s="266">
        <f>'1-συμβολαια'!A21</f>
        <v>4614</v>
      </c>
      <c r="B21" s="267" t="str">
        <f>'1-συμβολαια'!C21</f>
        <v>διαθήκη</v>
      </c>
      <c r="C21" s="268"/>
      <c r="D21" s="269"/>
      <c r="E21" s="269"/>
      <c r="F21" s="269"/>
      <c r="G21" s="270" t="s">
        <v>261</v>
      </c>
      <c r="H21" s="270" t="s">
        <v>262</v>
      </c>
      <c r="I21" s="271" t="s">
        <v>263</v>
      </c>
      <c r="J21" s="272"/>
    </row>
    <row r="22" spans="1:10" s="273" customFormat="1">
      <c r="A22" s="266">
        <f>'1-συμβολαια'!A22</f>
        <v>4615</v>
      </c>
      <c r="B22" s="267" t="str">
        <f>'1-συμβολαια'!C22</f>
        <v>δωρεά</v>
      </c>
      <c r="C22" s="268"/>
      <c r="D22" s="269"/>
      <c r="E22" s="269"/>
      <c r="F22" s="269"/>
      <c r="G22" s="270" t="s">
        <v>261</v>
      </c>
      <c r="H22" s="270" t="s">
        <v>262</v>
      </c>
      <c r="I22" s="271" t="s">
        <v>263</v>
      </c>
      <c r="J22" s="272"/>
    </row>
    <row r="23" spans="1:10" s="273" customFormat="1">
      <c r="A23" s="266">
        <f>'1-συμβολαια'!A23</f>
        <v>0</v>
      </c>
      <c r="B23" s="267" t="str">
        <f>'1-συμβολαια'!C23</f>
        <v>ΧΡΗΣΙΚΤΗΣΙΑ οικοπέδου &amp; οικίας = 1935 πατρός ΔΩΡΕΑ άτυπη</v>
      </c>
      <c r="C23" s="268"/>
      <c r="D23" s="269"/>
      <c r="E23" s="269"/>
      <c r="F23" s="269"/>
      <c r="G23" s="270" t="s">
        <v>261</v>
      </c>
      <c r="H23" s="270" t="s">
        <v>262</v>
      </c>
      <c r="I23" s="271" t="s">
        <v>263</v>
      </c>
      <c r="J23" s="272"/>
    </row>
    <row r="24" spans="1:10" s="273" customFormat="1">
      <c r="A24" s="266">
        <f>'1-συμβολαια'!A24</f>
        <v>4616</v>
      </c>
      <c r="B24" s="267" t="str">
        <f>'1-συμβολαια'!C24</f>
        <v>δωρεά</v>
      </c>
      <c r="C24" s="268"/>
      <c r="D24" s="269"/>
      <c r="E24" s="269"/>
      <c r="F24" s="269"/>
      <c r="G24" s="270" t="s">
        <v>261</v>
      </c>
      <c r="H24" s="270" t="s">
        <v>262</v>
      </c>
      <c r="I24" s="271" t="s">
        <v>263</v>
      </c>
      <c r="J24" s="272"/>
    </row>
    <row r="25" spans="1:10" s="273" customFormat="1">
      <c r="A25" s="266">
        <f>'1-συμβολαια'!A25</f>
        <v>0</v>
      </c>
      <c r="B25" s="267" t="str">
        <f>'1-συμβολαια'!C25</f>
        <v>ΧΡΗΣΙΚΤΗΣΙΑ αγροτεμαχίου = 1925 πατρός ΔΩΡΕΑ άτυπη</v>
      </c>
      <c r="C25" s="268"/>
      <c r="D25" s="269"/>
      <c r="E25" s="269"/>
      <c r="F25" s="269"/>
      <c r="G25" s="270" t="s">
        <v>261</v>
      </c>
      <c r="H25" s="270" t="s">
        <v>262</v>
      </c>
      <c r="I25" s="271" t="s">
        <v>263</v>
      </c>
      <c r="J25" s="272"/>
    </row>
    <row r="26" spans="1:10" s="273" customFormat="1">
      <c r="A26" s="266">
        <f>'1-συμβολαια'!A26</f>
        <v>0</v>
      </c>
      <c r="B26" s="267" t="str">
        <f>'1-συμβολαια'!C26</f>
        <v>ΧΡΗΣΙΚΤΗΣΙΑ αγροτεμαχίου (νυν οικόπεδο) = 1975 ΑΝΑΔΑΣΜΟΣ</v>
      </c>
      <c r="C26" s="268"/>
      <c r="D26" s="269"/>
      <c r="E26" s="269"/>
      <c r="F26" s="269"/>
      <c r="G26" s="270" t="s">
        <v>261</v>
      </c>
      <c r="H26" s="270" t="s">
        <v>262</v>
      </c>
      <c r="I26" s="271" t="s">
        <v>263</v>
      </c>
      <c r="J26" s="272"/>
    </row>
    <row r="27" spans="1:10" s="273" customFormat="1">
      <c r="A27" s="266">
        <f>'1-συμβολαια'!A27</f>
        <v>4617</v>
      </c>
      <c r="B27" s="267" t="str">
        <f>'1-συμβολαια'!C27</f>
        <v>προσύμφωνο μεταβιβάσεως ποσοστών οικοπέδου</v>
      </c>
      <c r="C27" s="268"/>
      <c r="D27" s="269"/>
      <c r="E27" s="269"/>
      <c r="F27" s="269"/>
      <c r="G27" s="270" t="s">
        <v>261</v>
      </c>
      <c r="H27" s="270" t="s">
        <v>262</v>
      </c>
      <c r="I27" s="271" t="s">
        <v>263</v>
      </c>
      <c r="J27" s="272"/>
    </row>
    <row r="28" spans="1:10" s="273" customFormat="1">
      <c r="A28" s="266">
        <f>'1-συμβολαια'!A28</f>
        <v>0</v>
      </c>
      <c r="B28" s="267" t="str">
        <f>'1-συμβολαια'!C28</f>
        <v>εργολαβικό</v>
      </c>
      <c r="C28" s="268"/>
      <c r="D28" s="269"/>
      <c r="E28" s="269"/>
      <c r="F28" s="269"/>
      <c r="G28" s="270" t="s">
        <v>261</v>
      </c>
      <c r="H28" s="270" t="s">
        <v>262</v>
      </c>
      <c r="I28" s="271" t="s">
        <v>263</v>
      </c>
      <c r="J28" s="272"/>
    </row>
    <row r="29" spans="1:10" s="273" customFormat="1">
      <c r="A29" s="266">
        <f>'1-συμβολαια'!A29</f>
        <v>4618</v>
      </c>
      <c r="B29" s="267" t="str">
        <f>'1-συμβολαια'!C29</f>
        <v>πληρεξούσιο</v>
      </c>
      <c r="C29" s="268"/>
      <c r="D29" s="269"/>
      <c r="E29" s="269"/>
      <c r="F29" s="269"/>
      <c r="G29" s="270" t="s">
        <v>261</v>
      </c>
      <c r="H29" s="270" t="s">
        <v>262</v>
      </c>
      <c r="I29" s="271" t="s">
        <v>263</v>
      </c>
      <c r="J29" s="272"/>
    </row>
    <row r="30" spans="1:10" s="273" customFormat="1">
      <c r="A30" s="266">
        <f>'1-συμβολαια'!A30</f>
        <v>4619</v>
      </c>
      <c r="B30" s="267" t="str">
        <f>'1-συμβολαια'!C30</f>
        <v>αγοραπωλησίας ΠΡΟΣΥΜΦΩΝΟ τίμημα = αρραβών =</v>
      </c>
      <c r="C30" s="268"/>
      <c r="D30" s="269"/>
      <c r="E30" s="269"/>
      <c r="F30" s="269"/>
      <c r="G30" s="270" t="s">
        <v>261</v>
      </c>
      <c r="H30" s="270" t="s">
        <v>262</v>
      </c>
      <c r="I30" s="271" t="s">
        <v>263</v>
      </c>
      <c r="J30" s="272"/>
    </row>
    <row r="31" spans="1:10" s="273" customFormat="1">
      <c r="A31" s="266">
        <f>'1-συμβολαια'!A31</f>
        <v>0</v>
      </c>
      <c r="B31" s="267" t="str">
        <f>'1-συμβολαια'!C31</f>
        <v>ΧΡΗΣΙΚΤΗΣΙΑ αγροτεμαχίου = 1975 πατρός ΔΩΡΕΑ άτυπη</v>
      </c>
      <c r="C31" s="268"/>
      <c r="D31" s="269"/>
      <c r="E31" s="269"/>
      <c r="F31" s="269"/>
      <c r="G31" s="270" t="s">
        <v>261</v>
      </c>
      <c r="H31" s="270" t="s">
        <v>262</v>
      </c>
      <c r="I31" s="271" t="s">
        <v>263</v>
      </c>
      <c r="J31" s="272"/>
    </row>
    <row r="32" spans="1:10" s="273" customFormat="1">
      <c r="A32" s="266">
        <f>'1-συμβολαια'!A32</f>
        <v>4620</v>
      </c>
      <c r="B32" s="267" t="str">
        <f>'1-συμβολαια'!C32</f>
        <v>γονική</v>
      </c>
      <c r="C32" s="268"/>
      <c r="D32" s="269"/>
      <c r="E32" s="269"/>
      <c r="F32" s="269"/>
      <c r="G32" s="270" t="s">
        <v>261</v>
      </c>
      <c r="H32" s="270" t="s">
        <v>262</v>
      </c>
      <c r="I32" s="271" t="s">
        <v>263</v>
      </c>
      <c r="J32" s="272"/>
    </row>
    <row r="33" spans="1:10" s="273" customFormat="1">
      <c r="A33" s="266">
        <f>'1-συμβολαια'!A33</f>
        <v>0</v>
      </c>
      <c r="B33" s="267" t="str">
        <f>'1-συμβολαια'!C33</f>
        <v>κάθετος ΣΥΣΤΑΣΗ</v>
      </c>
      <c r="C33" s="268"/>
      <c r="D33" s="269"/>
      <c r="E33" s="269"/>
      <c r="F33" s="269"/>
      <c r="G33" s="270" t="s">
        <v>261</v>
      </c>
      <c r="H33" s="270" t="s">
        <v>262</v>
      </c>
      <c r="I33" s="271" t="s">
        <v>263</v>
      </c>
      <c r="J33" s="272"/>
    </row>
    <row r="34" spans="1:10" s="273" customFormat="1">
      <c r="A34" s="266">
        <f>'1-συμβολαια'!A34</f>
        <v>0</v>
      </c>
      <c r="B34" s="267" t="str">
        <f>'1-συμβολαια'!C34</f>
        <v>ΧΡΗΣΙΚΤΗΣΙΑ αγροτεμαχίου (νυν οικόπεδο) = 19?? ΑΝΑΔΑΣΜΟΣ</v>
      </c>
      <c r="C34" s="268"/>
      <c r="D34" s="269"/>
      <c r="E34" s="269"/>
      <c r="F34" s="269"/>
      <c r="G34" s="270" t="s">
        <v>261</v>
      </c>
      <c r="H34" s="270" t="s">
        <v>262</v>
      </c>
      <c r="I34" s="271" t="s">
        <v>263</v>
      </c>
      <c r="J34" s="272"/>
    </row>
    <row r="35" spans="1:10" s="273" customFormat="1">
      <c r="A35" s="266">
        <f>'1-συμβολαια'!A35</f>
        <v>4621</v>
      </c>
      <c r="B35" s="267" t="str">
        <f>'1-συμβολαια'!C35</f>
        <v>γονική</v>
      </c>
      <c r="C35" s="268"/>
      <c r="D35" s="269"/>
      <c r="E35" s="269"/>
      <c r="F35" s="269"/>
      <c r="G35" s="270" t="s">
        <v>261</v>
      </c>
      <c r="H35" s="270" t="s">
        <v>262</v>
      </c>
      <c r="I35" s="271" t="s">
        <v>263</v>
      </c>
      <c r="J35" s="272"/>
    </row>
    <row r="36" spans="1:10" s="273" customFormat="1">
      <c r="A36" s="266">
        <f>'1-συμβολαια'!A36</f>
        <v>0</v>
      </c>
      <c r="B36" s="267" t="str">
        <f>'1-συμβολαια'!C36</f>
        <v>οριζόντιος ΣΥΣΤΑΣΗ</v>
      </c>
      <c r="C36" s="268"/>
      <c r="D36" s="269"/>
      <c r="E36" s="269"/>
      <c r="F36" s="269"/>
      <c r="G36" s="270" t="s">
        <v>261</v>
      </c>
      <c r="H36" s="270" t="s">
        <v>262</v>
      </c>
      <c r="I36" s="271" t="s">
        <v>263</v>
      </c>
      <c r="J36" s="272"/>
    </row>
    <row r="37" spans="1:10" s="273" customFormat="1">
      <c r="A37" s="266">
        <f>'1-συμβολαια'!A37</f>
        <v>4622</v>
      </c>
      <c r="B37" s="267" t="str">
        <f>'1-συμβολαια'!C37</f>
        <v>πληρεξούσιο</v>
      </c>
      <c r="C37" s="268"/>
      <c r="D37" s="269"/>
      <c r="E37" s="269"/>
      <c r="F37" s="269"/>
      <c r="G37" s="270" t="s">
        <v>261</v>
      </c>
      <c r="H37" s="270" t="s">
        <v>262</v>
      </c>
      <c r="I37" s="271" t="s">
        <v>263</v>
      </c>
      <c r="J37" s="272"/>
    </row>
    <row r="38" spans="1:10" s="273" customFormat="1">
      <c r="A38" s="266">
        <f>'1-συμβολαια'!A38</f>
        <v>4623</v>
      </c>
      <c r="B38" s="267" t="str">
        <f>'1-συμβολαια'!C38</f>
        <v>πληρεξούσιο</v>
      </c>
      <c r="C38" s="268"/>
      <c r="D38" s="269"/>
      <c r="E38" s="269"/>
      <c r="F38" s="269"/>
      <c r="G38" s="270" t="s">
        <v>261</v>
      </c>
      <c r="H38" s="270" t="s">
        <v>262</v>
      </c>
      <c r="I38" s="271" t="s">
        <v>263</v>
      </c>
      <c r="J38" s="272"/>
    </row>
    <row r="39" spans="1:10" s="273" customFormat="1">
      <c r="A39" s="266">
        <f>'1-συμβολαια'!A39</f>
        <v>4624</v>
      </c>
      <c r="B39" s="267" t="str">
        <f>'1-συμβολαια'!C39</f>
        <v>*γονική ΨΙΛΗΣ ΚΥΡΙΟΤΗΤΑΣ</v>
      </c>
      <c r="C39" s="268"/>
      <c r="D39" s="269"/>
      <c r="E39" s="269"/>
      <c r="F39" s="269"/>
      <c r="G39" s="270" t="s">
        <v>261</v>
      </c>
      <c r="H39" s="270" t="s">
        <v>262</v>
      </c>
      <c r="I39" s="271" t="s">
        <v>263</v>
      </c>
      <c r="J39" s="272"/>
    </row>
    <row r="40" spans="1:10" s="273" customFormat="1">
      <c r="A40" s="266">
        <f>'1-συμβολαια'!A40</f>
        <v>0</v>
      </c>
      <c r="B40" s="267" t="str">
        <f>'1-συμβολαια'!C40</f>
        <v>ΧΡΗΣΙΚΤΗΣΙΑ οικοπέδου = 1949 πατρός ΔΩΡΕΑ άτυπη</v>
      </c>
      <c r="C40" s="268"/>
      <c r="D40" s="269"/>
      <c r="E40" s="269"/>
      <c r="F40" s="269"/>
      <c r="G40" s="270" t="s">
        <v>261</v>
      </c>
      <c r="H40" s="270" t="s">
        <v>262</v>
      </c>
      <c r="I40" s="271" t="s">
        <v>263</v>
      </c>
      <c r="J40" s="272"/>
    </row>
    <row r="41" spans="1:10" s="273" customFormat="1">
      <c r="A41" s="266">
        <f>'1-συμβολαια'!A41</f>
        <v>0</v>
      </c>
      <c r="B41" s="267" t="str">
        <f>'1-συμβολαια'!C41</f>
        <v>ΧΡΗΣΙΚΤΗΣΙΑ αγροτεμαχίων = 1963 αγοραπωλησίας ΒΑΣΕΙ προσυμφώνου ΜΗ εκτελεσθέντος</v>
      </c>
      <c r="C41" s="268"/>
      <c r="D41" s="269"/>
      <c r="E41" s="269"/>
      <c r="F41" s="269"/>
      <c r="G41" s="270" t="s">
        <v>261</v>
      </c>
      <c r="H41" s="270" t="s">
        <v>262</v>
      </c>
      <c r="I41" s="271" t="s">
        <v>263</v>
      </c>
      <c r="J41" s="272"/>
    </row>
    <row r="42" spans="1:10" s="273" customFormat="1">
      <c r="A42" s="266">
        <f>'1-συμβολαια'!A42</f>
        <v>4625</v>
      </c>
      <c r="B42" s="267" t="str">
        <f>'1-συμβολαια'!C42</f>
        <v>*γονική ΨΙΛΗΣ ΚΥΡΙΟΤΗΤΑΣ</v>
      </c>
      <c r="C42" s="268"/>
      <c r="D42" s="269"/>
      <c r="E42" s="269"/>
      <c r="F42" s="269"/>
      <c r="G42" s="270" t="s">
        <v>261</v>
      </c>
      <c r="H42" s="270" t="s">
        <v>262</v>
      </c>
      <c r="I42" s="271" t="s">
        <v>263</v>
      </c>
      <c r="J42" s="272"/>
    </row>
    <row r="43" spans="1:10" s="273" customFormat="1">
      <c r="A43" s="266">
        <f>'1-συμβολαια'!A43</f>
        <v>0</v>
      </c>
      <c r="B43" s="267" t="str">
        <f>'1-συμβολαια'!C43</f>
        <v>ΧΡΗΣΙΚΤΗΣΙΑ αγροτεμαχίου = 19?? πατρός ΔΩΡΕΑ άτυπη</v>
      </c>
      <c r="C43" s="268"/>
      <c r="D43" s="269"/>
      <c r="E43" s="269"/>
      <c r="F43" s="269"/>
      <c r="G43" s="270" t="s">
        <v>261</v>
      </c>
      <c r="H43" s="270" t="s">
        <v>262</v>
      </c>
      <c r="I43" s="271" t="s">
        <v>263</v>
      </c>
      <c r="J43" s="272"/>
    </row>
    <row r="44" spans="1:10" s="273" customFormat="1">
      <c r="A44" s="266">
        <f>'1-συμβολαια'!A44</f>
        <v>4626</v>
      </c>
      <c r="B44" s="267" t="str">
        <f>'1-συμβολαια'!C44</f>
        <v>*γονική ΨΙΛΗΣ ΚΥΡΙΟΤΗΤΑΣ</v>
      </c>
      <c r="C44" s="268"/>
      <c r="D44" s="269"/>
      <c r="E44" s="269"/>
      <c r="F44" s="269"/>
      <c r="G44" s="270" t="s">
        <v>261</v>
      </c>
      <c r="H44" s="270" t="s">
        <v>262</v>
      </c>
      <c r="I44" s="271" t="s">
        <v>263</v>
      </c>
      <c r="J44" s="272"/>
    </row>
    <row r="45" spans="1:10" s="273" customFormat="1">
      <c r="A45" s="266">
        <f>'1-συμβολαια'!A45</f>
        <v>0</v>
      </c>
      <c r="B45" s="267" t="str">
        <f>'1-συμβολαια'!C45</f>
        <v>ΧΡΗΣΙΚΤΗΣΙΑ αγροτεμαχίου = 1979 ΑΝΑΔΑΣΜΟΣ</v>
      </c>
      <c r="C45" s="268"/>
      <c r="D45" s="269"/>
      <c r="E45" s="269"/>
      <c r="F45" s="269"/>
      <c r="G45" s="270" t="s">
        <v>261</v>
      </c>
      <c r="H45" s="270" t="s">
        <v>262</v>
      </c>
      <c r="I45" s="271" t="s">
        <v>263</v>
      </c>
      <c r="J45" s="272"/>
    </row>
    <row r="46" spans="1:10" s="273" customFormat="1">
      <c r="A46" s="266">
        <f>'1-συμβολαια'!A46</f>
        <v>0</v>
      </c>
      <c r="B46" s="267" t="str">
        <f>'1-συμβολαια'!C46</f>
        <v>ΧΡΗΣΙΚΤΗΣΙΑ αγροτεμαχίων = 1957 τακοΑναστασιο ΑΓΟΡΑΠΩΛΗΣΙΑ άτυπη</v>
      </c>
      <c r="C46" s="268"/>
      <c r="D46" s="269"/>
      <c r="E46" s="269"/>
      <c r="F46" s="269"/>
      <c r="G46" s="270" t="s">
        <v>261</v>
      </c>
      <c r="H46" s="270" t="s">
        <v>262</v>
      </c>
      <c r="I46" s="271" t="s">
        <v>263</v>
      </c>
      <c r="J46" s="272"/>
    </row>
    <row r="47" spans="1:10" s="273" customFormat="1">
      <c r="A47" s="266">
        <f>'1-συμβολαια'!A47</f>
        <v>4627</v>
      </c>
      <c r="B47" s="267" t="str">
        <f>'1-συμβολαια'!C47</f>
        <v>*δωρεά ΑΙΤΙΑ θανάτου</v>
      </c>
      <c r="C47" s="268"/>
      <c r="D47" s="269"/>
      <c r="E47" s="269"/>
      <c r="F47" s="269"/>
      <c r="G47" s="270" t="s">
        <v>261</v>
      </c>
      <c r="H47" s="270" t="s">
        <v>262</v>
      </c>
      <c r="I47" s="271" t="s">
        <v>263</v>
      </c>
      <c r="J47" s="272"/>
    </row>
    <row r="48" spans="1:10" s="273" customFormat="1">
      <c r="A48" s="266">
        <f>'1-συμβολαια'!A48</f>
        <v>0</v>
      </c>
      <c r="B48" s="267" t="str">
        <f>'1-συμβολαια'!C48</f>
        <v>ΧΡΗΣΙΚΤΗΣΙΑ αγροτεμαχίου [νυν οικόπεδο ΜΕ οικοδομή] ] = 1970 ΑΝΑΔΑΣΜΟΣ</v>
      </c>
      <c r="C48" s="268"/>
      <c r="D48" s="269"/>
      <c r="E48" s="269"/>
      <c r="F48" s="269"/>
      <c r="G48" s="270" t="s">
        <v>261</v>
      </c>
      <c r="H48" s="270" t="s">
        <v>262</v>
      </c>
      <c r="I48" s="271" t="s">
        <v>263</v>
      </c>
      <c r="J48" s="272"/>
    </row>
    <row r="49" spans="1:12" s="273" customFormat="1">
      <c r="A49" s="266">
        <f>'1-συμβολαια'!A49</f>
        <v>0</v>
      </c>
      <c r="B49" s="267" t="str">
        <f>'1-συμβολαια'!C49</f>
        <v>*γονικής 1262  ΕΠΙΚΑΡΠΙΑ …  ΔΩΡΕΑ αιτία θανάτου</v>
      </c>
      <c r="C49" s="268"/>
      <c r="D49" s="269"/>
      <c r="E49" s="269"/>
      <c r="F49" s="269"/>
      <c r="G49" s="270" t="s">
        <v>261</v>
      </c>
      <c r="H49" s="270" t="s">
        <v>262</v>
      </c>
      <c r="I49" s="271" t="s">
        <v>263</v>
      </c>
      <c r="J49" s="272"/>
    </row>
    <row r="50" spans="1:12" s="273" customFormat="1">
      <c r="A50" s="266">
        <f>'1-συμβολαια'!A50</f>
        <v>4628</v>
      </c>
      <c r="B50" s="267" t="str">
        <f>'1-συμβολαια'!C50</f>
        <v>πληρεξούσιο</v>
      </c>
      <c r="C50" s="268"/>
      <c r="D50" s="269"/>
      <c r="E50" s="269"/>
      <c r="F50" s="269"/>
      <c r="G50" s="270" t="s">
        <v>261</v>
      </c>
      <c r="H50" s="270" t="s">
        <v>262</v>
      </c>
      <c r="I50" s="271" t="s">
        <v>263</v>
      </c>
      <c r="J50" s="272"/>
    </row>
    <row r="51" spans="1:12" s="273" customFormat="1">
      <c r="A51" s="266">
        <f>'1-συμβολαια'!A51</f>
        <v>4629</v>
      </c>
      <c r="B51" s="267" t="str">
        <f>'1-συμβολαια'!C51</f>
        <v>κληρονομιάς ΑΠΟΔΟΧΗ</v>
      </c>
      <c r="C51" s="268"/>
      <c r="D51" s="269"/>
      <c r="E51" s="269"/>
      <c r="F51" s="269"/>
      <c r="G51" s="270" t="s">
        <v>261</v>
      </c>
      <c r="H51" s="270" t="s">
        <v>262</v>
      </c>
      <c r="I51" s="271" t="s">
        <v>263</v>
      </c>
      <c r="J51" s="272"/>
    </row>
    <row r="52" spans="1:12" s="273" customFormat="1">
      <c r="A52" s="266">
        <f>'1-συμβολαια'!A52</f>
        <v>0</v>
      </c>
      <c r="B52" s="267" t="str">
        <f>'1-συμβολαια'!C52</f>
        <v>ΧΡΗΣΙΚΤΗΣΙΑ αγροτεμαχίου = 1980 πατρός ΚΛΗΡΟΝΟΜΙΑ άτυπη</v>
      </c>
      <c r="C52" s="268"/>
      <c r="D52" s="269"/>
      <c r="E52" s="269"/>
      <c r="F52" s="269"/>
      <c r="G52" s="270" t="s">
        <v>261</v>
      </c>
      <c r="H52" s="270" t="s">
        <v>262</v>
      </c>
      <c r="I52" s="271" t="s">
        <v>263</v>
      </c>
      <c r="J52" s="272"/>
    </row>
    <row r="53" spans="1:12" s="273" customFormat="1">
      <c r="A53" s="266">
        <f>'1-συμβολαια'!A53</f>
        <v>0</v>
      </c>
      <c r="B53" s="267" t="str">
        <f>'1-συμβολαια'!C53</f>
        <v>ΧΡΗΣΙΚΤΗΣΙΑ αγροτεμαχίου = 1980 ΔΙΑΝΟΜΗ άτυπη</v>
      </c>
      <c r="C53" s="268"/>
      <c r="D53" s="269"/>
      <c r="E53" s="269"/>
      <c r="F53" s="269"/>
      <c r="G53" s="270" t="s">
        <v>261</v>
      </c>
      <c r="H53" s="270" t="s">
        <v>262</v>
      </c>
      <c r="I53" s="271" t="s">
        <v>263</v>
      </c>
      <c r="J53" s="272"/>
    </row>
    <row r="54" spans="1:12" s="273" customFormat="1">
      <c r="A54" s="266">
        <f>'1-συμβολαια'!A54</f>
        <v>4630</v>
      </c>
      <c r="B54" s="267" t="str">
        <f>'1-συμβολαια'!C54</f>
        <v xml:space="preserve">αγοραπωλησίας ΠΡΟΣΥΜΦΩΝΟ τίμημα = αρραβών = </v>
      </c>
      <c r="C54" s="268"/>
      <c r="D54" s="269"/>
      <c r="E54" s="269"/>
      <c r="F54" s="269"/>
      <c r="G54" s="270" t="s">
        <v>261</v>
      </c>
      <c r="H54" s="270" t="s">
        <v>262</v>
      </c>
      <c r="I54" s="271" t="s">
        <v>263</v>
      </c>
      <c r="J54" s="272"/>
    </row>
    <row r="55" spans="1:12" s="273" customFormat="1">
      <c r="A55" s="266">
        <f>'1-συμβολαια'!A55</f>
        <v>0</v>
      </c>
      <c r="B55" s="267" t="str">
        <f>'1-συμβολαια'!C55</f>
        <v>ΧΡΗΣΙΚΤΗΣΙΑ αγροτεμαχίου = 1970 συζύγου ΔΩΡΕΑ άτυπη</v>
      </c>
      <c r="C55" s="268"/>
      <c r="D55" s="269"/>
      <c r="E55" s="269"/>
      <c r="F55" s="269"/>
      <c r="G55" s="270" t="s">
        <v>261</v>
      </c>
      <c r="H55" s="270" t="s">
        <v>262</v>
      </c>
      <c r="I55" s="271" t="s">
        <v>263</v>
      </c>
      <c r="J55" s="272"/>
    </row>
    <row r="56" spans="1:12" s="273" customFormat="1">
      <c r="A56" s="266">
        <f>'1-συμβολαια'!A56</f>
        <v>4631</v>
      </c>
      <c r="B56" s="267" t="str">
        <f>'1-συμβολαια'!C56</f>
        <v>αγοραπωλησίας 4.191 ΕΞΟΦΛΗΣΗ</v>
      </c>
      <c r="C56" s="268"/>
      <c r="D56" s="269"/>
      <c r="E56" s="269"/>
      <c r="F56" s="269"/>
      <c r="G56" s="270" t="s">
        <v>261</v>
      </c>
      <c r="H56" s="270" t="s">
        <v>262</v>
      </c>
      <c r="I56" s="271" t="s">
        <v>263</v>
      </c>
      <c r="J56" s="272"/>
    </row>
    <row r="57" spans="1:12" s="273" customFormat="1">
      <c r="A57" s="266"/>
      <c r="B57" s="267"/>
      <c r="C57" s="268"/>
      <c r="D57" s="269"/>
      <c r="E57" s="269"/>
      <c r="F57" s="269"/>
      <c r="G57" s="270"/>
      <c r="H57" s="270"/>
      <c r="I57" s="271"/>
      <c r="J57" s="272"/>
    </row>
    <row r="58" spans="1:12" s="273" customFormat="1">
      <c r="A58" s="266"/>
      <c r="B58" s="267"/>
      <c r="C58" s="268"/>
      <c r="D58" s="269"/>
      <c r="E58" s="269"/>
      <c r="F58" s="269"/>
      <c r="G58" s="270"/>
      <c r="H58" s="270"/>
      <c r="I58" s="271"/>
      <c r="J58" s="272"/>
    </row>
    <row r="59" spans="1:12" ht="15.75">
      <c r="A59" s="638" t="s">
        <v>47</v>
      </c>
      <c r="B59" s="639"/>
      <c r="C59" s="122">
        <f>SUM(C3:C58)</f>
        <v>0</v>
      </c>
      <c r="D59" s="122">
        <f>SUM(D3:D58)</f>
        <v>0</v>
      </c>
      <c r="E59" s="122">
        <f>SUM(E3:E58)</f>
        <v>0</v>
      </c>
      <c r="F59" s="122">
        <f>SUM(F3:F58)</f>
        <v>0</v>
      </c>
    </row>
    <row r="60" spans="1:12" ht="15.75" customHeight="1">
      <c r="G60" s="200"/>
      <c r="H60" s="200"/>
      <c r="I60" s="200"/>
      <c r="J60" s="200"/>
      <c r="K60" s="165"/>
      <c r="L60" s="165"/>
    </row>
    <row r="61" spans="1:12" ht="15.75" customHeight="1">
      <c r="G61" s="202" t="s">
        <v>112</v>
      </c>
      <c r="H61" s="198"/>
      <c r="I61" s="203"/>
      <c r="J61" s="201"/>
      <c r="K61" s="201"/>
      <c r="L61" s="201"/>
    </row>
    <row r="62" spans="1:12" ht="15.75">
      <c r="G62" s="198"/>
      <c r="H62" s="204" t="s">
        <v>259</v>
      </c>
      <c r="I62" s="203"/>
      <c r="J62" s="69"/>
      <c r="K62" s="69"/>
      <c r="L62" s="165"/>
    </row>
    <row r="63" spans="1:12">
      <c r="G63" s="198"/>
      <c r="H63" s="198"/>
      <c r="I63" s="202" t="s">
        <v>260</v>
      </c>
      <c r="J63" s="143"/>
      <c r="K63" s="165"/>
      <c r="L63" s="165"/>
    </row>
    <row r="64" spans="1:12">
      <c r="G64" s="143"/>
      <c r="H64" s="143"/>
      <c r="I64" s="143"/>
    </row>
    <row r="65" spans="2:9">
      <c r="B65" s="255" t="s">
        <v>613</v>
      </c>
      <c r="C65" s="130">
        <f>SUM(C62:C64)</f>
        <v>0</v>
      </c>
      <c r="G65" s="143"/>
      <c r="H65" s="143"/>
      <c r="I65" s="143"/>
    </row>
    <row r="66" spans="2:9">
      <c r="B66" s="254" t="s">
        <v>614</v>
      </c>
      <c r="I66" s="143"/>
    </row>
    <row r="67" spans="2:9">
      <c r="I67" s="143"/>
    </row>
    <row r="68" spans="2:9">
      <c r="I68" s="143"/>
    </row>
    <row r="69" spans="2:9">
      <c r="G69" s="4"/>
      <c r="H69" s="143"/>
      <c r="I69" s="143"/>
    </row>
    <row r="70" spans="2:9">
      <c r="G70" s="143"/>
      <c r="H70" s="199"/>
      <c r="I70" s="143"/>
    </row>
    <row r="71" spans="2:9">
      <c r="G71" s="143"/>
      <c r="H71" s="143"/>
      <c r="I71" s="4"/>
    </row>
    <row r="72" spans="2:9">
      <c r="I72" s="143"/>
    </row>
    <row r="73" spans="2:9">
      <c r="I73" s="143"/>
    </row>
    <row r="74" spans="2:9">
      <c r="I74" s="143"/>
    </row>
    <row r="75" spans="2:9">
      <c r="I75" s="143"/>
    </row>
    <row r="76" spans="2:9">
      <c r="I76" s="143"/>
    </row>
    <row r="77" spans="2:9">
      <c r="I77" s="143"/>
    </row>
    <row r="78" spans="2:9">
      <c r="I78" s="143"/>
    </row>
    <row r="79" spans="2:9">
      <c r="I79" s="143"/>
    </row>
    <row r="80" spans="2:9">
      <c r="I80" s="143"/>
    </row>
    <row r="81" spans="9:9">
      <c r="I81" s="143"/>
    </row>
    <row r="82" spans="9:9">
      <c r="I82" s="143"/>
    </row>
    <row r="83" spans="9:9">
      <c r="I83" s="143"/>
    </row>
    <row r="84" spans="9:9">
      <c r="I84" s="143"/>
    </row>
    <row r="85" spans="9:9">
      <c r="I85" s="143"/>
    </row>
  </sheetData>
  <mergeCells count="6">
    <mergeCell ref="G1:J1"/>
    <mergeCell ref="A59:B59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Y69"/>
  <sheetViews>
    <sheetView workbookViewId="0">
      <pane ySplit="2" topLeftCell="A39" activePane="bottomLeft" state="frozen"/>
      <selection pane="bottomLeft" activeCell="B63" sqref="B63:B64"/>
    </sheetView>
  </sheetViews>
  <sheetFormatPr defaultRowHeight="11.25"/>
  <cols>
    <col min="1" max="1" width="10.42578125" style="8" bestFit="1" customWidth="1"/>
    <col min="2" max="2" width="81.7109375" style="111" bestFit="1" customWidth="1"/>
    <col min="3" max="3" width="14.28515625" style="2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19" s="6" customFormat="1" ht="34.5" customHeight="1">
      <c r="A1" s="622" t="s">
        <v>1</v>
      </c>
      <c r="B1" s="624" t="s">
        <v>0</v>
      </c>
      <c r="C1" s="603" t="s">
        <v>7</v>
      </c>
      <c r="D1" s="764" t="s">
        <v>45</v>
      </c>
      <c r="E1" s="765"/>
      <c r="F1" s="765"/>
      <c r="G1" s="766" t="s">
        <v>435</v>
      </c>
      <c r="H1" s="767"/>
      <c r="I1" s="767"/>
      <c r="J1" s="767"/>
      <c r="K1" s="768"/>
      <c r="L1" s="762" t="s">
        <v>57</v>
      </c>
      <c r="M1" s="759" t="s">
        <v>29</v>
      </c>
      <c r="N1" s="760"/>
      <c r="O1" s="760"/>
      <c r="P1" s="760"/>
      <c r="Q1" s="760"/>
      <c r="R1" s="760"/>
      <c r="S1" s="761"/>
    </row>
    <row r="2" spans="1:19" ht="34.5" customHeight="1" thickBot="1">
      <c r="A2" s="623"/>
      <c r="B2" s="625"/>
      <c r="C2" s="604"/>
      <c r="D2" s="262" t="s">
        <v>346</v>
      </c>
      <c r="E2" s="262" t="s">
        <v>434</v>
      </c>
      <c r="F2" s="276" t="s">
        <v>100</v>
      </c>
      <c r="G2" s="274" t="s">
        <v>346</v>
      </c>
      <c r="H2" s="275" t="s">
        <v>347</v>
      </c>
      <c r="I2" s="275" t="s">
        <v>436</v>
      </c>
      <c r="J2" s="275" t="s">
        <v>348</v>
      </c>
      <c r="K2" s="264" t="s">
        <v>33</v>
      </c>
      <c r="L2" s="763"/>
      <c r="M2" s="617"/>
      <c r="N2" s="618"/>
      <c r="O2" s="618"/>
      <c r="P2" s="618"/>
      <c r="Q2" s="618"/>
      <c r="R2" s="618"/>
      <c r="S2" s="619"/>
    </row>
    <row r="3" spans="1:19" s="459" customFormat="1" ht="14.25">
      <c r="A3" s="460">
        <f>'1-συμβολαια'!A3</f>
        <v>4600</v>
      </c>
      <c r="B3" s="455" t="str">
        <f>'1-συμβολαια'!C3</f>
        <v>δωρεά</v>
      </c>
      <c r="C3" s="569">
        <f>'1-συμβολαια'!D3</f>
        <v>5727.22</v>
      </c>
      <c r="D3" s="461"/>
      <c r="E3" s="461"/>
      <c r="F3" s="461"/>
      <c r="G3" s="572"/>
      <c r="H3" s="462"/>
      <c r="I3" s="462"/>
      <c r="J3" s="462"/>
      <c r="K3" s="458">
        <f>D3+E3-G3-H3-I3-J3</f>
        <v>0</v>
      </c>
      <c r="L3" s="458"/>
      <c r="M3" s="463" t="s">
        <v>149</v>
      </c>
      <c r="N3" s="463" t="s">
        <v>441</v>
      </c>
      <c r="O3" s="414" t="s">
        <v>144</v>
      </c>
      <c r="P3" s="414" t="s">
        <v>442</v>
      </c>
      <c r="Q3" s="414" t="s">
        <v>443</v>
      </c>
      <c r="R3" s="414" t="s">
        <v>444</v>
      </c>
      <c r="S3" s="90"/>
    </row>
    <row r="4" spans="1:19" s="459" customFormat="1" ht="14.25">
      <c r="A4" s="460"/>
      <c r="B4" s="455" t="str">
        <f>'1-συμβολαια'!C4</f>
        <v>ΧΡΗΣΙΚΤΗΣΙΑ οικοπέδου &amp; οικίας = 1930 πατρός ΔΩΡΕΑ άτυπη</v>
      </c>
      <c r="C4" s="570">
        <f>'1-συμβολαια'!D4</f>
        <v>3333</v>
      </c>
      <c r="D4" s="456"/>
      <c r="E4" s="456"/>
      <c r="F4" s="456"/>
      <c r="G4" s="573"/>
      <c r="H4" s="458"/>
      <c r="I4" s="458"/>
      <c r="J4" s="458"/>
      <c r="K4" s="458">
        <f t="shared" ref="K4:K55" si="0">D4+E4-G4-H4-I4-J4</f>
        <v>0</v>
      </c>
      <c r="L4" s="458"/>
      <c r="M4" s="414"/>
      <c r="N4" s="414"/>
      <c r="O4" s="414"/>
      <c r="P4" s="414"/>
      <c r="Q4" s="414"/>
      <c r="R4" s="414"/>
      <c r="S4" s="90"/>
    </row>
    <row r="5" spans="1:19" s="459" customFormat="1" ht="14.25">
      <c r="A5" s="499">
        <f>'1-συμβολαια'!A5</f>
        <v>4601</v>
      </c>
      <c r="B5" s="455" t="str">
        <f>'1-συμβολαια'!C5</f>
        <v>αγοραπωλησίας 13.835κ ΕΞΟΦΛΗΣΗ</v>
      </c>
      <c r="C5" s="569">
        <f>'1-συμβολαια'!D5</f>
        <v>0</v>
      </c>
      <c r="D5" s="461"/>
      <c r="E5" s="461"/>
      <c r="F5" s="461"/>
      <c r="G5" s="572"/>
      <c r="H5" s="462"/>
      <c r="I5" s="462"/>
      <c r="J5" s="462"/>
      <c r="K5" s="458">
        <f t="shared" si="0"/>
        <v>0</v>
      </c>
      <c r="L5" s="458"/>
      <c r="M5" s="414" t="s">
        <v>149</v>
      </c>
      <c r="N5" s="414" t="s">
        <v>441</v>
      </c>
      <c r="O5" s="414" t="s">
        <v>144</v>
      </c>
      <c r="P5" s="414" t="s">
        <v>442</v>
      </c>
      <c r="Q5" s="414" t="s">
        <v>443</v>
      </c>
      <c r="R5" s="414" t="s">
        <v>444</v>
      </c>
      <c r="S5" s="90"/>
    </row>
    <row r="6" spans="1:19" s="459" customFormat="1" ht="14.25">
      <c r="A6" s="460">
        <f>'1-συμβολαια'!A6</f>
        <v>4602</v>
      </c>
      <c r="B6" s="455" t="str">
        <f>'1-συμβολαια'!C6</f>
        <v>κληρονομιάς ΑΠΟΔΟΧΗ</v>
      </c>
      <c r="C6" s="569">
        <f>'1-συμβολαια'!D6</f>
        <v>0</v>
      </c>
      <c r="D6" s="461"/>
      <c r="E6" s="461"/>
      <c r="F6" s="461"/>
      <c r="G6" s="574"/>
      <c r="H6" s="461"/>
      <c r="I6" s="461"/>
      <c r="J6" s="461"/>
      <c r="K6" s="458">
        <f t="shared" si="0"/>
        <v>0</v>
      </c>
      <c r="L6" s="458"/>
      <c r="M6" s="463" t="s">
        <v>149</v>
      </c>
      <c r="N6" s="463" t="s">
        <v>441</v>
      </c>
      <c r="O6" s="414" t="s">
        <v>144</v>
      </c>
      <c r="P6" s="414" t="s">
        <v>442</v>
      </c>
      <c r="Q6" s="414" t="s">
        <v>443</v>
      </c>
      <c r="R6" s="414" t="s">
        <v>444</v>
      </c>
      <c r="S6" s="90"/>
    </row>
    <row r="7" spans="1:19" s="459" customFormat="1" ht="14.25">
      <c r="A7" s="460"/>
      <c r="B7" s="455" t="str">
        <f>'1-συμβολαια'!C7</f>
        <v>ΧΡΗΣΙΚΤΗΣΙΑ αγροτεμαχίου = 19?? ΑΝΑΔΑΣΜΟΣ</v>
      </c>
      <c r="C7" s="570">
        <f>'1-συμβολαια'!D7</f>
        <v>1111</v>
      </c>
      <c r="D7" s="456"/>
      <c r="E7" s="456"/>
      <c r="F7" s="456"/>
      <c r="G7" s="573"/>
      <c r="H7" s="458"/>
      <c r="I7" s="458"/>
      <c r="J7" s="458"/>
      <c r="K7" s="458">
        <f t="shared" si="0"/>
        <v>0</v>
      </c>
      <c r="L7" s="458"/>
      <c r="M7" s="414"/>
      <c r="N7" s="414"/>
      <c r="O7" s="414"/>
      <c r="P7" s="414"/>
      <c r="Q7" s="414"/>
      <c r="R7" s="414"/>
      <c r="S7" s="90"/>
    </row>
    <row r="8" spans="1:19" s="459" customFormat="1" ht="14.25">
      <c r="A8" s="499">
        <f>'1-συμβολαια'!A8</f>
        <v>4603</v>
      </c>
      <c r="B8" s="455" t="str">
        <f>'1-συμβολαια'!C8</f>
        <v>γονικής 11.618καπολα ΔΙΟΡΘΩΣΗ</v>
      </c>
      <c r="C8" s="569">
        <f>'1-συμβολαια'!D8</f>
        <v>0</v>
      </c>
      <c r="D8" s="461"/>
      <c r="E8" s="461"/>
      <c r="F8" s="461"/>
      <c r="G8" s="574"/>
      <c r="H8" s="461"/>
      <c r="I8" s="461"/>
      <c r="J8" s="461"/>
      <c r="K8" s="458">
        <f t="shared" si="0"/>
        <v>0</v>
      </c>
      <c r="L8" s="458"/>
      <c r="M8" s="463" t="s">
        <v>149</v>
      </c>
      <c r="N8" s="463" t="s">
        <v>441</v>
      </c>
      <c r="O8" s="414" t="s">
        <v>144</v>
      </c>
      <c r="P8" s="414" t="s">
        <v>442</v>
      </c>
      <c r="Q8" s="414" t="s">
        <v>443</v>
      </c>
      <c r="R8" s="414" t="s">
        <v>444</v>
      </c>
      <c r="S8" s="90"/>
    </row>
    <row r="9" spans="1:19" s="459" customFormat="1" ht="14.25">
      <c r="A9" s="499">
        <f>'1-συμβολαια'!A9</f>
        <v>4604</v>
      </c>
      <c r="B9" s="455" t="str">
        <f>'1-συμβολαια'!C9</f>
        <v>γονικής 11.619καπολα ΔΙΟΡΘΩΣΗ</v>
      </c>
      <c r="C9" s="569">
        <f>'1-συμβολαια'!D9</f>
        <v>0</v>
      </c>
      <c r="D9" s="461"/>
      <c r="E9" s="461"/>
      <c r="F9" s="461"/>
      <c r="G9" s="574"/>
      <c r="H9" s="461"/>
      <c r="I9" s="461"/>
      <c r="J9" s="461"/>
      <c r="K9" s="458">
        <f t="shared" ref="K9" si="1">D9+E9-G9-H9-I9-J9</f>
        <v>0</v>
      </c>
      <c r="L9" s="458"/>
      <c r="M9" s="463" t="s">
        <v>149</v>
      </c>
      <c r="N9" s="463" t="s">
        <v>441</v>
      </c>
      <c r="O9" s="414" t="s">
        <v>144</v>
      </c>
      <c r="P9" s="414" t="s">
        <v>442</v>
      </c>
      <c r="Q9" s="414" t="s">
        <v>443</v>
      </c>
      <c r="R9" s="414" t="s">
        <v>444</v>
      </c>
      <c r="S9" s="90"/>
    </row>
    <row r="10" spans="1:19" s="459" customFormat="1" ht="14.25">
      <c r="A10" s="499">
        <f>'1-συμβολαια'!A10</f>
        <v>4605</v>
      </c>
      <c r="B10" s="455" t="str">
        <f>'1-συμβολαια'!C10</f>
        <v>* γονικής 11.618καπολα επικαρπίας ΕΝΣΩΜΑΤΩΣΗ {= παραίτηση αδερφής δικαιώματος οίκησης</v>
      </c>
      <c r="C10" s="570">
        <f>'1-συμβολαια'!D10</f>
        <v>2222</v>
      </c>
      <c r="D10" s="461"/>
      <c r="E10" s="461"/>
      <c r="F10" s="461"/>
      <c r="G10" s="574"/>
      <c r="H10" s="461"/>
      <c r="I10" s="461"/>
      <c r="J10" s="461"/>
      <c r="K10" s="458">
        <f t="shared" ref="K10" si="2">D10+E10-G10-H10-I10-J10</f>
        <v>0</v>
      </c>
      <c r="L10" s="458"/>
      <c r="M10" s="463" t="s">
        <v>149</v>
      </c>
      <c r="N10" s="463" t="s">
        <v>441</v>
      </c>
      <c r="O10" s="414" t="s">
        <v>144</v>
      </c>
      <c r="P10" s="414" t="s">
        <v>442</v>
      </c>
      <c r="Q10" s="414" t="s">
        <v>443</v>
      </c>
      <c r="R10" s="414" t="s">
        <v>444</v>
      </c>
      <c r="S10" s="90"/>
    </row>
    <row r="11" spans="1:19" s="459" customFormat="1" ht="14.25">
      <c r="A11" s="499">
        <f>'1-συμβολαια'!A11</f>
        <v>4606</v>
      </c>
      <c r="B11" s="455" t="str">
        <f>'1-συμβολαια'!C11</f>
        <v>πληρεξούσιο</v>
      </c>
      <c r="C11" s="569">
        <f>'1-συμβολαια'!D11</f>
        <v>0</v>
      </c>
      <c r="D11" s="461"/>
      <c r="E11" s="461"/>
      <c r="F11" s="461"/>
      <c r="G11" s="574"/>
      <c r="H11" s="461"/>
      <c r="I11" s="461"/>
      <c r="J11" s="461"/>
      <c r="K11" s="458">
        <f t="shared" ref="K11:K12" si="3">D11+E11-G11-H11-I11-J11</f>
        <v>0</v>
      </c>
      <c r="L11" s="458"/>
      <c r="M11" s="463" t="s">
        <v>149</v>
      </c>
      <c r="N11" s="463" t="s">
        <v>441</v>
      </c>
      <c r="O11" s="414" t="s">
        <v>144</v>
      </c>
      <c r="P11" s="414" t="s">
        <v>442</v>
      </c>
      <c r="Q11" s="414" t="s">
        <v>443</v>
      </c>
      <c r="R11" s="414" t="s">
        <v>444</v>
      </c>
      <c r="S11" s="90"/>
    </row>
    <row r="12" spans="1:19" s="459" customFormat="1" ht="14.25">
      <c r="A12" s="499">
        <f>'1-συμβολαια'!A12</f>
        <v>4607</v>
      </c>
      <c r="B12" s="455" t="str">
        <f>'1-συμβολαια'!C12</f>
        <v>αγοραπωλησίας 3.919 ΔΙΟΡΘΩΣΗ</v>
      </c>
      <c r="C12" s="569">
        <f>'1-συμβολαια'!D12</f>
        <v>0</v>
      </c>
      <c r="D12" s="461"/>
      <c r="E12" s="461"/>
      <c r="F12" s="461"/>
      <c r="G12" s="574"/>
      <c r="H12" s="461"/>
      <c r="I12" s="461"/>
      <c r="J12" s="461"/>
      <c r="K12" s="458">
        <f t="shared" si="3"/>
        <v>0</v>
      </c>
      <c r="L12" s="458"/>
      <c r="M12" s="463" t="s">
        <v>149</v>
      </c>
      <c r="N12" s="463" t="s">
        <v>441</v>
      </c>
      <c r="O12" s="414" t="s">
        <v>144</v>
      </c>
      <c r="P12" s="414" t="s">
        <v>442</v>
      </c>
      <c r="Q12" s="414" t="s">
        <v>443</v>
      </c>
      <c r="R12" s="414" t="s">
        <v>444</v>
      </c>
      <c r="S12" s="90"/>
    </row>
    <row r="13" spans="1:19" s="459" customFormat="1" ht="14.25">
      <c r="A13" s="499">
        <f>'1-συμβολαια'!A13</f>
        <v>4608</v>
      </c>
      <c r="B13" s="455" t="str">
        <f>'1-συμβολαια'!C13</f>
        <v>αγοραπωλησία τίμημα = Δ.Ο.Υ. =</v>
      </c>
      <c r="C13" s="569">
        <f>'1-συμβολαια'!D13</f>
        <v>1572.77</v>
      </c>
      <c r="D13" s="461"/>
      <c r="E13" s="461"/>
      <c r="F13" s="461"/>
      <c r="G13" s="574"/>
      <c r="H13" s="461"/>
      <c r="I13" s="461"/>
      <c r="J13" s="461"/>
      <c r="K13" s="458">
        <f t="shared" ref="K13" si="4">D13+E13-G13-H13-I13-J13</f>
        <v>0</v>
      </c>
      <c r="L13" s="458"/>
      <c r="M13" s="463" t="s">
        <v>149</v>
      </c>
      <c r="N13" s="463" t="s">
        <v>441</v>
      </c>
      <c r="O13" s="414" t="s">
        <v>144</v>
      </c>
      <c r="P13" s="414" t="s">
        <v>442</v>
      </c>
      <c r="Q13" s="414" t="s">
        <v>443</v>
      </c>
      <c r="R13" s="414" t="s">
        <v>444</v>
      </c>
      <c r="S13" s="90"/>
    </row>
    <row r="14" spans="1:19" s="459" customFormat="1" ht="14.25">
      <c r="A14" s="499">
        <f>'1-συμβολαια'!A14</f>
        <v>4609</v>
      </c>
      <c r="B14" s="455" t="str">
        <f>'1-συμβολαια'!C14</f>
        <v>αγοραπωλησία τίμημα = 6.057,27 Δ.Ο.Υ. =</v>
      </c>
      <c r="C14" s="569">
        <f>'1-συμβολαια'!D14</f>
        <v>18257.27</v>
      </c>
      <c r="D14" s="461"/>
      <c r="E14" s="461"/>
      <c r="F14" s="461"/>
      <c r="G14" s="574"/>
      <c r="H14" s="461"/>
      <c r="I14" s="461"/>
      <c r="J14" s="461"/>
      <c r="K14" s="458">
        <f t="shared" ref="K14" si="5">D14+E14-G14-H14-I14-J14</f>
        <v>0</v>
      </c>
      <c r="L14" s="458"/>
      <c r="M14" s="463" t="s">
        <v>149</v>
      </c>
      <c r="N14" s="463" t="s">
        <v>441</v>
      </c>
      <c r="O14" s="414" t="s">
        <v>144</v>
      </c>
      <c r="P14" s="414" t="s">
        <v>442</v>
      </c>
      <c r="Q14" s="414" t="s">
        <v>443</v>
      </c>
      <c r="R14" s="414" t="s">
        <v>444</v>
      </c>
      <c r="S14" s="90"/>
    </row>
    <row r="15" spans="1:19" s="459" customFormat="1" ht="14.25">
      <c r="A15" s="499">
        <f>'1-συμβολαια'!A15</f>
        <v>4610</v>
      </c>
      <c r="B15" s="455" t="str">
        <f>'1-συμβολαια'!C15</f>
        <v>πληρεξούσιο</v>
      </c>
      <c r="C15" s="569">
        <f>'1-συμβολαια'!D15</f>
        <v>0</v>
      </c>
      <c r="D15" s="461"/>
      <c r="E15" s="461"/>
      <c r="F15" s="461"/>
      <c r="G15" s="574"/>
      <c r="H15" s="461"/>
      <c r="I15" s="461"/>
      <c r="J15" s="461"/>
      <c r="K15" s="458">
        <f t="shared" ref="K15" si="6">D15+E15-G15-H15-I15-J15</f>
        <v>0</v>
      </c>
      <c r="L15" s="458"/>
      <c r="M15" s="463" t="s">
        <v>149</v>
      </c>
      <c r="N15" s="463" t="s">
        <v>441</v>
      </c>
      <c r="O15" s="414" t="s">
        <v>144</v>
      </c>
      <c r="P15" s="414" t="s">
        <v>442</v>
      </c>
      <c r="Q15" s="414" t="s">
        <v>443</v>
      </c>
      <c r="R15" s="414" t="s">
        <v>444</v>
      </c>
      <c r="S15" s="90"/>
    </row>
    <row r="16" spans="1:19" s="459" customFormat="1" ht="14.25">
      <c r="A16" s="460">
        <f>'1-συμβολαια'!A16</f>
        <v>4611</v>
      </c>
      <c r="B16" s="455" t="str">
        <f>'1-συμβολαια'!C16</f>
        <v>γονική</v>
      </c>
      <c r="C16" s="569">
        <f>'1-συμβολαια'!D16</f>
        <v>33521.660000000003</v>
      </c>
      <c r="D16" s="461"/>
      <c r="E16" s="461"/>
      <c r="F16" s="461"/>
      <c r="G16" s="574"/>
      <c r="H16" s="461"/>
      <c r="I16" s="461"/>
      <c r="J16" s="461"/>
      <c r="K16" s="458">
        <f t="shared" ref="K16" si="7">D16+E16-G16-H16-I16-J16</f>
        <v>0</v>
      </c>
      <c r="L16" s="458"/>
      <c r="M16" s="463" t="s">
        <v>149</v>
      </c>
      <c r="N16" s="463" t="s">
        <v>441</v>
      </c>
      <c r="O16" s="414" t="s">
        <v>144</v>
      </c>
      <c r="P16" s="414" t="s">
        <v>442</v>
      </c>
      <c r="Q16" s="414" t="s">
        <v>443</v>
      </c>
      <c r="R16" s="414" t="s">
        <v>444</v>
      </c>
      <c r="S16" s="90"/>
    </row>
    <row r="17" spans="1:19" s="459" customFormat="1" ht="14.25">
      <c r="A17" s="460">
        <f>'1-συμβολαια'!A17</f>
        <v>0</v>
      </c>
      <c r="B17" s="455" t="str">
        <f>'1-συμβολαια'!C17</f>
        <v>ΧΡΗΣΙΚΤΗΣΙΑ οικοπέδου = 1973 κυπαρισσίουΠαναγιώτη ΑΓΟΡΑΠΩΛΗΣΙΑ άτυπη</v>
      </c>
      <c r="C17" s="569">
        <f>'1-συμβολαια'!D17</f>
        <v>2222</v>
      </c>
      <c r="D17" s="457"/>
      <c r="E17" s="457"/>
      <c r="F17" s="456"/>
      <c r="G17" s="573"/>
      <c r="H17" s="458"/>
      <c r="I17" s="458"/>
      <c r="J17" s="458"/>
      <c r="K17" s="458">
        <f t="shared" si="0"/>
        <v>0</v>
      </c>
      <c r="L17" s="458"/>
      <c r="M17" s="414"/>
      <c r="N17" s="414"/>
      <c r="O17" s="414"/>
      <c r="P17" s="414"/>
      <c r="Q17" s="414"/>
      <c r="R17" s="414"/>
      <c r="S17" s="90"/>
    </row>
    <row r="18" spans="1:19" s="459" customFormat="1" ht="14.25">
      <c r="A18" s="460">
        <f>'1-συμβολαια'!A18</f>
        <v>0</v>
      </c>
      <c r="B18" s="455" t="str">
        <f>'1-συμβολαια'!C18</f>
        <v>οριζόντιος ΣΥΣΤΑΣΗ</v>
      </c>
      <c r="C18" s="569">
        <f>'1-συμβολαια'!D18</f>
        <v>0</v>
      </c>
      <c r="D18" s="457"/>
      <c r="E18" s="457"/>
      <c r="F18" s="456"/>
      <c r="G18" s="573"/>
      <c r="H18" s="458"/>
      <c r="I18" s="458"/>
      <c r="J18" s="458"/>
      <c r="K18" s="458">
        <f t="shared" si="0"/>
        <v>0</v>
      </c>
      <c r="L18" s="458"/>
      <c r="M18" s="414"/>
      <c r="N18" s="414"/>
      <c r="O18" s="414"/>
      <c r="P18" s="414"/>
      <c r="Q18" s="414"/>
      <c r="R18" s="414"/>
      <c r="S18" s="90"/>
    </row>
    <row r="19" spans="1:19" s="459" customFormat="1" ht="14.25">
      <c r="A19" s="499">
        <f>'1-συμβολαια'!A19</f>
        <v>4612</v>
      </c>
      <c r="B19" s="455" t="str">
        <f>'1-συμβολαια'!C19</f>
        <v>κληρονομιάς ΑΠΟΔΟΧΗ</v>
      </c>
      <c r="C19" s="569">
        <f>'1-συμβολαια'!D19</f>
        <v>0</v>
      </c>
      <c r="D19" s="461"/>
      <c r="E19" s="461"/>
      <c r="F19" s="461"/>
      <c r="G19" s="574"/>
      <c r="H19" s="461"/>
      <c r="I19" s="461"/>
      <c r="J19" s="461"/>
      <c r="K19" s="458">
        <f t="shared" si="0"/>
        <v>0</v>
      </c>
      <c r="L19" s="458"/>
      <c r="M19" s="463" t="s">
        <v>149</v>
      </c>
      <c r="N19" s="463" t="s">
        <v>441</v>
      </c>
      <c r="O19" s="414" t="s">
        <v>144</v>
      </c>
      <c r="P19" s="414" t="s">
        <v>442</v>
      </c>
      <c r="Q19" s="414" t="s">
        <v>443</v>
      </c>
      <c r="R19" s="414" t="s">
        <v>444</v>
      </c>
      <c r="S19" s="90"/>
    </row>
    <row r="20" spans="1:19" s="459" customFormat="1" ht="14.25">
      <c r="A20" s="499">
        <f>'1-συμβολαια'!A20</f>
        <v>4613</v>
      </c>
      <c r="B20" s="455" t="str">
        <f>'1-συμβολαια'!C20</f>
        <v>γονική</v>
      </c>
      <c r="C20" s="569">
        <f>'1-συμβολαια'!D20</f>
        <v>6213.36</v>
      </c>
      <c r="D20" s="461"/>
      <c r="E20" s="461"/>
      <c r="F20" s="461"/>
      <c r="G20" s="574"/>
      <c r="H20" s="461"/>
      <c r="I20" s="461"/>
      <c r="J20" s="461"/>
      <c r="K20" s="458">
        <f t="shared" ref="K20" si="8">D20+E20-G20-H20-I20-J20</f>
        <v>0</v>
      </c>
      <c r="L20" s="458"/>
      <c r="M20" s="463" t="s">
        <v>149</v>
      </c>
      <c r="N20" s="463" t="s">
        <v>441</v>
      </c>
      <c r="O20" s="414" t="s">
        <v>144</v>
      </c>
      <c r="P20" s="414" t="s">
        <v>442</v>
      </c>
      <c r="Q20" s="414" t="s">
        <v>443</v>
      </c>
      <c r="R20" s="414" t="s">
        <v>444</v>
      </c>
      <c r="S20" s="90"/>
    </row>
    <row r="21" spans="1:19" s="459" customFormat="1" ht="14.25">
      <c r="A21" s="499">
        <f>'1-συμβολαια'!A21</f>
        <v>4614</v>
      </c>
      <c r="B21" s="455" t="str">
        <f>'1-συμβολαια'!C21</f>
        <v>διαθήκη</v>
      </c>
      <c r="C21" s="569">
        <f>'1-συμβολαια'!D21</f>
        <v>0</v>
      </c>
      <c r="D21" s="461"/>
      <c r="E21" s="461"/>
      <c r="F21" s="461"/>
      <c r="G21" s="574"/>
      <c r="H21" s="461"/>
      <c r="I21" s="461"/>
      <c r="J21" s="461"/>
      <c r="K21" s="458">
        <f t="shared" ref="K21" si="9">D21+E21-G21-H21-I21-J21</f>
        <v>0</v>
      </c>
      <c r="L21" s="458"/>
      <c r="M21" s="463" t="s">
        <v>149</v>
      </c>
      <c r="N21" s="463" t="s">
        <v>441</v>
      </c>
      <c r="O21" s="414" t="s">
        <v>144</v>
      </c>
      <c r="P21" s="414" t="s">
        <v>442</v>
      </c>
      <c r="Q21" s="414" t="s">
        <v>443</v>
      </c>
      <c r="R21" s="414" t="s">
        <v>444</v>
      </c>
      <c r="S21" s="90"/>
    </row>
    <row r="22" spans="1:19" s="459" customFormat="1" ht="14.25">
      <c r="A22" s="460">
        <f>'1-συμβολαια'!A22</f>
        <v>4615</v>
      </c>
      <c r="B22" s="455" t="str">
        <f>'1-συμβολαια'!C22</f>
        <v>δωρεά</v>
      </c>
      <c r="C22" s="569">
        <f>'1-συμβολαια'!D22</f>
        <v>16035.1</v>
      </c>
      <c r="D22" s="461"/>
      <c r="E22" s="461"/>
      <c r="F22" s="461"/>
      <c r="G22" s="574"/>
      <c r="H22" s="461"/>
      <c r="I22" s="461"/>
      <c r="J22" s="461"/>
      <c r="K22" s="458">
        <f t="shared" ref="K22" si="10">D22+E22-G22-H22-I22-J22</f>
        <v>0</v>
      </c>
      <c r="L22" s="458"/>
      <c r="M22" s="463" t="s">
        <v>149</v>
      </c>
      <c r="N22" s="463" t="s">
        <v>441</v>
      </c>
      <c r="O22" s="414" t="s">
        <v>144</v>
      </c>
      <c r="P22" s="414" t="s">
        <v>442</v>
      </c>
      <c r="Q22" s="414" t="s">
        <v>443</v>
      </c>
      <c r="R22" s="414" t="s">
        <v>444</v>
      </c>
      <c r="S22" s="90"/>
    </row>
    <row r="23" spans="1:19" s="459" customFormat="1" ht="14.25">
      <c r="A23" s="460">
        <f>'1-συμβολαια'!A23</f>
        <v>0</v>
      </c>
      <c r="B23" s="455" t="str">
        <f>'1-συμβολαια'!C23</f>
        <v>ΧΡΗΣΙΚΤΗΣΙΑ οικοπέδου &amp; οικίας = 1935 πατρός ΔΩΡΕΑ άτυπη</v>
      </c>
      <c r="C23" s="569">
        <f>'1-συμβολαια'!D23</f>
        <v>6666</v>
      </c>
      <c r="D23" s="457"/>
      <c r="E23" s="457"/>
      <c r="F23" s="456"/>
      <c r="G23" s="573"/>
      <c r="H23" s="458"/>
      <c r="I23" s="458"/>
      <c r="J23" s="458"/>
      <c r="K23" s="458">
        <f t="shared" si="0"/>
        <v>0</v>
      </c>
      <c r="L23" s="458"/>
      <c r="M23" s="414"/>
      <c r="N23" s="414"/>
      <c r="O23" s="414"/>
      <c r="P23" s="414"/>
      <c r="Q23" s="414"/>
      <c r="R23" s="414"/>
      <c r="S23" s="90"/>
    </row>
    <row r="24" spans="1:19" s="459" customFormat="1" ht="14.25">
      <c r="A24" s="545">
        <f>'1-συμβολαια'!A24</f>
        <v>4616</v>
      </c>
      <c r="B24" s="455" t="str">
        <f>'1-συμβολαια'!C24</f>
        <v>δωρεά</v>
      </c>
      <c r="C24" s="569">
        <f>'1-συμβολαια'!D24</f>
        <v>9933.0499999999993</v>
      </c>
      <c r="D24" s="461"/>
      <c r="E24" s="461"/>
      <c r="F24" s="461"/>
      <c r="G24" s="574"/>
      <c r="H24" s="461"/>
      <c r="I24" s="461"/>
      <c r="J24" s="461"/>
      <c r="K24" s="458">
        <f t="shared" si="0"/>
        <v>0</v>
      </c>
      <c r="L24" s="458"/>
      <c r="M24" s="463" t="s">
        <v>149</v>
      </c>
      <c r="N24" s="463" t="s">
        <v>441</v>
      </c>
      <c r="O24" s="414" t="s">
        <v>144</v>
      </c>
      <c r="P24" s="414" t="s">
        <v>442</v>
      </c>
      <c r="Q24" s="414" t="s">
        <v>443</v>
      </c>
      <c r="R24" s="414" t="s">
        <v>444</v>
      </c>
      <c r="S24" s="90"/>
    </row>
    <row r="25" spans="1:19" s="459" customFormat="1" ht="14.25">
      <c r="A25" s="545">
        <f>'1-συμβολαια'!A25</f>
        <v>0</v>
      </c>
      <c r="B25" s="455" t="str">
        <f>'1-συμβολαια'!C25</f>
        <v>ΧΡΗΣΙΚΤΗΣΙΑ αγροτεμαχίου = 1925 πατρός ΔΩΡΕΑ άτυπη</v>
      </c>
      <c r="C25" s="569">
        <f>'1-συμβολαια'!D25</f>
        <v>1111</v>
      </c>
      <c r="D25" s="457"/>
      <c r="E25" s="457"/>
      <c r="F25" s="456"/>
      <c r="G25" s="573"/>
      <c r="H25" s="458"/>
      <c r="I25" s="458"/>
      <c r="J25" s="458"/>
      <c r="K25" s="458">
        <f t="shared" si="0"/>
        <v>0</v>
      </c>
      <c r="L25" s="458"/>
      <c r="M25" s="414"/>
      <c r="N25" s="414"/>
      <c r="O25" s="414"/>
      <c r="P25" s="414"/>
      <c r="Q25" s="414"/>
      <c r="R25" s="414"/>
      <c r="S25" s="90"/>
    </row>
    <row r="26" spans="1:19" s="459" customFormat="1" ht="14.25">
      <c r="A26" s="545">
        <f>'1-συμβολαια'!A26</f>
        <v>0</v>
      </c>
      <c r="B26" s="455" t="str">
        <f>'1-συμβολαια'!C26</f>
        <v>ΧΡΗΣΙΚΤΗΣΙΑ αγροτεμαχίου (νυν οικόπεδο) = 1975 ΑΝΑΔΑΣΜΟΣ</v>
      </c>
      <c r="C26" s="569">
        <f>'1-συμβολαια'!D26</f>
        <v>3333</v>
      </c>
      <c r="D26" s="457"/>
      <c r="E26" s="457"/>
      <c r="F26" s="456"/>
      <c r="G26" s="573"/>
      <c r="H26" s="458"/>
      <c r="I26" s="458"/>
      <c r="J26" s="458"/>
      <c r="K26" s="458">
        <f t="shared" si="0"/>
        <v>0</v>
      </c>
      <c r="L26" s="458"/>
      <c r="M26" s="414"/>
      <c r="N26" s="414"/>
      <c r="O26" s="414"/>
      <c r="P26" s="414"/>
      <c r="Q26" s="414"/>
      <c r="R26" s="414"/>
      <c r="S26" s="90"/>
    </row>
    <row r="27" spans="1:19" s="459" customFormat="1" ht="14.25">
      <c r="A27" s="460">
        <f>'1-συμβολαια'!A27</f>
        <v>4617</v>
      </c>
      <c r="B27" s="455" t="str">
        <f>'1-συμβολαια'!C27</f>
        <v>προσύμφωνο μεταβιβάσεως ποσοστών οικοπέδου</v>
      </c>
      <c r="C27" s="569">
        <f>'1-συμβολαια'!D27</f>
        <v>0</v>
      </c>
      <c r="D27" s="461"/>
      <c r="E27" s="461"/>
      <c r="F27" s="461"/>
      <c r="G27" s="574"/>
      <c r="H27" s="461"/>
      <c r="I27" s="461"/>
      <c r="J27" s="461"/>
      <c r="K27" s="458">
        <f t="shared" ref="K27:K28" si="11">D27+E27-G27-H27-I27-J27</f>
        <v>0</v>
      </c>
      <c r="L27" s="458"/>
      <c r="M27" s="463" t="s">
        <v>149</v>
      </c>
      <c r="N27" s="463" t="s">
        <v>441</v>
      </c>
      <c r="O27" s="414" t="s">
        <v>144</v>
      </c>
      <c r="P27" s="414" t="s">
        <v>442</v>
      </c>
      <c r="Q27" s="414" t="s">
        <v>443</v>
      </c>
      <c r="R27" s="414" t="s">
        <v>444</v>
      </c>
      <c r="S27" s="90"/>
    </row>
    <row r="28" spans="1:19" s="459" customFormat="1" ht="14.25">
      <c r="A28" s="460">
        <f>'1-συμβολαια'!A28</f>
        <v>0</v>
      </c>
      <c r="B28" s="455" t="str">
        <f>'1-συμβολαια'!C28</f>
        <v>εργολαβικό</v>
      </c>
      <c r="C28" s="569">
        <f>'1-συμβολαια'!D28</f>
        <v>200</v>
      </c>
      <c r="D28" s="461"/>
      <c r="E28" s="461"/>
      <c r="F28" s="461"/>
      <c r="G28" s="575">
        <v>3</v>
      </c>
      <c r="H28" s="461"/>
      <c r="I28" s="461"/>
      <c r="J28" s="461"/>
      <c r="K28" s="458">
        <f t="shared" si="11"/>
        <v>-3</v>
      </c>
      <c r="L28" s="458"/>
      <c r="M28" s="414" t="s">
        <v>149</v>
      </c>
      <c r="N28" s="463" t="s">
        <v>441</v>
      </c>
      <c r="O28" s="414"/>
      <c r="P28" s="414" t="s">
        <v>442</v>
      </c>
      <c r="Q28" s="414" t="s">
        <v>443</v>
      </c>
      <c r="R28" s="414" t="s">
        <v>444</v>
      </c>
      <c r="S28" s="90"/>
    </row>
    <row r="29" spans="1:19" s="459" customFormat="1" ht="14.25">
      <c r="A29" s="499">
        <f>'1-συμβολαια'!A29</f>
        <v>4618</v>
      </c>
      <c r="B29" s="455" t="str">
        <f>'1-συμβολαια'!C29</f>
        <v>πληρεξούσιο</v>
      </c>
      <c r="C29" s="569">
        <f>'1-συμβολαια'!D29</f>
        <v>0</v>
      </c>
      <c r="D29" s="461"/>
      <c r="E29" s="461"/>
      <c r="F29" s="461"/>
      <c r="G29" s="574"/>
      <c r="H29" s="461"/>
      <c r="I29" s="461"/>
      <c r="J29" s="461"/>
      <c r="K29" s="458">
        <f t="shared" ref="K29" si="12">D29+E29-G29-H29-I29-J29</f>
        <v>0</v>
      </c>
      <c r="L29" s="458"/>
      <c r="M29" s="463" t="s">
        <v>149</v>
      </c>
      <c r="N29" s="463" t="s">
        <v>441</v>
      </c>
      <c r="O29" s="414" t="s">
        <v>144</v>
      </c>
      <c r="P29" s="414" t="s">
        <v>442</v>
      </c>
      <c r="Q29" s="414" t="s">
        <v>443</v>
      </c>
      <c r="R29" s="414" t="s">
        <v>444</v>
      </c>
      <c r="S29" s="90"/>
    </row>
    <row r="30" spans="1:19" s="459" customFormat="1" ht="14.25">
      <c r="A30" s="460">
        <f>'1-συμβολαια'!A30</f>
        <v>4619</v>
      </c>
      <c r="B30" s="455" t="str">
        <f>'1-συμβολαια'!C30</f>
        <v>αγοραπωλησίας ΠΡΟΣΥΜΦΩΝΟ τίμημα = αρραβών =</v>
      </c>
      <c r="C30" s="569">
        <f>'1-συμβολαια'!D30</f>
        <v>1800</v>
      </c>
      <c r="D30" s="461"/>
      <c r="E30" s="461"/>
      <c r="F30" s="461"/>
      <c r="G30" s="574"/>
      <c r="H30" s="461"/>
      <c r="I30" s="461"/>
      <c r="J30" s="461"/>
      <c r="K30" s="458">
        <f t="shared" ref="K30" si="13">D30+E30-G30-H30-I30-J30</f>
        <v>0</v>
      </c>
      <c r="L30" s="458"/>
      <c r="M30" s="463" t="s">
        <v>149</v>
      </c>
      <c r="N30" s="463" t="s">
        <v>441</v>
      </c>
      <c r="O30" s="414" t="s">
        <v>144</v>
      </c>
      <c r="P30" s="414" t="s">
        <v>442</v>
      </c>
      <c r="Q30" s="414" t="s">
        <v>443</v>
      </c>
      <c r="R30" s="414" t="s">
        <v>444</v>
      </c>
      <c r="S30" s="90"/>
    </row>
    <row r="31" spans="1:19" s="459" customFormat="1" ht="14.25">
      <c r="A31" s="460">
        <f>'1-συμβολαια'!A31</f>
        <v>0</v>
      </c>
      <c r="B31" s="455" t="str">
        <f>'1-συμβολαια'!C31</f>
        <v>ΧΡΗΣΙΚΤΗΣΙΑ αγροτεμαχίου = 1975 πατρός ΔΩΡΕΑ άτυπη</v>
      </c>
      <c r="C31" s="569">
        <f>'1-συμβολαια'!D31</f>
        <v>1111</v>
      </c>
      <c r="D31" s="457"/>
      <c r="E31" s="457"/>
      <c r="F31" s="456"/>
      <c r="G31" s="573"/>
      <c r="H31" s="458"/>
      <c r="I31" s="458"/>
      <c r="J31" s="458"/>
      <c r="K31" s="458">
        <f t="shared" si="0"/>
        <v>0</v>
      </c>
      <c r="L31" s="458"/>
      <c r="M31" s="414"/>
      <c r="N31" s="414"/>
      <c r="O31" s="414"/>
      <c r="P31" s="414"/>
      <c r="Q31" s="414"/>
      <c r="R31" s="414"/>
      <c r="S31" s="90"/>
    </row>
    <row r="32" spans="1:19" s="459" customFormat="1" ht="14.25">
      <c r="A32" s="560">
        <f>'1-συμβολαια'!A32</f>
        <v>4620</v>
      </c>
      <c r="B32" s="455" t="str">
        <f>'1-συμβολαια'!C32</f>
        <v>γονική</v>
      </c>
      <c r="C32" s="569">
        <f>'1-συμβολαια'!D32</f>
        <v>6285.73</v>
      </c>
      <c r="D32" s="461"/>
      <c r="E32" s="461"/>
      <c r="F32" s="461"/>
      <c r="G32" s="574"/>
      <c r="H32" s="461"/>
      <c r="I32" s="461"/>
      <c r="J32" s="461"/>
      <c r="K32" s="458">
        <f t="shared" si="0"/>
        <v>0</v>
      </c>
      <c r="L32" s="458"/>
      <c r="M32" s="463" t="s">
        <v>149</v>
      </c>
      <c r="N32" s="463" t="s">
        <v>441</v>
      </c>
      <c r="O32" s="414" t="s">
        <v>144</v>
      </c>
      <c r="P32" s="414" t="s">
        <v>442</v>
      </c>
      <c r="Q32" s="414" t="s">
        <v>443</v>
      </c>
      <c r="R32" s="414" t="s">
        <v>444</v>
      </c>
      <c r="S32" s="90"/>
    </row>
    <row r="33" spans="1:19" s="459" customFormat="1" ht="14.25">
      <c r="A33" s="545">
        <f>'1-συμβολαια'!A33</f>
        <v>0</v>
      </c>
      <c r="B33" s="455" t="str">
        <f>'1-συμβολαια'!C33</f>
        <v>κάθετος ΣΥΣΤΑΣΗ</v>
      </c>
      <c r="C33" s="569">
        <f>'1-συμβολαια'!D33</f>
        <v>0</v>
      </c>
      <c r="D33" s="457"/>
      <c r="E33" s="457"/>
      <c r="F33" s="456"/>
      <c r="G33" s="573"/>
      <c r="H33" s="458"/>
      <c r="I33" s="458"/>
      <c r="J33" s="458"/>
      <c r="K33" s="458">
        <f t="shared" si="0"/>
        <v>0</v>
      </c>
      <c r="L33" s="458"/>
      <c r="M33" s="414"/>
      <c r="N33" s="414"/>
      <c r="O33" s="414"/>
      <c r="P33" s="414"/>
      <c r="Q33" s="414"/>
      <c r="R33" s="414"/>
      <c r="S33" s="90"/>
    </row>
    <row r="34" spans="1:19" s="459" customFormat="1" ht="14.25">
      <c r="A34" s="545">
        <f>'1-συμβολαια'!A34</f>
        <v>0</v>
      </c>
      <c r="B34" s="455" t="str">
        <f>'1-συμβολαια'!C34</f>
        <v>ΧΡΗΣΙΚΤΗΣΙΑ αγροτεμαχίου (νυν οικόπεδο) = 19?? ΑΝΑΔΑΣΜΟΣ</v>
      </c>
      <c r="C34" s="569">
        <f>'1-συμβολαια'!D34</f>
        <v>3333</v>
      </c>
      <c r="D34" s="457"/>
      <c r="E34" s="457"/>
      <c r="F34" s="456"/>
      <c r="G34" s="573"/>
      <c r="H34" s="458"/>
      <c r="I34" s="458"/>
      <c r="J34" s="458"/>
      <c r="K34" s="458">
        <f t="shared" si="0"/>
        <v>0</v>
      </c>
      <c r="L34" s="458"/>
      <c r="M34" s="414"/>
      <c r="N34" s="414"/>
      <c r="O34" s="414"/>
      <c r="P34" s="414"/>
      <c r="Q34" s="414"/>
      <c r="R34" s="414"/>
      <c r="S34" s="90"/>
    </row>
    <row r="35" spans="1:19" s="459" customFormat="1" ht="14.25">
      <c r="A35" s="560">
        <f>'1-συμβολαια'!A35</f>
        <v>4621</v>
      </c>
      <c r="B35" s="455" t="str">
        <f>'1-συμβολαια'!C35</f>
        <v>γονική</v>
      </c>
      <c r="C35" s="569">
        <f>'1-συμβολαια'!D35</f>
        <v>30928.65</v>
      </c>
      <c r="D35" s="461"/>
      <c r="E35" s="461"/>
      <c r="F35" s="461"/>
      <c r="G35" s="574"/>
      <c r="H35" s="461"/>
      <c r="I35" s="461"/>
      <c r="J35" s="461"/>
      <c r="K35" s="458">
        <f t="shared" ref="K35" si="14">D35+E35-G35-H35-I35-J35</f>
        <v>0</v>
      </c>
      <c r="L35" s="458"/>
      <c r="M35" s="463" t="s">
        <v>149</v>
      </c>
      <c r="N35" s="463" t="s">
        <v>441</v>
      </c>
      <c r="O35" s="414" t="s">
        <v>144</v>
      </c>
      <c r="P35" s="414" t="s">
        <v>442</v>
      </c>
      <c r="Q35" s="414" t="s">
        <v>443</v>
      </c>
      <c r="R35" s="414" t="s">
        <v>444</v>
      </c>
      <c r="S35" s="90"/>
    </row>
    <row r="36" spans="1:19" s="459" customFormat="1" ht="14.25">
      <c r="A36" s="460">
        <f>'1-συμβολαια'!A36</f>
        <v>0</v>
      </c>
      <c r="B36" s="455" t="str">
        <f>'1-συμβολαια'!C36</f>
        <v>οριζόντιος ΣΥΣΤΑΣΗ</v>
      </c>
      <c r="C36" s="569">
        <f>'1-συμβολαια'!D36</f>
        <v>0</v>
      </c>
      <c r="D36" s="457"/>
      <c r="E36" s="457"/>
      <c r="F36" s="456"/>
      <c r="G36" s="573"/>
      <c r="H36" s="458"/>
      <c r="I36" s="458"/>
      <c r="J36" s="458"/>
      <c r="K36" s="458">
        <f t="shared" si="0"/>
        <v>0</v>
      </c>
      <c r="L36" s="458"/>
      <c r="M36" s="414"/>
      <c r="N36" s="414"/>
      <c r="O36" s="414"/>
      <c r="P36" s="414"/>
      <c r="Q36" s="414"/>
      <c r="R36" s="414"/>
      <c r="S36" s="90"/>
    </row>
    <row r="37" spans="1:19" s="459" customFormat="1" ht="14.25">
      <c r="A37" s="499">
        <f>'1-συμβολαια'!A37</f>
        <v>4622</v>
      </c>
      <c r="B37" s="455" t="str">
        <f>'1-συμβολαια'!C37</f>
        <v>πληρεξούσιο</v>
      </c>
      <c r="C37" s="569">
        <f>'1-συμβολαια'!D37</f>
        <v>0</v>
      </c>
      <c r="D37" s="461"/>
      <c r="E37" s="461"/>
      <c r="F37" s="461"/>
      <c r="G37" s="574"/>
      <c r="H37" s="461"/>
      <c r="I37" s="461"/>
      <c r="J37" s="461"/>
      <c r="K37" s="458">
        <f t="shared" si="0"/>
        <v>0</v>
      </c>
      <c r="L37" s="458"/>
      <c r="M37" s="463" t="s">
        <v>149</v>
      </c>
      <c r="N37" s="463" t="s">
        <v>441</v>
      </c>
      <c r="O37" s="414" t="s">
        <v>144</v>
      </c>
      <c r="P37" s="414" t="s">
        <v>442</v>
      </c>
      <c r="Q37" s="414" t="s">
        <v>443</v>
      </c>
      <c r="R37" s="414" t="s">
        <v>444</v>
      </c>
      <c r="S37" s="90"/>
    </row>
    <row r="38" spans="1:19" s="459" customFormat="1" ht="14.25">
      <c r="A38" s="499">
        <f>'1-συμβολαια'!A38</f>
        <v>4623</v>
      </c>
      <c r="B38" s="455" t="str">
        <f>'1-συμβολαια'!C38</f>
        <v>πληρεξούσιο</v>
      </c>
      <c r="C38" s="569">
        <f>'1-συμβολαια'!D38</f>
        <v>0</v>
      </c>
      <c r="D38" s="461"/>
      <c r="E38" s="461"/>
      <c r="F38" s="461"/>
      <c r="G38" s="574"/>
      <c r="H38" s="461"/>
      <c r="I38" s="461"/>
      <c r="J38" s="461"/>
      <c r="K38" s="458">
        <f t="shared" si="0"/>
        <v>0</v>
      </c>
      <c r="L38" s="458"/>
      <c r="M38" s="463" t="s">
        <v>149</v>
      </c>
      <c r="N38" s="463" t="s">
        <v>441</v>
      </c>
      <c r="O38" s="414" t="s">
        <v>144</v>
      </c>
      <c r="P38" s="414" t="s">
        <v>442</v>
      </c>
      <c r="Q38" s="414" t="s">
        <v>443</v>
      </c>
      <c r="R38" s="414" t="s">
        <v>444</v>
      </c>
      <c r="S38" s="90"/>
    </row>
    <row r="39" spans="1:19" s="459" customFormat="1" ht="14.25">
      <c r="A39" s="460">
        <f>'1-συμβολαια'!A39</f>
        <v>4624</v>
      </c>
      <c r="B39" s="455" t="str">
        <f>'1-συμβολαια'!C39</f>
        <v>*γονική ΨΙΛΗΣ ΚΥΡΙΟΤΗΤΑΣ</v>
      </c>
      <c r="C39" s="569">
        <f>'1-συμβολαια'!D39</f>
        <v>11558.2</v>
      </c>
      <c r="D39" s="461"/>
      <c r="E39" s="461"/>
      <c r="F39" s="461"/>
      <c r="G39" s="575">
        <v>3</v>
      </c>
      <c r="H39" s="461"/>
      <c r="I39" s="461"/>
      <c r="J39" s="461"/>
      <c r="K39" s="458">
        <f t="shared" ref="K39" si="15">D39+E39-G39-H39-I39-J39</f>
        <v>-3</v>
      </c>
      <c r="L39" s="458"/>
      <c r="M39" s="414" t="s">
        <v>149</v>
      </c>
      <c r="N39" s="463" t="s">
        <v>441</v>
      </c>
      <c r="O39" s="414"/>
      <c r="P39" s="414" t="s">
        <v>442</v>
      </c>
      <c r="Q39" s="414" t="s">
        <v>443</v>
      </c>
      <c r="R39" s="414" t="s">
        <v>444</v>
      </c>
      <c r="S39" s="90"/>
    </row>
    <row r="40" spans="1:19" s="459" customFormat="1" ht="14.25">
      <c r="A40" s="460">
        <f>'1-συμβολαια'!A40</f>
        <v>0</v>
      </c>
      <c r="B40" s="455" t="str">
        <f>'1-συμβολαια'!C40</f>
        <v>ΧΡΗΣΙΚΤΗΣΙΑ οικοπέδου = 1949 πατρός ΔΩΡΕΑ άτυπη</v>
      </c>
      <c r="C40" s="569">
        <f>'1-συμβολαια'!D40</f>
        <v>4444</v>
      </c>
      <c r="D40" s="457"/>
      <c r="E40" s="457"/>
      <c r="F40" s="456"/>
      <c r="G40" s="573"/>
      <c r="H40" s="458"/>
      <c r="I40" s="458"/>
      <c r="J40" s="458"/>
      <c r="K40" s="458">
        <f t="shared" si="0"/>
        <v>0</v>
      </c>
      <c r="L40" s="458"/>
      <c r="M40" s="414"/>
      <c r="N40" s="414"/>
      <c r="O40" s="414"/>
      <c r="P40" s="414"/>
      <c r="Q40" s="414"/>
      <c r="R40" s="414"/>
      <c r="S40" s="90"/>
    </row>
    <row r="41" spans="1:19" s="459" customFormat="1" ht="14.25">
      <c r="A41" s="460">
        <f>'1-συμβολαια'!A41</f>
        <v>0</v>
      </c>
      <c r="B41" s="455" t="str">
        <f>'1-συμβολαια'!C41</f>
        <v>ΧΡΗΣΙΚΤΗΣΙΑ αγροτεμαχίων = 1963 αγοραπωλησίας ΒΑΣΕΙ προσυμφώνου ΜΗ εκτελεσθέντος</v>
      </c>
      <c r="C41" s="569">
        <f>'1-συμβολαια'!D41</f>
        <v>1111</v>
      </c>
      <c r="D41" s="457"/>
      <c r="E41" s="457"/>
      <c r="F41" s="456"/>
      <c r="G41" s="573"/>
      <c r="H41" s="458"/>
      <c r="I41" s="458"/>
      <c r="J41" s="458"/>
      <c r="K41" s="458">
        <f t="shared" si="0"/>
        <v>0</v>
      </c>
      <c r="L41" s="458"/>
      <c r="M41" s="414"/>
      <c r="N41" s="414"/>
      <c r="O41" s="414"/>
      <c r="P41" s="414"/>
      <c r="Q41" s="414"/>
      <c r="R41" s="414"/>
      <c r="S41" s="90"/>
    </row>
    <row r="42" spans="1:19" s="459" customFormat="1" ht="14.25">
      <c r="A42" s="545">
        <f>'1-συμβολαια'!A42</f>
        <v>4625</v>
      </c>
      <c r="B42" s="455" t="str">
        <f>'1-συμβολαια'!C42</f>
        <v>*γονική ΨΙΛΗΣ ΚΥΡΙΟΤΗΤΑΣ</v>
      </c>
      <c r="C42" s="569">
        <f>'1-συμβολαια'!D42</f>
        <v>3061.77</v>
      </c>
      <c r="D42" s="461"/>
      <c r="E42" s="461"/>
      <c r="F42" s="461"/>
      <c r="G42" s="575">
        <v>3</v>
      </c>
      <c r="H42" s="461"/>
      <c r="I42" s="461"/>
      <c r="J42" s="461"/>
      <c r="K42" s="458">
        <f t="shared" si="0"/>
        <v>-3</v>
      </c>
      <c r="L42" s="458"/>
      <c r="M42" s="414" t="s">
        <v>149</v>
      </c>
      <c r="N42" s="463" t="s">
        <v>441</v>
      </c>
      <c r="O42" s="414"/>
      <c r="P42" s="414" t="s">
        <v>442</v>
      </c>
      <c r="Q42" s="414" t="s">
        <v>443</v>
      </c>
      <c r="R42" s="414" t="s">
        <v>444</v>
      </c>
      <c r="S42" s="90"/>
    </row>
    <row r="43" spans="1:19" s="459" customFormat="1" ht="14.25">
      <c r="A43" s="545">
        <f>'1-συμβολαια'!A43</f>
        <v>0</v>
      </c>
      <c r="B43" s="455" t="str">
        <f>'1-συμβολαια'!C43</f>
        <v>ΧΡΗΣΙΚΤΗΣΙΑ αγροτεμαχίου = 19?? πατρός ΔΩΡΕΑ άτυπη</v>
      </c>
      <c r="C43" s="569">
        <f>'1-συμβολαια'!D43</f>
        <v>1111</v>
      </c>
      <c r="D43" s="457"/>
      <c r="E43" s="457"/>
      <c r="F43" s="456"/>
      <c r="G43" s="573"/>
      <c r="H43" s="458"/>
      <c r="I43" s="458"/>
      <c r="J43" s="458"/>
      <c r="K43" s="458">
        <f t="shared" si="0"/>
        <v>0</v>
      </c>
      <c r="L43" s="458"/>
      <c r="M43" s="414"/>
      <c r="N43" s="414"/>
      <c r="O43" s="414"/>
      <c r="P43" s="414"/>
      <c r="Q43" s="414"/>
      <c r="R43" s="414"/>
      <c r="S43" s="90"/>
    </row>
    <row r="44" spans="1:19" s="459" customFormat="1" ht="14.25">
      <c r="A44" s="460">
        <f>'1-συμβολαια'!A44</f>
        <v>4626</v>
      </c>
      <c r="B44" s="455" t="str">
        <f>'1-συμβολαια'!C44</f>
        <v>*γονική ΨΙΛΗΣ ΚΥΡΙΟΤΗΤΑΣ</v>
      </c>
      <c r="C44" s="569">
        <f>'1-συμβολαια'!D44</f>
        <v>5079.72</v>
      </c>
      <c r="D44" s="461"/>
      <c r="E44" s="461"/>
      <c r="F44" s="461"/>
      <c r="G44" s="575">
        <v>3</v>
      </c>
      <c r="H44" s="461"/>
      <c r="I44" s="461"/>
      <c r="J44" s="461"/>
      <c r="K44" s="458">
        <f t="shared" ref="K44" si="16">D44+E44-G44-H44-I44-J44</f>
        <v>-3</v>
      </c>
      <c r="L44" s="458"/>
      <c r="M44" s="414" t="s">
        <v>149</v>
      </c>
      <c r="N44" s="463" t="s">
        <v>441</v>
      </c>
      <c r="O44" s="414"/>
      <c r="P44" s="414" t="s">
        <v>442</v>
      </c>
      <c r="Q44" s="414" t="s">
        <v>443</v>
      </c>
      <c r="R44" s="414" t="s">
        <v>444</v>
      </c>
      <c r="S44" s="90"/>
    </row>
    <row r="45" spans="1:19" s="459" customFormat="1" ht="14.25">
      <c r="A45" s="460">
        <f>'1-συμβολαια'!A45</f>
        <v>0</v>
      </c>
      <c r="B45" s="455" t="str">
        <f>'1-συμβολαια'!C45</f>
        <v>ΧΡΗΣΙΚΤΗΣΙΑ αγροτεμαχίου = 1979 ΑΝΑΔΑΣΜΟΣ</v>
      </c>
      <c r="C45" s="569">
        <f>'1-συμβολαια'!D45</f>
        <v>1111</v>
      </c>
      <c r="D45" s="457"/>
      <c r="E45" s="457"/>
      <c r="F45" s="456"/>
      <c r="G45" s="573"/>
      <c r="H45" s="458"/>
      <c r="I45" s="458"/>
      <c r="J45" s="458"/>
      <c r="K45" s="458">
        <f t="shared" si="0"/>
        <v>0</v>
      </c>
      <c r="L45" s="458"/>
      <c r="M45" s="414"/>
      <c r="N45" s="414"/>
      <c r="O45" s="414"/>
      <c r="P45" s="414"/>
      <c r="Q45" s="414"/>
      <c r="R45" s="414"/>
      <c r="S45" s="90"/>
    </row>
    <row r="46" spans="1:19" s="459" customFormat="1" ht="14.25">
      <c r="A46" s="460">
        <f>'1-συμβολαια'!A46</f>
        <v>0</v>
      </c>
      <c r="B46" s="455" t="str">
        <f>'1-συμβολαια'!C46</f>
        <v>ΧΡΗΣΙΚΤΗΣΙΑ αγροτεμαχίων = 1957 τακοΑναστασιο ΑΓΟΡΑΠΩΛΗΣΙΑ άτυπη</v>
      </c>
      <c r="C46" s="569">
        <f>'1-συμβολαια'!D46</f>
        <v>1111</v>
      </c>
      <c r="D46" s="457"/>
      <c r="E46" s="457"/>
      <c r="F46" s="456"/>
      <c r="G46" s="573"/>
      <c r="H46" s="458"/>
      <c r="I46" s="458"/>
      <c r="J46" s="458"/>
      <c r="K46" s="458">
        <f t="shared" si="0"/>
        <v>0</v>
      </c>
      <c r="L46" s="458"/>
      <c r="M46" s="414"/>
      <c r="N46" s="414"/>
      <c r="O46" s="414"/>
      <c r="P46" s="414"/>
      <c r="Q46" s="414"/>
      <c r="R46" s="414"/>
      <c r="S46" s="90"/>
    </row>
    <row r="47" spans="1:19" s="459" customFormat="1" ht="14.25">
      <c r="A47" s="545">
        <f>'1-συμβολαια'!A47</f>
        <v>4627</v>
      </c>
      <c r="B47" s="455" t="str">
        <f>'1-συμβολαια'!C47</f>
        <v>*δωρεά ΑΙΤΙΑ θανάτου</v>
      </c>
      <c r="C47" s="569">
        <f>'1-συμβολαια'!D47</f>
        <v>0</v>
      </c>
      <c r="D47" s="461"/>
      <c r="E47" s="461"/>
      <c r="F47" s="461"/>
      <c r="G47" s="575">
        <v>0.5</v>
      </c>
      <c r="H47" s="461"/>
      <c r="I47" s="461"/>
      <c r="J47" s="461"/>
      <c r="K47" s="458">
        <f t="shared" si="0"/>
        <v>-0.5</v>
      </c>
      <c r="L47" s="458"/>
      <c r="M47" s="414" t="s">
        <v>149</v>
      </c>
      <c r="N47" s="463" t="s">
        <v>441</v>
      </c>
      <c r="O47" s="414"/>
      <c r="P47" s="414" t="s">
        <v>442</v>
      </c>
      <c r="Q47" s="414" t="s">
        <v>443</v>
      </c>
      <c r="R47" s="414" t="s">
        <v>444</v>
      </c>
      <c r="S47" s="90"/>
    </row>
    <row r="48" spans="1:19" s="459" customFormat="1" ht="14.25">
      <c r="A48" s="545">
        <f>'1-συμβολαια'!A48</f>
        <v>0</v>
      </c>
      <c r="B48" s="455" t="str">
        <f>'1-συμβολαια'!C48</f>
        <v>ΧΡΗΣΙΚΤΗΣΙΑ αγροτεμαχίου [νυν οικόπεδο ΜΕ οικοδομή] ] = 1970 ΑΝΑΔΑΣΜΟΣ</v>
      </c>
      <c r="C48" s="569">
        <f>'1-συμβολαια'!D48</f>
        <v>1111</v>
      </c>
      <c r="D48" s="457"/>
      <c r="E48" s="457"/>
      <c r="F48" s="456"/>
      <c r="G48" s="573"/>
      <c r="H48" s="458"/>
      <c r="I48" s="458"/>
      <c r="J48" s="458"/>
      <c r="K48" s="458">
        <f t="shared" si="0"/>
        <v>0</v>
      </c>
      <c r="L48" s="458"/>
      <c r="M48" s="414"/>
      <c r="N48" s="414"/>
      <c r="O48" s="414"/>
      <c r="P48" s="414"/>
      <c r="Q48" s="414"/>
      <c r="R48" s="414"/>
      <c r="S48" s="90"/>
    </row>
    <row r="49" spans="1:25" s="459" customFormat="1" ht="14.25">
      <c r="A49" s="545">
        <f>'1-συμβολαια'!A49</f>
        <v>0</v>
      </c>
      <c r="B49" s="455" t="str">
        <f>'1-συμβολαια'!C49</f>
        <v>*γονικής 1262  ΕΠΙΚΑΡΠΙΑ …  ΔΩΡΕΑ αιτία θανάτου</v>
      </c>
      <c r="C49" s="569">
        <f>'1-συμβολαια'!D49</f>
        <v>8888</v>
      </c>
      <c r="D49" s="457"/>
      <c r="E49" s="457"/>
      <c r="F49" s="456"/>
      <c r="G49" s="573"/>
      <c r="H49" s="458"/>
      <c r="I49" s="458"/>
      <c r="J49" s="458"/>
      <c r="K49" s="458">
        <f t="shared" si="0"/>
        <v>0</v>
      </c>
      <c r="L49" s="458"/>
      <c r="M49" s="414"/>
      <c r="N49" s="414"/>
      <c r="O49" s="414"/>
      <c r="P49" s="414"/>
      <c r="Q49" s="414"/>
      <c r="R49" s="414"/>
      <c r="S49" s="90"/>
    </row>
    <row r="50" spans="1:25" s="459" customFormat="1" ht="14.25">
      <c r="A50" s="499">
        <f>'1-συμβολαια'!A50</f>
        <v>4628</v>
      </c>
      <c r="B50" s="455" t="str">
        <f>'1-συμβολαια'!C50</f>
        <v>πληρεξούσιο</v>
      </c>
      <c r="C50" s="569">
        <f>'1-συμβολαια'!D50</f>
        <v>0</v>
      </c>
      <c r="D50" s="461"/>
      <c r="E50" s="461"/>
      <c r="F50" s="461"/>
      <c r="G50" s="574"/>
      <c r="H50" s="461"/>
      <c r="I50" s="461"/>
      <c r="J50" s="461"/>
      <c r="K50" s="458">
        <f t="shared" si="0"/>
        <v>0</v>
      </c>
      <c r="L50" s="458"/>
      <c r="M50" s="463" t="s">
        <v>149</v>
      </c>
      <c r="N50" s="463" t="s">
        <v>441</v>
      </c>
      <c r="O50" s="414" t="s">
        <v>144</v>
      </c>
      <c r="P50" s="414" t="s">
        <v>442</v>
      </c>
      <c r="Q50" s="414" t="s">
        <v>443</v>
      </c>
      <c r="R50" s="414" t="s">
        <v>444</v>
      </c>
      <c r="S50" s="90"/>
    </row>
    <row r="51" spans="1:25" s="459" customFormat="1" ht="14.25">
      <c r="A51" s="460">
        <f>'1-συμβολαια'!A51</f>
        <v>4629</v>
      </c>
      <c r="B51" s="455" t="str">
        <f>'1-συμβολαια'!C51</f>
        <v>κληρονομιάς ΑΠΟΔΟΧΗ</v>
      </c>
      <c r="C51" s="569">
        <f>'1-συμβολαια'!D51</f>
        <v>0</v>
      </c>
      <c r="D51" s="461"/>
      <c r="E51" s="461"/>
      <c r="F51" s="461"/>
      <c r="G51" s="574"/>
      <c r="H51" s="461"/>
      <c r="I51" s="461"/>
      <c r="J51" s="461"/>
      <c r="K51" s="458">
        <f t="shared" ref="K51" si="17">D51+E51-G51-H51-I51-J51</f>
        <v>0</v>
      </c>
      <c r="L51" s="458"/>
      <c r="M51" s="463" t="s">
        <v>149</v>
      </c>
      <c r="N51" s="463" t="s">
        <v>441</v>
      </c>
      <c r="O51" s="414" t="s">
        <v>144</v>
      </c>
      <c r="P51" s="414" t="s">
        <v>442</v>
      </c>
      <c r="Q51" s="414" t="s">
        <v>443</v>
      </c>
      <c r="R51" s="414" t="s">
        <v>444</v>
      </c>
      <c r="S51" s="90"/>
    </row>
    <row r="52" spans="1:25" s="459" customFormat="1" ht="14.25">
      <c r="A52" s="460">
        <f>'1-συμβολαια'!A52</f>
        <v>0</v>
      </c>
      <c r="B52" s="455" t="str">
        <f>'1-συμβολαια'!C52</f>
        <v>ΧΡΗΣΙΚΤΗΣΙΑ αγροτεμαχίου = 1980 πατρός ΚΛΗΡΟΝΟΜΙΑ άτυπη</v>
      </c>
      <c r="C52" s="569">
        <f>'1-συμβολαια'!D52</f>
        <v>1111</v>
      </c>
      <c r="D52" s="457"/>
      <c r="E52" s="457"/>
      <c r="F52" s="456"/>
      <c r="G52" s="573"/>
      <c r="H52" s="458"/>
      <c r="I52" s="458"/>
      <c r="J52" s="458"/>
      <c r="K52" s="458">
        <f t="shared" si="0"/>
        <v>0</v>
      </c>
      <c r="L52" s="458"/>
      <c r="M52" s="414"/>
      <c r="N52" s="414"/>
      <c r="O52" s="414"/>
      <c r="P52" s="414"/>
      <c r="Q52" s="414"/>
      <c r="R52" s="414"/>
      <c r="S52" s="90"/>
    </row>
    <row r="53" spans="1:25" s="459" customFormat="1" ht="14.25">
      <c r="A53" s="460">
        <f>'1-συμβολαια'!A53</f>
        <v>0</v>
      </c>
      <c r="B53" s="455" t="str">
        <f>'1-συμβολαια'!C53</f>
        <v>ΧΡΗΣΙΚΤΗΣΙΑ αγροτεμαχίου = 1980 ΔΙΑΝΟΜΗ άτυπη</v>
      </c>
      <c r="C53" s="569">
        <f>'1-συμβολαια'!D53</f>
        <v>11</v>
      </c>
      <c r="D53" s="457"/>
      <c r="E53" s="457"/>
      <c r="F53" s="456"/>
      <c r="G53" s="573"/>
      <c r="H53" s="458"/>
      <c r="I53" s="458"/>
      <c r="J53" s="458"/>
      <c r="K53" s="458">
        <f t="shared" si="0"/>
        <v>0</v>
      </c>
      <c r="L53" s="458"/>
      <c r="M53" s="414"/>
      <c r="N53" s="414"/>
      <c r="O53" s="414"/>
      <c r="P53" s="414"/>
      <c r="Q53" s="414"/>
      <c r="R53" s="414"/>
      <c r="S53" s="90"/>
    </row>
    <row r="54" spans="1:25" s="459" customFormat="1" ht="14.25">
      <c r="A54" s="545">
        <f>'1-συμβολαια'!A54</f>
        <v>4630</v>
      </c>
      <c r="B54" s="455" t="str">
        <f>'1-συμβολαια'!C54</f>
        <v xml:space="preserve">αγοραπωλησίας ΠΡΟΣΥΜΦΩΝΟ τίμημα = αρραβών = </v>
      </c>
      <c r="C54" s="569">
        <f>'1-συμβολαια'!D54</f>
        <v>8804.1</v>
      </c>
      <c r="D54" s="461"/>
      <c r="E54" s="461"/>
      <c r="F54" s="461"/>
      <c r="G54" s="574"/>
      <c r="H54" s="461"/>
      <c r="I54" s="461"/>
      <c r="J54" s="461"/>
      <c r="K54" s="458">
        <f t="shared" si="0"/>
        <v>0</v>
      </c>
      <c r="L54" s="458"/>
      <c r="M54" s="463" t="s">
        <v>149</v>
      </c>
      <c r="N54" s="463" t="s">
        <v>441</v>
      </c>
      <c r="O54" s="414" t="s">
        <v>144</v>
      </c>
      <c r="P54" s="414" t="s">
        <v>442</v>
      </c>
      <c r="Q54" s="414" t="s">
        <v>443</v>
      </c>
      <c r="R54" s="414" t="s">
        <v>444</v>
      </c>
      <c r="S54" s="90"/>
    </row>
    <row r="55" spans="1:25" s="459" customFormat="1" ht="14.25">
      <c r="A55" s="545">
        <f>'1-συμβολαια'!A55</f>
        <v>0</v>
      </c>
      <c r="B55" s="455" t="str">
        <f>'1-συμβολαια'!C55</f>
        <v>ΧΡΗΣΙΚΤΗΣΙΑ αγροτεμαχίου = 1970 συζύγου ΔΩΡΕΑ άτυπη</v>
      </c>
      <c r="C55" s="569">
        <f>'1-συμβολαια'!D55</f>
        <v>5555</v>
      </c>
      <c r="D55" s="457"/>
      <c r="E55" s="457"/>
      <c r="F55" s="456"/>
      <c r="G55" s="573"/>
      <c r="H55" s="458"/>
      <c r="I55" s="458"/>
      <c r="J55" s="458"/>
      <c r="K55" s="458">
        <f t="shared" si="0"/>
        <v>0</v>
      </c>
      <c r="L55" s="458"/>
      <c r="M55" s="414"/>
      <c r="N55" s="414"/>
      <c r="O55" s="414"/>
      <c r="P55" s="414"/>
      <c r="Q55" s="414"/>
      <c r="R55" s="414"/>
      <c r="S55" s="90"/>
    </row>
    <row r="56" spans="1:25" s="459" customFormat="1" ht="14.25">
      <c r="A56" s="499">
        <f>'1-συμβολαια'!A56</f>
        <v>4631</v>
      </c>
      <c r="B56" s="455" t="str">
        <f>'1-συμβολαια'!C56</f>
        <v>αγοραπωλησίας 4.191 ΕΞΟΦΛΗΣΗ</v>
      </c>
      <c r="C56" s="569">
        <f>'1-συμβολαια'!D56</f>
        <v>0</v>
      </c>
      <c r="D56" s="461"/>
      <c r="E56" s="461"/>
      <c r="F56" s="461"/>
      <c r="G56" s="574"/>
      <c r="H56" s="461"/>
      <c r="I56" s="461"/>
      <c r="J56" s="461"/>
      <c r="K56" s="458">
        <f t="shared" ref="K56" si="18">D56+E56-G56-H56-I56-J56</f>
        <v>0</v>
      </c>
      <c r="L56" s="458"/>
      <c r="M56" s="463" t="s">
        <v>149</v>
      </c>
      <c r="N56" s="463" t="s">
        <v>441</v>
      </c>
      <c r="O56" s="414" t="s">
        <v>144</v>
      </c>
      <c r="P56" s="414" t="s">
        <v>442</v>
      </c>
      <c r="Q56" s="414" t="s">
        <v>443</v>
      </c>
      <c r="R56" s="414" t="s">
        <v>444</v>
      </c>
      <c r="S56" s="90"/>
    </row>
    <row r="57" spans="1:25" s="459" customFormat="1" ht="14.25">
      <c r="A57" s="499"/>
      <c r="B57" s="455"/>
      <c r="C57" s="569"/>
      <c r="D57" s="457"/>
      <c r="E57" s="457"/>
      <c r="F57" s="456"/>
      <c r="G57" s="573"/>
      <c r="H57" s="458"/>
      <c r="I57" s="458"/>
      <c r="J57" s="458"/>
      <c r="K57" s="458"/>
      <c r="L57" s="458"/>
      <c r="M57" s="414"/>
      <c r="N57" s="414"/>
      <c r="O57" s="414"/>
      <c r="P57" s="414"/>
      <c r="Q57" s="414"/>
      <c r="R57" s="414"/>
      <c r="S57" s="90"/>
    </row>
    <row r="58" spans="1:25" s="459" customFormat="1" ht="14.25">
      <c r="A58" s="499"/>
      <c r="B58" s="455"/>
      <c r="C58" s="569"/>
      <c r="D58" s="457"/>
      <c r="E58" s="457"/>
      <c r="F58" s="456"/>
      <c r="G58" s="573"/>
      <c r="H58" s="458"/>
      <c r="I58" s="458"/>
      <c r="J58" s="458"/>
      <c r="K58" s="458"/>
      <c r="L58" s="458"/>
      <c r="M58" s="414"/>
      <c r="N58" s="414"/>
      <c r="O58" s="414"/>
      <c r="P58" s="414"/>
      <c r="Q58" s="414"/>
      <c r="R58" s="414"/>
      <c r="S58" s="90"/>
    </row>
    <row r="59" spans="1:25" ht="15.75">
      <c r="A59" s="638" t="s">
        <v>56</v>
      </c>
      <c r="B59" s="639"/>
      <c r="C59" s="639"/>
      <c r="D59" s="277">
        <f t="shared" ref="D59:L59" si="19">SUM(D3:D58)</f>
        <v>0</v>
      </c>
      <c r="E59" s="277">
        <f t="shared" si="19"/>
        <v>0</v>
      </c>
      <c r="F59" s="277">
        <f t="shared" si="19"/>
        <v>0</v>
      </c>
      <c r="G59" s="576">
        <f t="shared" si="19"/>
        <v>12.5</v>
      </c>
      <c r="H59" s="277">
        <f t="shared" si="19"/>
        <v>0</v>
      </c>
      <c r="I59" s="277">
        <f t="shared" si="19"/>
        <v>0</v>
      </c>
      <c r="J59" s="277">
        <f t="shared" si="19"/>
        <v>0</v>
      </c>
      <c r="K59" s="277">
        <f t="shared" si="19"/>
        <v>-12.5</v>
      </c>
      <c r="L59" s="277">
        <f t="shared" si="19"/>
        <v>0</v>
      </c>
    </row>
    <row r="60" spans="1:25" ht="15.75">
      <c r="M60" s="152" t="s">
        <v>113</v>
      </c>
      <c r="N60" s="168"/>
      <c r="O60" s="168"/>
      <c r="P60" s="168"/>
      <c r="Q60" s="168"/>
      <c r="R60" s="168"/>
      <c r="S60" s="168"/>
      <c r="T60" s="145"/>
      <c r="U60" s="145"/>
      <c r="V60" s="145"/>
      <c r="W60" s="145"/>
      <c r="X60" s="5"/>
    </row>
    <row r="61" spans="1:25" ht="15.75">
      <c r="M61" s="263"/>
      <c r="N61" s="152" t="s">
        <v>437</v>
      </c>
      <c r="O61" s="263"/>
      <c r="P61" s="263"/>
      <c r="Q61" s="263"/>
      <c r="R61" s="263"/>
      <c r="S61" s="263"/>
      <c r="T61" s="263"/>
      <c r="U61" s="263"/>
      <c r="V61" s="263"/>
      <c r="W61" s="279"/>
      <c r="X61" s="279"/>
      <c r="Y61" s="279"/>
    </row>
    <row r="62" spans="1:25" ht="15.75">
      <c r="M62" s="279"/>
      <c r="N62" s="279"/>
      <c r="O62" s="168" t="s">
        <v>114</v>
      </c>
      <c r="P62" s="168"/>
      <c r="Q62" s="168"/>
      <c r="R62" s="168"/>
      <c r="S62" s="168"/>
      <c r="T62" s="168"/>
      <c r="U62" s="168"/>
      <c r="V62" s="168"/>
      <c r="W62" s="168"/>
      <c r="X62" s="279"/>
      <c r="Y62" s="278"/>
    </row>
    <row r="63" spans="1:25" ht="15.75">
      <c r="B63" s="255" t="s">
        <v>613</v>
      </c>
      <c r="M63" s="279"/>
      <c r="N63" s="279"/>
      <c r="O63" s="279"/>
      <c r="P63" s="280" t="s">
        <v>438</v>
      </c>
      <c r="Q63" s="279"/>
      <c r="R63" s="279"/>
      <c r="S63" s="280"/>
      <c r="T63" s="280"/>
      <c r="U63" s="280"/>
      <c r="V63" s="280"/>
      <c r="W63" s="280"/>
      <c r="X63" s="280"/>
      <c r="Y63" s="278"/>
    </row>
    <row r="64" spans="1:25" ht="15.75">
      <c r="B64" s="254" t="s">
        <v>614</v>
      </c>
      <c r="M64" s="279"/>
      <c r="N64" s="279"/>
      <c r="O64" s="279"/>
      <c r="P64" s="279"/>
      <c r="Q64" s="168" t="s">
        <v>439</v>
      </c>
      <c r="R64" s="168"/>
      <c r="S64" s="168"/>
      <c r="T64" s="280"/>
      <c r="U64" s="280"/>
      <c r="V64" s="168"/>
      <c r="W64" s="168"/>
      <c r="X64" s="168"/>
      <c r="Y64" s="278"/>
    </row>
    <row r="65" spans="2:25" ht="15.75">
      <c r="M65" s="279"/>
      <c r="N65" s="279"/>
      <c r="O65" s="279"/>
      <c r="P65" s="279"/>
      <c r="Q65" s="279"/>
      <c r="R65" s="280" t="s">
        <v>440</v>
      </c>
      <c r="S65" s="280"/>
      <c r="T65" s="280"/>
      <c r="U65" s="280"/>
      <c r="V65" s="280"/>
      <c r="W65" s="280"/>
      <c r="X65" s="280"/>
      <c r="Y65" s="278"/>
    </row>
    <row r="66" spans="2:25" ht="15.75">
      <c r="B66" s="158"/>
      <c r="T66" s="154"/>
      <c r="Y66" s="278"/>
    </row>
    <row r="67" spans="2:25" ht="15.75">
      <c r="B67" s="159"/>
      <c r="T67" s="154"/>
    </row>
    <row r="68" spans="2:25" ht="15.75">
      <c r="T68" s="154"/>
    </row>
    <row r="69" spans="2:25" ht="15.75">
      <c r="T69" s="154"/>
    </row>
  </sheetData>
  <mergeCells count="8">
    <mergeCell ref="M1:S2"/>
    <mergeCell ref="L1:L2"/>
    <mergeCell ref="A59:C5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88"/>
  <sheetViews>
    <sheetView workbookViewId="0">
      <pane ySplit="2" topLeftCell="A46" activePane="bottomLeft" state="frozen"/>
      <selection pane="bottomLeft" activeCell="C66" sqref="C66"/>
    </sheetView>
  </sheetViews>
  <sheetFormatPr defaultRowHeight="15"/>
  <cols>
    <col min="1" max="1" width="11.5703125" style="128" bestFit="1" customWidth="1"/>
    <col min="2" max="2" width="99.85546875" style="129" bestFit="1" customWidth="1"/>
    <col min="3" max="3" width="14.28515625" style="130" customWidth="1"/>
    <col min="4" max="4" width="10.42578125" style="130" bestFit="1" customWidth="1"/>
    <col min="5" max="5" width="16.7109375" style="130" bestFit="1" customWidth="1"/>
    <col min="6" max="6" width="7.85546875" style="127" customWidth="1"/>
    <col min="7" max="7" width="10" style="127" customWidth="1"/>
    <col min="8" max="8" width="6.140625" style="127" bestFit="1" customWidth="1"/>
    <col min="9" max="12" width="7.140625" style="127" customWidth="1"/>
    <col min="13" max="13" width="6.28515625" style="127" customWidth="1"/>
    <col min="14" max="21" width="7.140625" style="127" customWidth="1"/>
    <col min="22" max="22" width="30.85546875" style="127" customWidth="1"/>
    <col min="23" max="220" width="9.140625" style="123"/>
    <col min="221" max="221" width="9" style="123" bestFit="1" customWidth="1"/>
    <col min="222" max="222" width="9.85546875" style="123" bestFit="1" customWidth="1"/>
    <col min="223" max="223" width="9.140625" style="123" bestFit="1" customWidth="1"/>
    <col min="224" max="224" width="16" style="123" bestFit="1" customWidth="1"/>
    <col min="225" max="225" width="9" style="123" bestFit="1" customWidth="1"/>
    <col min="226" max="226" width="7.85546875" style="123" bestFit="1" customWidth="1"/>
    <col min="227" max="227" width="11.7109375" style="123" bestFit="1" customWidth="1"/>
    <col min="228" max="228" width="14.28515625" style="123" customWidth="1"/>
    <col min="229" max="229" width="11.7109375" style="123" bestFit="1" customWidth="1"/>
    <col min="230" max="230" width="14.140625" style="123" bestFit="1" customWidth="1"/>
    <col min="231" max="231" width="16.7109375" style="123" customWidth="1"/>
    <col min="232" max="232" width="16.5703125" style="123" customWidth="1"/>
    <col min="233" max="234" width="7.85546875" style="123" bestFit="1" customWidth="1"/>
    <col min="235" max="235" width="8" style="123" bestFit="1" customWidth="1"/>
    <col min="236" max="237" width="7.85546875" style="123" bestFit="1" customWidth="1"/>
    <col min="238" max="238" width="9.7109375" style="123" customWidth="1"/>
    <col min="239" max="239" width="12.85546875" style="123" customWidth="1"/>
    <col min="240" max="476" width="9.140625" style="123"/>
    <col min="477" max="477" width="9" style="123" bestFit="1" customWidth="1"/>
    <col min="478" max="478" width="9.85546875" style="123" bestFit="1" customWidth="1"/>
    <col min="479" max="479" width="9.140625" style="123" bestFit="1" customWidth="1"/>
    <col min="480" max="480" width="16" style="123" bestFit="1" customWidth="1"/>
    <col min="481" max="481" width="9" style="123" bestFit="1" customWidth="1"/>
    <col min="482" max="482" width="7.85546875" style="123" bestFit="1" customWidth="1"/>
    <col min="483" max="483" width="11.7109375" style="123" bestFit="1" customWidth="1"/>
    <col min="484" max="484" width="14.28515625" style="123" customWidth="1"/>
    <col min="485" max="485" width="11.7109375" style="123" bestFit="1" customWidth="1"/>
    <col min="486" max="486" width="14.140625" style="123" bestFit="1" customWidth="1"/>
    <col min="487" max="487" width="16.7109375" style="123" customWidth="1"/>
    <col min="488" max="488" width="16.5703125" style="123" customWidth="1"/>
    <col min="489" max="490" width="7.85546875" style="123" bestFit="1" customWidth="1"/>
    <col min="491" max="491" width="8" style="123" bestFit="1" customWidth="1"/>
    <col min="492" max="493" width="7.85546875" style="123" bestFit="1" customWidth="1"/>
    <col min="494" max="494" width="9.7109375" style="123" customWidth="1"/>
    <col min="495" max="495" width="12.85546875" style="123" customWidth="1"/>
    <col min="496" max="732" width="9.140625" style="123"/>
    <col min="733" max="733" width="9" style="123" bestFit="1" customWidth="1"/>
    <col min="734" max="734" width="9.85546875" style="123" bestFit="1" customWidth="1"/>
    <col min="735" max="735" width="9.140625" style="123" bestFit="1" customWidth="1"/>
    <col min="736" max="736" width="16" style="123" bestFit="1" customWidth="1"/>
    <col min="737" max="737" width="9" style="123" bestFit="1" customWidth="1"/>
    <col min="738" max="738" width="7.85546875" style="123" bestFit="1" customWidth="1"/>
    <col min="739" max="739" width="11.7109375" style="123" bestFit="1" customWidth="1"/>
    <col min="740" max="740" width="14.28515625" style="123" customWidth="1"/>
    <col min="741" max="741" width="11.7109375" style="123" bestFit="1" customWidth="1"/>
    <col min="742" max="742" width="14.140625" style="123" bestFit="1" customWidth="1"/>
    <col min="743" max="743" width="16.7109375" style="123" customWidth="1"/>
    <col min="744" max="744" width="16.5703125" style="123" customWidth="1"/>
    <col min="745" max="746" width="7.85546875" style="123" bestFit="1" customWidth="1"/>
    <col min="747" max="747" width="8" style="123" bestFit="1" customWidth="1"/>
    <col min="748" max="749" width="7.85546875" style="123" bestFit="1" customWidth="1"/>
    <col min="750" max="750" width="9.7109375" style="123" customWidth="1"/>
    <col min="751" max="751" width="12.85546875" style="123" customWidth="1"/>
    <col min="752" max="988" width="9.140625" style="123"/>
    <col min="989" max="989" width="9" style="123" bestFit="1" customWidth="1"/>
    <col min="990" max="990" width="9.85546875" style="123" bestFit="1" customWidth="1"/>
    <col min="991" max="991" width="9.140625" style="123" bestFit="1" customWidth="1"/>
    <col min="992" max="992" width="16" style="123" bestFit="1" customWidth="1"/>
    <col min="993" max="993" width="9" style="123" bestFit="1" customWidth="1"/>
    <col min="994" max="994" width="7.85546875" style="123" bestFit="1" customWidth="1"/>
    <col min="995" max="995" width="11.7109375" style="123" bestFit="1" customWidth="1"/>
    <col min="996" max="996" width="14.28515625" style="123" customWidth="1"/>
    <col min="997" max="997" width="11.7109375" style="123" bestFit="1" customWidth="1"/>
    <col min="998" max="998" width="14.140625" style="123" bestFit="1" customWidth="1"/>
    <col min="999" max="999" width="16.7109375" style="123" customWidth="1"/>
    <col min="1000" max="1000" width="16.5703125" style="123" customWidth="1"/>
    <col min="1001" max="1002" width="7.85546875" style="123" bestFit="1" customWidth="1"/>
    <col min="1003" max="1003" width="8" style="123" bestFit="1" customWidth="1"/>
    <col min="1004" max="1005" width="7.85546875" style="123" bestFit="1" customWidth="1"/>
    <col min="1006" max="1006" width="9.7109375" style="123" customWidth="1"/>
    <col min="1007" max="1007" width="12.85546875" style="123" customWidth="1"/>
    <col min="1008" max="1244" width="9.140625" style="123"/>
    <col min="1245" max="1245" width="9" style="123" bestFit="1" customWidth="1"/>
    <col min="1246" max="1246" width="9.85546875" style="123" bestFit="1" customWidth="1"/>
    <col min="1247" max="1247" width="9.140625" style="123" bestFit="1" customWidth="1"/>
    <col min="1248" max="1248" width="16" style="123" bestFit="1" customWidth="1"/>
    <col min="1249" max="1249" width="9" style="123" bestFit="1" customWidth="1"/>
    <col min="1250" max="1250" width="7.85546875" style="123" bestFit="1" customWidth="1"/>
    <col min="1251" max="1251" width="11.7109375" style="123" bestFit="1" customWidth="1"/>
    <col min="1252" max="1252" width="14.28515625" style="123" customWidth="1"/>
    <col min="1253" max="1253" width="11.7109375" style="123" bestFit="1" customWidth="1"/>
    <col min="1254" max="1254" width="14.140625" style="123" bestFit="1" customWidth="1"/>
    <col min="1255" max="1255" width="16.7109375" style="123" customWidth="1"/>
    <col min="1256" max="1256" width="16.5703125" style="123" customWidth="1"/>
    <col min="1257" max="1258" width="7.85546875" style="123" bestFit="1" customWidth="1"/>
    <col min="1259" max="1259" width="8" style="123" bestFit="1" customWidth="1"/>
    <col min="1260" max="1261" width="7.85546875" style="123" bestFit="1" customWidth="1"/>
    <col min="1262" max="1262" width="9.7109375" style="123" customWidth="1"/>
    <col min="1263" max="1263" width="12.85546875" style="123" customWidth="1"/>
    <col min="1264" max="1500" width="9.140625" style="123"/>
    <col min="1501" max="1501" width="9" style="123" bestFit="1" customWidth="1"/>
    <col min="1502" max="1502" width="9.85546875" style="123" bestFit="1" customWidth="1"/>
    <col min="1503" max="1503" width="9.140625" style="123" bestFit="1" customWidth="1"/>
    <col min="1504" max="1504" width="16" style="123" bestFit="1" customWidth="1"/>
    <col min="1505" max="1505" width="9" style="123" bestFit="1" customWidth="1"/>
    <col min="1506" max="1506" width="7.85546875" style="123" bestFit="1" customWidth="1"/>
    <col min="1507" max="1507" width="11.7109375" style="123" bestFit="1" customWidth="1"/>
    <col min="1508" max="1508" width="14.28515625" style="123" customWidth="1"/>
    <col min="1509" max="1509" width="11.7109375" style="123" bestFit="1" customWidth="1"/>
    <col min="1510" max="1510" width="14.140625" style="123" bestFit="1" customWidth="1"/>
    <col min="1511" max="1511" width="16.7109375" style="123" customWidth="1"/>
    <col min="1512" max="1512" width="16.5703125" style="123" customWidth="1"/>
    <col min="1513" max="1514" width="7.85546875" style="123" bestFit="1" customWidth="1"/>
    <col min="1515" max="1515" width="8" style="123" bestFit="1" customWidth="1"/>
    <col min="1516" max="1517" width="7.85546875" style="123" bestFit="1" customWidth="1"/>
    <col min="1518" max="1518" width="9.7109375" style="123" customWidth="1"/>
    <col min="1519" max="1519" width="12.85546875" style="123" customWidth="1"/>
    <col min="1520" max="1756" width="9.140625" style="123"/>
    <col min="1757" max="1757" width="9" style="123" bestFit="1" customWidth="1"/>
    <col min="1758" max="1758" width="9.85546875" style="123" bestFit="1" customWidth="1"/>
    <col min="1759" max="1759" width="9.140625" style="123" bestFit="1" customWidth="1"/>
    <col min="1760" max="1760" width="16" style="123" bestFit="1" customWidth="1"/>
    <col min="1761" max="1761" width="9" style="123" bestFit="1" customWidth="1"/>
    <col min="1762" max="1762" width="7.85546875" style="123" bestFit="1" customWidth="1"/>
    <col min="1763" max="1763" width="11.7109375" style="123" bestFit="1" customWidth="1"/>
    <col min="1764" max="1764" width="14.28515625" style="123" customWidth="1"/>
    <col min="1765" max="1765" width="11.7109375" style="123" bestFit="1" customWidth="1"/>
    <col min="1766" max="1766" width="14.140625" style="123" bestFit="1" customWidth="1"/>
    <col min="1767" max="1767" width="16.7109375" style="123" customWidth="1"/>
    <col min="1768" max="1768" width="16.5703125" style="123" customWidth="1"/>
    <col min="1769" max="1770" width="7.85546875" style="123" bestFit="1" customWidth="1"/>
    <col min="1771" max="1771" width="8" style="123" bestFit="1" customWidth="1"/>
    <col min="1772" max="1773" width="7.85546875" style="123" bestFit="1" customWidth="1"/>
    <col min="1774" max="1774" width="9.7109375" style="123" customWidth="1"/>
    <col min="1775" max="1775" width="12.85546875" style="123" customWidth="1"/>
    <col min="1776" max="2012" width="9.140625" style="123"/>
    <col min="2013" max="2013" width="9" style="123" bestFit="1" customWidth="1"/>
    <col min="2014" max="2014" width="9.85546875" style="123" bestFit="1" customWidth="1"/>
    <col min="2015" max="2015" width="9.140625" style="123" bestFit="1" customWidth="1"/>
    <col min="2016" max="2016" width="16" style="123" bestFit="1" customWidth="1"/>
    <col min="2017" max="2017" width="9" style="123" bestFit="1" customWidth="1"/>
    <col min="2018" max="2018" width="7.85546875" style="123" bestFit="1" customWidth="1"/>
    <col min="2019" max="2019" width="11.7109375" style="123" bestFit="1" customWidth="1"/>
    <col min="2020" max="2020" width="14.28515625" style="123" customWidth="1"/>
    <col min="2021" max="2021" width="11.7109375" style="123" bestFit="1" customWidth="1"/>
    <col min="2022" max="2022" width="14.140625" style="123" bestFit="1" customWidth="1"/>
    <col min="2023" max="2023" width="16.7109375" style="123" customWidth="1"/>
    <col min="2024" max="2024" width="16.5703125" style="123" customWidth="1"/>
    <col min="2025" max="2026" width="7.85546875" style="123" bestFit="1" customWidth="1"/>
    <col min="2027" max="2027" width="8" style="123" bestFit="1" customWidth="1"/>
    <col min="2028" max="2029" width="7.85546875" style="123" bestFit="1" customWidth="1"/>
    <col min="2030" max="2030" width="9.7109375" style="123" customWidth="1"/>
    <col min="2031" max="2031" width="12.85546875" style="123" customWidth="1"/>
    <col min="2032" max="2268" width="9.140625" style="123"/>
    <col min="2269" max="2269" width="9" style="123" bestFit="1" customWidth="1"/>
    <col min="2270" max="2270" width="9.85546875" style="123" bestFit="1" customWidth="1"/>
    <col min="2271" max="2271" width="9.140625" style="123" bestFit="1" customWidth="1"/>
    <col min="2272" max="2272" width="16" style="123" bestFit="1" customWidth="1"/>
    <col min="2273" max="2273" width="9" style="123" bestFit="1" customWidth="1"/>
    <col min="2274" max="2274" width="7.85546875" style="123" bestFit="1" customWidth="1"/>
    <col min="2275" max="2275" width="11.7109375" style="123" bestFit="1" customWidth="1"/>
    <col min="2276" max="2276" width="14.28515625" style="123" customWidth="1"/>
    <col min="2277" max="2277" width="11.7109375" style="123" bestFit="1" customWidth="1"/>
    <col min="2278" max="2278" width="14.140625" style="123" bestFit="1" customWidth="1"/>
    <col min="2279" max="2279" width="16.7109375" style="123" customWidth="1"/>
    <col min="2280" max="2280" width="16.5703125" style="123" customWidth="1"/>
    <col min="2281" max="2282" width="7.85546875" style="123" bestFit="1" customWidth="1"/>
    <col min="2283" max="2283" width="8" style="123" bestFit="1" customWidth="1"/>
    <col min="2284" max="2285" width="7.85546875" style="123" bestFit="1" customWidth="1"/>
    <col min="2286" max="2286" width="9.7109375" style="123" customWidth="1"/>
    <col min="2287" max="2287" width="12.85546875" style="123" customWidth="1"/>
    <col min="2288" max="2524" width="9.140625" style="123"/>
    <col min="2525" max="2525" width="9" style="123" bestFit="1" customWidth="1"/>
    <col min="2526" max="2526" width="9.85546875" style="123" bestFit="1" customWidth="1"/>
    <col min="2527" max="2527" width="9.140625" style="123" bestFit="1" customWidth="1"/>
    <col min="2528" max="2528" width="16" style="123" bestFit="1" customWidth="1"/>
    <col min="2529" max="2529" width="9" style="123" bestFit="1" customWidth="1"/>
    <col min="2530" max="2530" width="7.85546875" style="123" bestFit="1" customWidth="1"/>
    <col min="2531" max="2531" width="11.7109375" style="123" bestFit="1" customWidth="1"/>
    <col min="2532" max="2532" width="14.28515625" style="123" customWidth="1"/>
    <col min="2533" max="2533" width="11.7109375" style="123" bestFit="1" customWidth="1"/>
    <col min="2534" max="2534" width="14.140625" style="123" bestFit="1" customWidth="1"/>
    <col min="2535" max="2535" width="16.7109375" style="123" customWidth="1"/>
    <col min="2536" max="2536" width="16.5703125" style="123" customWidth="1"/>
    <col min="2537" max="2538" width="7.85546875" style="123" bestFit="1" customWidth="1"/>
    <col min="2539" max="2539" width="8" style="123" bestFit="1" customWidth="1"/>
    <col min="2540" max="2541" width="7.85546875" style="123" bestFit="1" customWidth="1"/>
    <col min="2542" max="2542" width="9.7109375" style="123" customWidth="1"/>
    <col min="2543" max="2543" width="12.85546875" style="123" customWidth="1"/>
    <col min="2544" max="2780" width="9.140625" style="123"/>
    <col min="2781" max="2781" width="9" style="123" bestFit="1" customWidth="1"/>
    <col min="2782" max="2782" width="9.85546875" style="123" bestFit="1" customWidth="1"/>
    <col min="2783" max="2783" width="9.140625" style="123" bestFit="1" customWidth="1"/>
    <col min="2784" max="2784" width="16" style="123" bestFit="1" customWidth="1"/>
    <col min="2785" max="2785" width="9" style="123" bestFit="1" customWidth="1"/>
    <col min="2786" max="2786" width="7.85546875" style="123" bestFit="1" customWidth="1"/>
    <col min="2787" max="2787" width="11.7109375" style="123" bestFit="1" customWidth="1"/>
    <col min="2788" max="2788" width="14.28515625" style="123" customWidth="1"/>
    <col min="2789" max="2789" width="11.7109375" style="123" bestFit="1" customWidth="1"/>
    <col min="2790" max="2790" width="14.140625" style="123" bestFit="1" customWidth="1"/>
    <col min="2791" max="2791" width="16.7109375" style="123" customWidth="1"/>
    <col min="2792" max="2792" width="16.5703125" style="123" customWidth="1"/>
    <col min="2793" max="2794" width="7.85546875" style="123" bestFit="1" customWidth="1"/>
    <col min="2795" max="2795" width="8" style="123" bestFit="1" customWidth="1"/>
    <col min="2796" max="2797" width="7.85546875" style="123" bestFit="1" customWidth="1"/>
    <col min="2798" max="2798" width="9.7109375" style="123" customWidth="1"/>
    <col min="2799" max="2799" width="12.85546875" style="123" customWidth="1"/>
    <col min="2800" max="3036" width="9.140625" style="123"/>
    <col min="3037" max="3037" width="9" style="123" bestFit="1" customWidth="1"/>
    <col min="3038" max="3038" width="9.85546875" style="123" bestFit="1" customWidth="1"/>
    <col min="3039" max="3039" width="9.140625" style="123" bestFit="1" customWidth="1"/>
    <col min="3040" max="3040" width="16" style="123" bestFit="1" customWidth="1"/>
    <col min="3041" max="3041" width="9" style="123" bestFit="1" customWidth="1"/>
    <col min="3042" max="3042" width="7.85546875" style="123" bestFit="1" customWidth="1"/>
    <col min="3043" max="3043" width="11.7109375" style="123" bestFit="1" customWidth="1"/>
    <col min="3044" max="3044" width="14.28515625" style="123" customWidth="1"/>
    <col min="3045" max="3045" width="11.7109375" style="123" bestFit="1" customWidth="1"/>
    <col min="3046" max="3046" width="14.140625" style="123" bestFit="1" customWidth="1"/>
    <col min="3047" max="3047" width="16.7109375" style="123" customWidth="1"/>
    <col min="3048" max="3048" width="16.5703125" style="123" customWidth="1"/>
    <col min="3049" max="3050" width="7.85546875" style="123" bestFit="1" customWidth="1"/>
    <col min="3051" max="3051" width="8" style="123" bestFit="1" customWidth="1"/>
    <col min="3052" max="3053" width="7.85546875" style="123" bestFit="1" customWidth="1"/>
    <col min="3054" max="3054" width="9.7109375" style="123" customWidth="1"/>
    <col min="3055" max="3055" width="12.85546875" style="123" customWidth="1"/>
    <col min="3056" max="3292" width="9.140625" style="123"/>
    <col min="3293" max="3293" width="9" style="123" bestFit="1" customWidth="1"/>
    <col min="3294" max="3294" width="9.85546875" style="123" bestFit="1" customWidth="1"/>
    <col min="3295" max="3295" width="9.140625" style="123" bestFit="1" customWidth="1"/>
    <col min="3296" max="3296" width="16" style="123" bestFit="1" customWidth="1"/>
    <col min="3297" max="3297" width="9" style="123" bestFit="1" customWidth="1"/>
    <col min="3298" max="3298" width="7.85546875" style="123" bestFit="1" customWidth="1"/>
    <col min="3299" max="3299" width="11.7109375" style="123" bestFit="1" customWidth="1"/>
    <col min="3300" max="3300" width="14.28515625" style="123" customWidth="1"/>
    <col min="3301" max="3301" width="11.7109375" style="123" bestFit="1" customWidth="1"/>
    <col min="3302" max="3302" width="14.140625" style="123" bestFit="1" customWidth="1"/>
    <col min="3303" max="3303" width="16.7109375" style="123" customWidth="1"/>
    <col min="3304" max="3304" width="16.5703125" style="123" customWidth="1"/>
    <col min="3305" max="3306" width="7.85546875" style="123" bestFit="1" customWidth="1"/>
    <col min="3307" max="3307" width="8" style="123" bestFit="1" customWidth="1"/>
    <col min="3308" max="3309" width="7.85546875" style="123" bestFit="1" customWidth="1"/>
    <col min="3310" max="3310" width="9.7109375" style="123" customWidth="1"/>
    <col min="3311" max="3311" width="12.85546875" style="123" customWidth="1"/>
    <col min="3312" max="3548" width="9.140625" style="123"/>
    <col min="3549" max="3549" width="9" style="123" bestFit="1" customWidth="1"/>
    <col min="3550" max="3550" width="9.85546875" style="123" bestFit="1" customWidth="1"/>
    <col min="3551" max="3551" width="9.140625" style="123" bestFit="1" customWidth="1"/>
    <col min="3552" max="3552" width="16" style="123" bestFit="1" customWidth="1"/>
    <col min="3553" max="3553" width="9" style="123" bestFit="1" customWidth="1"/>
    <col min="3554" max="3554" width="7.85546875" style="123" bestFit="1" customWidth="1"/>
    <col min="3555" max="3555" width="11.7109375" style="123" bestFit="1" customWidth="1"/>
    <col min="3556" max="3556" width="14.28515625" style="123" customWidth="1"/>
    <col min="3557" max="3557" width="11.7109375" style="123" bestFit="1" customWidth="1"/>
    <col min="3558" max="3558" width="14.140625" style="123" bestFit="1" customWidth="1"/>
    <col min="3559" max="3559" width="16.7109375" style="123" customWidth="1"/>
    <col min="3560" max="3560" width="16.5703125" style="123" customWidth="1"/>
    <col min="3561" max="3562" width="7.85546875" style="123" bestFit="1" customWidth="1"/>
    <col min="3563" max="3563" width="8" style="123" bestFit="1" customWidth="1"/>
    <col min="3564" max="3565" width="7.85546875" style="123" bestFit="1" customWidth="1"/>
    <col min="3566" max="3566" width="9.7109375" style="123" customWidth="1"/>
    <col min="3567" max="3567" width="12.85546875" style="123" customWidth="1"/>
    <col min="3568" max="3804" width="9.140625" style="123"/>
    <col min="3805" max="3805" width="9" style="123" bestFit="1" customWidth="1"/>
    <col min="3806" max="3806" width="9.85546875" style="123" bestFit="1" customWidth="1"/>
    <col min="3807" max="3807" width="9.140625" style="123" bestFit="1" customWidth="1"/>
    <col min="3808" max="3808" width="16" style="123" bestFit="1" customWidth="1"/>
    <col min="3809" max="3809" width="9" style="123" bestFit="1" customWidth="1"/>
    <col min="3810" max="3810" width="7.85546875" style="123" bestFit="1" customWidth="1"/>
    <col min="3811" max="3811" width="11.7109375" style="123" bestFit="1" customWidth="1"/>
    <col min="3812" max="3812" width="14.28515625" style="123" customWidth="1"/>
    <col min="3813" max="3813" width="11.7109375" style="123" bestFit="1" customWidth="1"/>
    <col min="3814" max="3814" width="14.140625" style="123" bestFit="1" customWidth="1"/>
    <col min="3815" max="3815" width="16.7109375" style="123" customWidth="1"/>
    <col min="3816" max="3816" width="16.5703125" style="123" customWidth="1"/>
    <col min="3817" max="3818" width="7.85546875" style="123" bestFit="1" customWidth="1"/>
    <col min="3819" max="3819" width="8" style="123" bestFit="1" customWidth="1"/>
    <col min="3820" max="3821" width="7.85546875" style="123" bestFit="1" customWidth="1"/>
    <col min="3822" max="3822" width="9.7109375" style="123" customWidth="1"/>
    <col min="3823" max="3823" width="12.85546875" style="123" customWidth="1"/>
    <col min="3824" max="4060" width="9.140625" style="123"/>
    <col min="4061" max="4061" width="9" style="123" bestFit="1" customWidth="1"/>
    <col min="4062" max="4062" width="9.85546875" style="123" bestFit="1" customWidth="1"/>
    <col min="4063" max="4063" width="9.140625" style="123" bestFit="1" customWidth="1"/>
    <col min="4064" max="4064" width="16" style="123" bestFit="1" customWidth="1"/>
    <col min="4065" max="4065" width="9" style="123" bestFit="1" customWidth="1"/>
    <col min="4066" max="4066" width="7.85546875" style="123" bestFit="1" customWidth="1"/>
    <col min="4067" max="4067" width="11.7109375" style="123" bestFit="1" customWidth="1"/>
    <col min="4068" max="4068" width="14.28515625" style="123" customWidth="1"/>
    <col min="4069" max="4069" width="11.7109375" style="123" bestFit="1" customWidth="1"/>
    <col min="4070" max="4070" width="14.140625" style="123" bestFit="1" customWidth="1"/>
    <col min="4071" max="4071" width="16.7109375" style="123" customWidth="1"/>
    <col min="4072" max="4072" width="16.5703125" style="123" customWidth="1"/>
    <col min="4073" max="4074" width="7.85546875" style="123" bestFit="1" customWidth="1"/>
    <col min="4075" max="4075" width="8" style="123" bestFit="1" customWidth="1"/>
    <col min="4076" max="4077" width="7.85546875" style="123" bestFit="1" customWidth="1"/>
    <col min="4078" max="4078" width="9.7109375" style="123" customWidth="1"/>
    <col min="4079" max="4079" width="12.85546875" style="123" customWidth="1"/>
    <col min="4080" max="4316" width="9.140625" style="123"/>
    <col min="4317" max="4317" width="9" style="123" bestFit="1" customWidth="1"/>
    <col min="4318" max="4318" width="9.85546875" style="123" bestFit="1" customWidth="1"/>
    <col min="4319" max="4319" width="9.140625" style="123" bestFit="1" customWidth="1"/>
    <col min="4320" max="4320" width="16" style="123" bestFit="1" customWidth="1"/>
    <col min="4321" max="4321" width="9" style="123" bestFit="1" customWidth="1"/>
    <col min="4322" max="4322" width="7.85546875" style="123" bestFit="1" customWidth="1"/>
    <col min="4323" max="4323" width="11.7109375" style="123" bestFit="1" customWidth="1"/>
    <col min="4324" max="4324" width="14.28515625" style="123" customWidth="1"/>
    <col min="4325" max="4325" width="11.7109375" style="123" bestFit="1" customWidth="1"/>
    <col min="4326" max="4326" width="14.140625" style="123" bestFit="1" customWidth="1"/>
    <col min="4327" max="4327" width="16.7109375" style="123" customWidth="1"/>
    <col min="4328" max="4328" width="16.5703125" style="123" customWidth="1"/>
    <col min="4329" max="4330" width="7.85546875" style="123" bestFit="1" customWidth="1"/>
    <col min="4331" max="4331" width="8" style="123" bestFit="1" customWidth="1"/>
    <col min="4332" max="4333" width="7.85546875" style="123" bestFit="1" customWidth="1"/>
    <col min="4334" max="4334" width="9.7109375" style="123" customWidth="1"/>
    <col min="4335" max="4335" width="12.85546875" style="123" customWidth="1"/>
    <col min="4336" max="4572" width="9.140625" style="123"/>
    <col min="4573" max="4573" width="9" style="123" bestFit="1" customWidth="1"/>
    <col min="4574" max="4574" width="9.85546875" style="123" bestFit="1" customWidth="1"/>
    <col min="4575" max="4575" width="9.140625" style="123" bestFit="1" customWidth="1"/>
    <col min="4576" max="4576" width="16" style="123" bestFit="1" customWidth="1"/>
    <col min="4577" max="4577" width="9" style="123" bestFit="1" customWidth="1"/>
    <col min="4578" max="4578" width="7.85546875" style="123" bestFit="1" customWidth="1"/>
    <col min="4579" max="4579" width="11.7109375" style="123" bestFit="1" customWidth="1"/>
    <col min="4580" max="4580" width="14.28515625" style="123" customWidth="1"/>
    <col min="4581" max="4581" width="11.7109375" style="123" bestFit="1" customWidth="1"/>
    <col min="4582" max="4582" width="14.140625" style="123" bestFit="1" customWidth="1"/>
    <col min="4583" max="4583" width="16.7109375" style="123" customWidth="1"/>
    <col min="4584" max="4584" width="16.5703125" style="123" customWidth="1"/>
    <col min="4585" max="4586" width="7.85546875" style="123" bestFit="1" customWidth="1"/>
    <col min="4587" max="4587" width="8" style="123" bestFit="1" customWidth="1"/>
    <col min="4588" max="4589" width="7.85546875" style="123" bestFit="1" customWidth="1"/>
    <col min="4590" max="4590" width="9.7109375" style="123" customWidth="1"/>
    <col min="4591" max="4591" width="12.85546875" style="123" customWidth="1"/>
    <col min="4592" max="4828" width="9.140625" style="123"/>
    <col min="4829" max="4829" width="9" style="123" bestFit="1" customWidth="1"/>
    <col min="4830" max="4830" width="9.85546875" style="123" bestFit="1" customWidth="1"/>
    <col min="4831" max="4831" width="9.140625" style="123" bestFit="1" customWidth="1"/>
    <col min="4832" max="4832" width="16" style="123" bestFit="1" customWidth="1"/>
    <col min="4833" max="4833" width="9" style="123" bestFit="1" customWidth="1"/>
    <col min="4834" max="4834" width="7.85546875" style="123" bestFit="1" customWidth="1"/>
    <col min="4835" max="4835" width="11.7109375" style="123" bestFit="1" customWidth="1"/>
    <col min="4836" max="4836" width="14.28515625" style="123" customWidth="1"/>
    <col min="4837" max="4837" width="11.7109375" style="123" bestFit="1" customWidth="1"/>
    <col min="4838" max="4838" width="14.140625" style="123" bestFit="1" customWidth="1"/>
    <col min="4839" max="4839" width="16.7109375" style="123" customWidth="1"/>
    <col min="4840" max="4840" width="16.5703125" style="123" customWidth="1"/>
    <col min="4841" max="4842" width="7.85546875" style="123" bestFit="1" customWidth="1"/>
    <col min="4843" max="4843" width="8" style="123" bestFit="1" customWidth="1"/>
    <col min="4844" max="4845" width="7.85546875" style="123" bestFit="1" customWidth="1"/>
    <col min="4846" max="4846" width="9.7109375" style="123" customWidth="1"/>
    <col min="4847" max="4847" width="12.85546875" style="123" customWidth="1"/>
    <col min="4848" max="5084" width="9.140625" style="123"/>
    <col min="5085" max="5085" width="9" style="123" bestFit="1" customWidth="1"/>
    <col min="5086" max="5086" width="9.85546875" style="123" bestFit="1" customWidth="1"/>
    <col min="5087" max="5087" width="9.140625" style="123" bestFit="1" customWidth="1"/>
    <col min="5088" max="5088" width="16" style="123" bestFit="1" customWidth="1"/>
    <col min="5089" max="5089" width="9" style="123" bestFit="1" customWidth="1"/>
    <col min="5090" max="5090" width="7.85546875" style="123" bestFit="1" customWidth="1"/>
    <col min="5091" max="5091" width="11.7109375" style="123" bestFit="1" customWidth="1"/>
    <col min="5092" max="5092" width="14.28515625" style="123" customWidth="1"/>
    <col min="5093" max="5093" width="11.7109375" style="123" bestFit="1" customWidth="1"/>
    <col min="5094" max="5094" width="14.140625" style="123" bestFit="1" customWidth="1"/>
    <col min="5095" max="5095" width="16.7109375" style="123" customWidth="1"/>
    <col min="5096" max="5096" width="16.5703125" style="123" customWidth="1"/>
    <col min="5097" max="5098" width="7.85546875" style="123" bestFit="1" customWidth="1"/>
    <col min="5099" max="5099" width="8" style="123" bestFit="1" customWidth="1"/>
    <col min="5100" max="5101" width="7.85546875" style="123" bestFit="1" customWidth="1"/>
    <col min="5102" max="5102" width="9.7109375" style="123" customWidth="1"/>
    <col min="5103" max="5103" width="12.85546875" style="123" customWidth="1"/>
    <col min="5104" max="5340" width="9.140625" style="123"/>
    <col min="5341" max="5341" width="9" style="123" bestFit="1" customWidth="1"/>
    <col min="5342" max="5342" width="9.85546875" style="123" bestFit="1" customWidth="1"/>
    <col min="5343" max="5343" width="9.140625" style="123" bestFit="1" customWidth="1"/>
    <col min="5344" max="5344" width="16" style="123" bestFit="1" customWidth="1"/>
    <col min="5345" max="5345" width="9" style="123" bestFit="1" customWidth="1"/>
    <col min="5346" max="5346" width="7.85546875" style="123" bestFit="1" customWidth="1"/>
    <col min="5347" max="5347" width="11.7109375" style="123" bestFit="1" customWidth="1"/>
    <col min="5348" max="5348" width="14.28515625" style="123" customWidth="1"/>
    <col min="5349" max="5349" width="11.7109375" style="123" bestFit="1" customWidth="1"/>
    <col min="5350" max="5350" width="14.140625" style="123" bestFit="1" customWidth="1"/>
    <col min="5351" max="5351" width="16.7109375" style="123" customWidth="1"/>
    <col min="5352" max="5352" width="16.5703125" style="123" customWidth="1"/>
    <col min="5353" max="5354" width="7.85546875" style="123" bestFit="1" customWidth="1"/>
    <col min="5355" max="5355" width="8" style="123" bestFit="1" customWidth="1"/>
    <col min="5356" max="5357" width="7.85546875" style="123" bestFit="1" customWidth="1"/>
    <col min="5358" max="5358" width="9.7109375" style="123" customWidth="1"/>
    <col min="5359" max="5359" width="12.85546875" style="123" customWidth="1"/>
    <col min="5360" max="5596" width="9.140625" style="123"/>
    <col min="5597" max="5597" width="9" style="123" bestFit="1" customWidth="1"/>
    <col min="5598" max="5598" width="9.85546875" style="123" bestFit="1" customWidth="1"/>
    <col min="5599" max="5599" width="9.140625" style="123" bestFit="1" customWidth="1"/>
    <col min="5600" max="5600" width="16" style="123" bestFit="1" customWidth="1"/>
    <col min="5601" max="5601" width="9" style="123" bestFit="1" customWidth="1"/>
    <col min="5602" max="5602" width="7.85546875" style="123" bestFit="1" customWidth="1"/>
    <col min="5603" max="5603" width="11.7109375" style="123" bestFit="1" customWidth="1"/>
    <col min="5604" max="5604" width="14.28515625" style="123" customWidth="1"/>
    <col min="5605" max="5605" width="11.7109375" style="123" bestFit="1" customWidth="1"/>
    <col min="5606" max="5606" width="14.140625" style="123" bestFit="1" customWidth="1"/>
    <col min="5607" max="5607" width="16.7109375" style="123" customWidth="1"/>
    <col min="5608" max="5608" width="16.5703125" style="123" customWidth="1"/>
    <col min="5609" max="5610" width="7.85546875" style="123" bestFit="1" customWidth="1"/>
    <col min="5611" max="5611" width="8" style="123" bestFit="1" customWidth="1"/>
    <col min="5612" max="5613" width="7.85546875" style="123" bestFit="1" customWidth="1"/>
    <col min="5614" max="5614" width="9.7109375" style="123" customWidth="1"/>
    <col min="5615" max="5615" width="12.85546875" style="123" customWidth="1"/>
    <col min="5616" max="5852" width="9.140625" style="123"/>
    <col min="5853" max="5853" width="9" style="123" bestFit="1" customWidth="1"/>
    <col min="5854" max="5854" width="9.85546875" style="123" bestFit="1" customWidth="1"/>
    <col min="5855" max="5855" width="9.140625" style="123" bestFit="1" customWidth="1"/>
    <col min="5856" max="5856" width="16" style="123" bestFit="1" customWidth="1"/>
    <col min="5857" max="5857" width="9" style="123" bestFit="1" customWidth="1"/>
    <col min="5858" max="5858" width="7.85546875" style="123" bestFit="1" customWidth="1"/>
    <col min="5859" max="5859" width="11.7109375" style="123" bestFit="1" customWidth="1"/>
    <col min="5860" max="5860" width="14.28515625" style="123" customWidth="1"/>
    <col min="5861" max="5861" width="11.7109375" style="123" bestFit="1" customWidth="1"/>
    <col min="5862" max="5862" width="14.140625" style="123" bestFit="1" customWidth="1"/>
    <col min="5863" max="5863" width="16.7109375" style="123" customWidth="1"/>
    <col min="5864" max="5864" width="16.5703125" style="123" customWidth="1"/>
    <col min="5865" max="5866" width="7.85546875" style="123" bestFit="1" customWidth="1"/>
    <col min="5867" max="5867" width="8" style="123" bestFit="1" customWidth="1"/>
    <col min="5868" max="5869" width="7.85546875" style="123" bestFit="1" customWidth="1"/>
    <col min="5870" max="5870" width="9.7109375" style="123" customWidth="1"/>
    <col min="5871" max="5871" width="12.85546875" style="123" customWidth="1"/>
    <col min="5872" max="6108" width="9.140625" style="123"/>
    <col min="6109" max="6109" width="9" style="123" bestFit="1" customWidth="1"/>
    <col min="6110" max="6110" width="9.85546875" style="123" bestFit="1" customWidth="1"/>
    <col min="6111" max="6111" width="9.140625" style="123" bestFit="1" customWidth="1"/>
    <col min="6112" max="6112" width="16" style="123" bestFit="1" customWidth="1"/>
    <col min="6113" max="6113" width="9" style="123" bestFit="1" customWidth="1"/>
    <col min="6114" max="6114" width="7.85546875" style="123" bestFit="1" customWidth="1"/>
    <col min="6115" max="6115" width="11.7109375" style="123" bestFit="1" customWidth="1"/>
    <col min="6116" max="6116" width="14.28515625" style="123" customWidth="1"/>
    <col min="6117" max="6117" width="11.7109375" style="123" bestFit="1" customWidth="1"/>
    <col min="6118" max="6118" width="14.140625" style="123" bestFit="1" customWidth="1"/>
    <col min="6119" max="6119" width="16.7109375" style="123" customWidth="1"/>
    <col min="6120" max="6120" width="16.5703125" style="123" customWidth="1"/>
    <col min="6121" max="6122" width="7.85546875" style="123" bestFit="1" customWidth="1"/>
    <col min="6123" max="6123" width="8" style="123" bestFit="1" customWidth="1"/>
    <col min="6124" max="6125" width="7.85546875" style="123" bestFit="1" customWidth="1"/>
    <col min="6126" max="6126" width="9.7109375" style="123" customWidth="1"/>
    <col min="6127" max="6127" width="12.85546875" style="123" customWidth="1"/>
    <col min="6128" max="6364" width="9.140625" style="123"/>
    <col min="6365" max="6365" width="9" style="123" bestFit="1" customWidth="1"/>
    <col min="6366" max="6366" width="9.85546875" style="123" bestFit="1" customWidth="1"/>
    <col min="6367" max="6367" width="9.140625" style="123" bestFit="1" customWidth="1"/>
    <col min="6368" max="6368" width="16" style="123" bestFit="1" customWidth="1"/>
    <col min="6369" max="6369" width="9" style="123" bestFit="1" customWidth="1"/>
    <col min="6370" max="6370" width="7.85546875" style="123" bestFit="1" customWidth="1"/>
    <col min="6371" max="6371" width="11.7109375" style="123" bestFit="1" customWidth="1"/>
    <col min="6372" max="6372" width="14.28515625" style="123" customWidth="1"/>
    <col min="6373" max="6373" width="11.7109375" style="123" bestFit="1" customWidth="1"/>
    <col min="6374" max="6374" width="14.140625" style="123" bestFit="1" customWidth="1"/>
    <col min="6375" max="6375" width="16.7109375" style="123" customWidth="1"/>
    <col min="6376" max="6376" width="16.5703125" style="123" customWidth="1"/>
    <col min="6377" max="6378" width="7.85546875" style="123" bestFit="1" customWidth="1"/>
    <col min="6379" max="6379" width="8" style="123" bestFit="1" customWidth="1"/>
    <col min="6380" max="6381" width="7.85546875" style="123" bestFit="1" customWidth="1"/>
    <col min="6382" max="6382" width="9.7109375" style="123" customWidth="1"/>
    <col min="6383" max="6383" width="12.85546875" style="123" customWidth="1"/>
    <col min="6384" max="6620" width="9.140625" style="123"/>
    <col min="6621" max="6621" width="9" style="123" bestFit="1" customWidth="1"/>
    <col min="6622" max="6622" width="9.85546875" style="123" bestFit="1" customWidth="1"/>
    <col min="6623" max="6623" width="9.140625" style="123" bestFit="1" customWidth="1"/>
    <col min="6624" max="6624" width="16" style="123" bestFit="1" customWidth="1"/>
    <col min="6625" max="6625" width="9" style="123" bestFit="1" customWidth="1"/>
    <col min="6626" max="6626" width="7.85546875" style="123" bestFit="1" customWidth="1"/>
    <col min="6627" max="6627" width="11.7109375" style="123" bestFit="1" customWidth="1"/>
    <col min="6628" max="6628" width="14.28515625" style="123" customWidth="1"/>
    <col min="6629" max="6629" width="11.7109375" style="123" bestFit="1" customWidth="1"/>
    <col min="6630" max="6630" width="14.140625" style="123" bestFit="1" customWidth="1"/>
    <col min="6631" max="6631" width="16.7109375" style="123" customWidth="1"/>
    <col min="6632" max="6632" width="16.5703125" style="123" customWidth="1"/>
    <col min="6633" max="6634" width="7.85546875" style="123" bestFit="1" customWidth="1"/>
    <col min="6635" max="6635" width="8" style="123" bestFit="1" customWidth="1"/>
    <col min="6636" max="6637" width="7.85546875" style="123" bestFit="1" customWidth="1"/>
    <col min="6638" max="6638" width="9.7109375" style="123" customWidth="1"/>
    <col min="6639" max="6639" width="12.85546875" style="123" customWidth="1"/>
    <col min="6640" max="6876" width="9.140625" style="123"/>
    <col min="6877" max="6877" width="9" style="123" bestFit="1" customWidth="1"/>
    <col min="6878" max="6878" width="9.85546875" style="123" bestFit="1" customWidth="1"/>
    <col min="6879" max="6879" width="9.140625" style="123" bestFit="1" customWidth="1"/>
    <col min="6880" max="6880" width="16" style="123" bestFit="1" customWidth="1"/>
    <col min="6881" max="6881" width="9" style="123" bestFit="1" customWidth="1"/>
    <col min="6882" max="6882" width="7.85546875" style="123" bestFit="1" customWidth="1"/>
    <col min="6883" max="6883" width="11.7109375" style="123" bestFit="1" customWidth="1"/>
    <col min="6884" max="6884" width="14.28515625" style="123" customWidth="1"/>
    <col min="6885" max="6885" width="11.7109375" style="123" bestFit="1" customWidth="1"/>
    <col min="6886" max="6886" width="14.140625" style="123" bestFit="1" customWidth="1"/>
    <col min="6887" max="6887" width="16.7109375" style="123" customWidth="1"/>
    <col min="6888" max="6888" width="16.5703125" style="123" customWidth="1"/>
    <col min="6889" max="6890" width="7.85546875" style="123" bestFit="1" customWidth="1"/>
    <col min="6891" max="6891" width="8" style="123" bestFit="1" customWidth="1"/>
    <col min="6892" max="6893" width="7.85546875" style="123" bestFit="1" customWidth="1"/>
    <col min="6894" max="6894" width="9.7109375" style="123" customWidth="1"/>
    <col min="6895" max="6895" width="12.85546875" style="123" customWidth="1"/>
    <col min="6896" max="7132" width="9.140625" style="123"/>
    <col min="7133" max="7133" width="9" style="123" bestFit="1" customWidth="1"/>
    <col min="7134" max="7134" width="9.85546875" style="123" bestFit="1" customWidth="1"/>
    <col min="7135" max="7135" width="9.140625" style="123" bestFit="1" customWidth="1"/>
    <col min="7136" max="7136" width="16" style="123" bestFit="1" customWidth="1"/>
    <col min="7137" max="7137" width="9" style="123" bestFit="1" customWidth="1"/>
    <col min="7138" max="7138" width="7.85546875" style="123" bestFit="1" customWidth="1"/>
    <col min="7139" max="7139" width="11.7109375" style="123" bestFit="1" customWidth="1"/>
    <col min="7140" max="7140" width="14.28515625" style="123" customWidth="1"/>
    <col min="7141" max="7141" width="11.7109375" style="123" bestFit="1" customWidth="1"/>
    <col min="7142" max="7142" width="14.140625" style="123" bestFit="1" customWidth="1"/>
    <col min="7143" max="7143" width="16.7109375" style="123" customWidth="1"/>
    <col min="7144" max="7144" width="16.5703125" style="123" customWidth="1"/>
    <col min="7145" max="7146" width="7.85546875" style="123" bestFit="1" customWidth="1"/>
    <col min="7147" max="7147" width="8" style="123" bestFit="1" customWidth="1"/>
    <col min="7148" max="7149" width="7.85546875" style="123" bestFit="1" customWidth="1"/>
    <col min="7150" max="7150" width="9.7109375" style="123" customWidth="1"/>
    <col min="7151" max="7151" width="12.85546875" style="123" customWidth="1"/>
    <col min="7152" max="7388" width="9.140625" style="123"/>
    <col min="7389" max="7389" width="9" style="123" bestFit="1" customWidth="1"/>
    <col min="7390" max="7390" width="9.85546875" style="123" bestFit="1" customWidth="1"/>
    <col min="7391" max="7391" width="9.140625" style="123" bestFit="1" customWidth="1"/>
    <col min="7392" max="7392" width="16" style="123" bestFit="1" customWidth="1"/>
    <col min="7393" max="7393" width="9" style="123" bestFit="1" customWidth="1"/>
    <col min="7394" max="7394" width="7.85546875" style="123" bestFit="1" customWidth="1"/>
    <col min="7395" max="7395" width="11.7109375" style="123" bestFit="1" customWidth="1"/>
    <col min="7396" max="7396" width="14.28515625" style="123" customWidth="1"/>
    <col min="7397" max="7397" width="11.7109375" style="123" bestFit="1" customWidth="1"/>
    <col min="7398" max="7398" width="14.140625" style="123" bestFit="1" customWidth="1"/>
    <col min="7399" max="7399" width="16.7109375" style="123" customWidth="1"/>
    <col min="7400" max="7400" width="16.5703125" style="123" customWidth="1"/>
    <col min="7401" max="7402" width="7.85546875" style="123" bestFit="1" customWidth="1"/>
    <col min="7403" max="7403" width="8" style="123" bestFit="1" customWidth="1"/>
    <col min="7404" max="7405" width="7.85546875" style="123" bestFit="1" customWidth="1"/>
    <col min="7406" max="7406" width="9.7109375" style="123" customWidth="1"/>
    <col min="7407" max="7407" width="12.85546875" style="123" customWidth="1"/>
    <col min="7408" max="7644" width="9.140625" style="123"/>
    <col min="7645" max="7645" width="9" style="123" bestFit="1" customWidth="1"/>
    <col min="7646" max="7646" width="9.85546875" style="123" bestFit="1" customWidth="1"/>
    <col min="7647" max="7647" width="9.140625" style="123" bestFit="1" customWidth="1"/>
    <col min="7648" max="7648" width="16" style="123" bestFit="1" customWidth="1"/>
    <col min="7649" max="7649" width="9" style="123" bestFit="1" customWidth="1"/>
    <col min="7650" max="7650" width="7.85546875" style="123" bestFit="1" customWidth="1"/>
    <col min="7651" max="7651" width="11.7109375" style="123" bestFit="1" customWidth="1"/>
    <col min="7652" max="7652" width="14.28515625" style="123" customWidth="1"/>
    <col min="7653" max="7653" width="11.7109375" style="123" bestFit="1" customWidth="1"/>
    <col min="7654" max="7654" width="14.140625" style="123" bestFit="1" customWidth="1"/>
    <col min="7655" max="7655" width="16.7109375" style="123" customWidth="1"/>
    <col min="7656" max="7656" width="16.5703125" style="123" customWidth="1"/>
    <col min="7657" max="7658" width="7.85546875" style="123" bestFit="1" customWidth="1"/>
    <col min="7659" max="7659" width="8" style="123" bestFit="1" customWidth="1"/>
    <col min="7660" max="7661" width="7.85546875" style="123" bestFit="1" customWidth="1"/>
    <col min="7662" max="7662" width="9.7109375" style="123" customWidth="1"/>
    <col min="7663" max="7663" width="12.85546875" style="123" customWidth="1"/>
    <col min="7664" max="7900" width="9.140625" style="123"/>
    <col min="7901" max="7901" width="9" style="123" bestFit="1" customWidth="1"/>
    <col min="7902" max="7902" width="9.85546875" style="123" bestFit="1" customWidth="1"/>
    <col min="7903" max="7903" width="9.140625" style="123" bestFit="1" customWidth="1"/>
    <col min="7904" max="7904" width="16" style="123" bestFit="1" customWidth="1"/>
    <col min="7905" max="7905" width="9" style="123" bestFit="1" customWidth="1"/>
    <col min="7906" max="7906" width="7.85546875" style="123" bestFit="1" customWidth="1"/>
    <col min="7907" max="7907" width="11.7109375" style="123" bestFit="1" customWidth="1"/>
    <col min="7908" max="7908" width="14.28515625" style="123" customWidth="1"/>
    <col min="7909" max="7909" width="11.7109375" style="123" bestFit="1" customWidth="1"/>
    <col min="7910" max="7910" width="14.140625" style="123" bestFit="1" customWidth="1"/>
    <col min="7911" max="7911" width="16.7109375" style="123" customWidth="1"/>
    <col min="7912" max="7912" width="16.5703125" style="123" customWidth="1"/>
    <col min="7913" max="7914" width="7.85546875" style="123" bestFit="1" customWidth="1"/>
    <col min="7915" max="7915" width="8" style="123" bestFit="1" customWidth="1"/>
    <col min="7916" max="7917" width="7.85546875" style="123" bestFit="1" customWidth="1"/>
    <col min="7918" max="7918" width="9.7109375" style="123" customWidth="1"/>
    <col min="7919" max="7919" width="12.85546875" style="123" customWidth="1"/>
    <col min="7920" max="8156" width="9.140625" style="123"/>
    <col min="8157" max="8157" width="9" style="123" bestFit="1" customWidth="1"/>
    <col min="8158" max="8158" width="9.85546875" style="123" bestFit="1" customWidth="1"/>
    <col min="8159" max="8159" width="9.140625" style="123" bestFit="1" customWidth="1"/>
    <col min="8160" max="8160" width="16" style="123" bestFit="1" customWidth="1"/>
    <col min="8161" max="8161" width="9" style="123" bestFit="1" customWidth="1"/>
    <col min="8162" max="8162" width="7.85546875" style="123" bestFit="1" customWidth="1"/>
    <col min="8163" max="8163" width="11.7109375" style="123" bestFit="1" customWidth="1"/>
    <col min="8164" max="8164" width="14.28515625" style="123" customWidth="1"/>
    <col min="8165" max="8165" width="11.7109375" style="123" bestFit="1" customWidth="1"/>
    <col min="8166" max="8166" width="14.140625" style="123" bestFit="1" customWidth="1"/>
    <col min="8167" max="8167" width="16.7109375" style="123" customWidth="1"/>
    <col min="8168" max="8168" width="16.5703125" style="123" customWidth="1"/>
    <col min="8169" max="8170" width="7.85546875" style="123" bestFit="1" customWidth="1"/>
    <col min="8171" max="8171" width="8" style="123" bestFit="1" customWidth="1"/>
    <col min="8172" max="8173" width="7.85546875" style="123" bestFit="1" customWidth="1"/>
    <col min="8174" max="8174" width="9.7109375" style="123" customWidth="1"/>
    <col min="8175" max="8175" width="12.85546875" style="123" customWidth="1"/>
    <col min="8176" max="8412" width="9.140625" style="123"/>
    <col min="8413" max="8413" width="9" style="123" bestFit="1" customWidth="1"/>
    <col min="8414" max="8414" width="9.85546875" style="123" bestFit="1" customWidth="1"/>
    <col min="8415" max="8415" width="9.140625" style="123" bestFit="1" customWidth="1"/>
    <col min="8416" max="8416" width="16" style="123" bestFit="1" customWidth="1"/>
    <col min="8417" max="8417" width="9" style="123" bestFit="1" customWidth="1"/>
    <col min="8418" max="8418" width="7.85546875" style="123" bestFit="1" customWidth="1"/>
    <col min="8419" max="8419" width="11.7109375" style="123" bestFit="1" customWidth="1"/>
    <col min="8420" max="8420" width="14.28515625" style="123" customWidth="1"/>
    <col min="8421" max="8421" width="11.7109375" style="123" bestFit="1" customWidth="1"/>
    <col min="8422" max="8422" width="14.140625" style="123" bestFit="1" customWidth="1"/>
    <col min="8423" max="8423" width="16.7109375" style="123" customWidth="1"/>
    <col min="8424" max="8424" width="16.5703125" style="123" customWidth="1"/>
    <col min="8425" max="8426" width="7.85546875" style="123" bestFit="1" customWidth="1"/>
    <col min="8427" max="8427" width="8" style="123" bestFit="1" customWidth="1"/>
    <col min="8428" max="8429" width="7.85546875" style="123" bestFit="1" customWidth="1"/>
    <col min="8430" max="8430" width="9.7109375" style="123" customWidth="1"/>
    <col min="8431" max="8431" width="12.85546875" style="123" customWidth="1"/>
    <col min="8432" max="8668" width="9.140625" style="123"/>
    <col min="8669" max="8669" width="9" style="123" bestFit="1" customWidth="1"/>
    <col min="8670" max="8670" width="9.85546875" style="123" bestFit="1" customWidth="1"/>
    <col min="8671" max="8671" width="9.140625" style="123" bestFit="1" customWidth="1"/>
    <col min="8672" max="8672" width="16" style="123" bestFit="1" customWidth="1"/>
    <col min="8673" max="8673" width="9" style="123" bestFit="1" customWidth="1"/>
    <col min="8674" max="8674" width="7.85546875" style="123" bestFit="1" customWidth="1"/>
    <col min="8675" max="8675" width="11.7109375" style="123" bestFit="1" customWidth="1"/>
    <col min="8676" max="8676" width="14.28515625" style="123" customWidth="1"/>
    <col min="8677" max="8677" width="11.7109375" style="123" bestFit="1" customWidth="1"/>
    <col min="8678" max="8678" width="14.140625" style="123" bestFit="1" customWidth="1"/>
    <col min="8679" max="8679" width="16.7109375" style="123" customWidth="1"/>
    <col min="8680" max="8680" width="16.5703125" style="123" customWidth="1"/>
    <col min="8681" max="8682" width="7.85546875" style="123" bestFit="1" customWidth="1"/>
    <col min="8683" max="8683" width="8" style="123" bestFit="1" customWidth="1"/>
    <col min="8684" max="8685" width="7.85546875" style="123" bestFit="1" customWidth="1"/>
    <col min="8686" max="8686" width="9.7109375" style="123" customWidth="1"/>
    <col min="8687" max="8687" width="12.85546875" style="123" customWidth="1"/>
    <col min="8688" max="8924" width="9.140625" style="123"/>
    <col min="8925" max="8925" width="9" style="123" bestFit="1" customWidth="1"/>
    <col min="8926" max="8926" width="9.85546875" style="123" bestFit="1" customWidth="1"/>
    <col min="8927" max="8927" width="9.140625" style="123" bestFit="1" customWidth="1"/>
    <col min="8928" max="8928" width="16" style="123" bestFit="1" customWidth="1"/>
    <col min="8929" max="8929" width="9" style="123" bestFit="1" customWidth="1"/>
    <col min="8930" max="8930" width="7.85546875" style="123" bestFit="1" customWidth="1"/>
    <col min="8931" max="8931" width="11.7109375" style="123" bestFit="1" customWidth="1"/>
    <col min="8932" max="8932" width="14.28515625" style="123" customWidth="1"/>
    <col min="8933" max="8933" width="11.7109375" style="123" bestFit="1" customWidth="1"/>
    <col min="8934" max="8934" width="14.140625" style="123" bestFit="1" customWidth="1"/>
    <col min="8935" max="8935" width="16.7109375" style="123" customWidth="1"/>
    <col min="8936" max="8936" width="16.5703125" style="123" customWidth="1"/>
    <col min="8937" max="8938" width="7.85546875" style="123" bestFit="1" customWidth="1"/>
    <col min="8939" max="8939" width="8" style="123" bestFit="1" customWidth="1"/>
    <col min="8940" max="8941" width="7.85546875" style="123" bestFit="1" customWidth="1"/>
    <col min="8942" max="8942" width="9.7109375" style="123" customWidth="1"/>
    <col min="8943" max="8943" width="12.85546875" style="123" customWidth="1"/>
    <col min="8944" max="9180" width="9.140625" style="123"/>
    <col min="9181" max="9181" width="9" style="123" bestFit="1" customWidth="1"/>
    <col min="9182" max="9182" width="9.85546875" style="123" bestFit="1" customWidth="1"/>
    <col min="9183" max="9183" width="9.140625" style="123" bestFit="1" customWidth="1"/>
    <col min="9184" max="9184" width="16" style="123" bestFit="1" customWidth="1"/>
    <col min="9185" max="9185" width="9" style="123" bestFit="1" customWidth="1"/>
    <col min="9186" max="9186" width="7.85546875" style="123" bestFit="1" customWidth="1"/>
    <col min="9187" max="9187" width="11.7109375" style="123" bestFit="1" customWidth="1"/>
    <col min="9188" max="9188" width="14.28515625" style="123" customWidth="1"/>
    <col min="9189" max="9189" width="11.7109375" style="123" bestFit="1" customWidth="1"/>
    <col min="9190" max="9190" width="14.140625" style="123" bestFit="1" customWidth="1"/>
    <col min="9191" max="9191" width="16.7109375" style="123" customWidth="1"/>
    <col min="9192" max="9192" width="16.5703125" style="123" customWidth="1"/>
    <col min="9193" max="9194" width="7.85546875" style="123" bestFit="1" customWidth="1"/>
    <col min="9195" max="9195" width="8" style="123" bestFit="1" customWidth="1"/>
    <col min="9196" max="9197" width="7.85546875" style="123" bestFit="1" customWidth="1"/>
    <col min="9198" max="9198" width="9.7109375" style="123" customWidth="1"/>
    <col min="9199" max="9199" width="12.85546875" style="123" customWidth="1"/>
    <col min="9200" max="9436" width="9.140625" style="123"/>
    <col min="9437" max="9437" width="9" style="123" bestFit="1" customWidth="1"/>
    <col min="9438" max="9438" width="9.85546875" style="123" bestFit="1" customWidth="1"/>
    <col min="9439" max="9439" width="9.140625" style="123" bestFit="1" customWidth="1"/>
    <col min="9440" max="9440" width="16" style="123" bestFit="1" customWidth="1"/>
    <col min="9441" max="9441" width="9" style="123" bestFit="1" customWidth="1"/>
    <col min="9442" max="9442" width="7.85546875" style="123" bestFit="1" customWidth="1"/>
    <col min="9443" max="9443" width="11.7109375" style="123" bestFit="1" customWidth="1"/>
    <col min="9444" max="9444" width="14.28515625" style="123" customWidth="1"/>
    <col min="9445" max="9445" width="11.7109375" style="123" bestFit="1" customWidth="1"/>
    <col min="9446" max="9446" width="14.140625" style="123" bestFit="1" customWidth="1"/>
    <col min="9447" max="9447" width="16.7109375" style="123" customWidth="1"/>
    <col min="9448" max="9448" width="16.5703125" style="123" customWidth="1"/>
    <col min="9449" max="9450" width="7.85546875" style="123" bestFit="1" customWidth="1"/>
    <col min="9451" max="9451" width="8" style="123" bestFit="1" customWidth="1"/>
    <col min="9452" max="9453" width="7.85546875" style="123" bestFit="1" customWidth="1"/>
    <col min="9454" max="9454" width="9.7109375" style="123" customWidth="1"/>
    <col min="9455" max="9455" width="12.85546875" style="123" customWidth="1"/>
    <col min="9456" max="9692" width="9.140625" style="123"/>
    <col min="9693" max="9693" width="9" style="123" bestFit="1" customWidth="1"/>
    <col min="9694" max="9694" width="9.85546875" style="123" bestFit="1" customWidth="1"/>
    <col min="9695" max="9695" width="9.140625" style="123" bestFit="1" customWidth="1"/>
    <col min="9696" max="9696" width="16" style="123" bestFit="1" customWidth="1"/>
    <col min="9697" max="9697" width="9" style="123" bestFit="1" customWidth="1"/>
    <col min="9698" max="9698" width="7.85546875" style="123" bestFit="1" customWidth="1"/>
    <col min="9699" max="9699" width="11.7109375" style="123" bestFit="1" customWidth="1"/>
    <col min="9700" max="9700" width="14.28515625" style="123" customWidth="1"/>
    <col min="9701" max="9701" width="11.7109375" style="123" bestFit="1" customWidth="1"/>
    <col min="9702" max="9702" width="14.140625" style="123" bestFit="1" customWidth="1"/>
    <col min="9703" max="9703" width="16.7109375" style="123" customWidth="1"/>
    <col min="9704" max="9704" width="16.5703125" style="123" customWidth="1"/>
    <col min="9705" max="9706" width="7.85546875" style="123" bestFit="1" customWidth="1"/>
    <col min="9707" max="9707" width="8" style="123" bestFit="1" customWidth="1"/>
    <col min="9708" max="9709" width="7.85546875" style="123" bestFit="1" customWidth="1"/>
    <col min="9710" max="9710" width="9.7109375" style="123" customWidth="1"/>
    <col min="9711" max="9711" width="12.85546875" style="123" customWidth="1"/>
    <col min="9712" max="9948" width="9.140625" style="123"/>
    <col min="9949" max="9949" width="9" style="123" bestFit="1" customWidth="1"/>
    <col min="9950" max="9950" width="9.85546875" style="123" bestFit="1" customWidth="1"/>
    <col min="9951" max="9951" width="9.140625" style="123" bestFit="1" customWidth="1"/>
    <col min="9952" max="9952" width="16" style="123" bestFit="1" customWidth="1"/>
    <col min="9953" max="9953" width="9" style="123" bestFit="1" customWidth="1"/>
    <col min="9954" max="9954" width="7.85546875" style="123" bestFit="1" customWidth="1"/>
    <col min="9955" max="9955" width="11.7109375" style="123" bestFit="1" customWidth="1"/>
    <col min="9956" max="9956" width="14.28515625" style="123" customWidth="1"/>
    <col min="9957" max="9957" width="11.7109375" style="123" bestFit="1" customWidth="1"/>
    <col min="9958" max="9958" width="14.140625" style="123" bestFit="1" customWidth="1"/>
    <col min="9959" max="9959" width="16.7109375" style="123" customWidth="1"/>
    <col min="9960" max="9960" width="16.5703125" style="123" customWidth="1"/>
    <col min="9961" max="9962" width="7.85546875" style="123" bestFit="1" customWidth="1"/>
    <col min="9963" max="9963" width="8" style="123" bestFit="1" customWidth="1"/>
    <col min="9964" max="9965" width="7.85546875" style="123" bestFit="1" customWidth="1"/>
    <col min="9966" max="9966" width="9.7109375" style="123" customWidth="1"/>
    <col min="9967" max="9967" width="12.85546875" style="123" customWidth="1"/>
    <col min="9968" max="10204" width="9.140625" style="123"/>
    <col min="10205" max="10205" width="9" style="123" bestFit="1" customWidth="1"/>
    <col min="10206" max="10206" width="9.85546875" style="123" bestFit="1" customWidth="1"/>
    <col min="10207" max="10207" width="9.140625" style="123" bestFit="1" customWidth="1"/>
    <col min="10208" max="10208" width="16" style="123" bestFit="1" customWidth="1"/>
    <col min="10209" max="10209" width="9" style="123" bestFit="1" customWidth="1"/>
    <col min="10210" max="10210" width="7.85546875" style="123" bestFit="1" customWidth="1"/>
    <col min="10211" max="10211" width="11.7109375" style="123" bestFit="1" customWidth="1"/>
    <col min="10212" max="10212" width="14.28515625" style="123" customWidth="1"/>
    <col min="10213" max="10213" width="11.7109375" style="123" bestFit="1" customWidth="1"/>
    <col min="10214" max="10214" width="14.140625" style="123" bestFit="1" customWidth="1"/>
    <col min="10215" max="10215" width="16.7109375" style="123" customWidth="1"/>
    <col min="10216" max="10216" width="16.5703125" style="123" customWidth="1"/>
    <col min="10217" max="10218" width="7.85546875" style="123" bestFit="1" customWidth="1"/>
    <col min="10219" max="10219" width="8" style="123" bestFit="1" customWidth="1"/>
    <col min="10220" max="10221" width="7.85546875" style="123" bestFit="1" customWidth="1"/>
    <col min="10222" max="10222" width="9.7109375" style="123" customWidth="1"/>
    <col min="10223" max="10223" width="12.85546875" style="123" customWidth="1"/>
    <col min="10224" max="10460" width="9.140625" style="123"/>
    <col min="10461" max="10461" width="9" style="123" bestFit="1" customWidth="1"/>
    <col min="10462" max="10462" width="9.85546875" style="123" bestFit="1" customWidth="1"/>
    <col min="10463" max="10463" width="9.140625" style="123" bestFit="1" customWidth="1"/>
    <col min="10464" max="10464" width="16" style="123" bestFit="1" customWidth="1"/>
    <col min="10465" max="10465" width="9" style="123" bestFit="1" customWidth="1"/>
    <col min="10466" max="10466" width="7.85546875" style="123" bestFit="1" customWidth="1"/>
    <col min="10467" max="10467" width="11.7109375" style="123" bestFit="1" customWidth="1"/>
    <col min="10468" max="10468" width="14.28515625" style="123" customWidth="1"/>
    <col min="10469" max="10469" width="11.7109375" style="123" bestFit="1" customWidth="1"/>
    <col min="10470" max="10470" width="14.140625" style="123" bestFit="1" customWidth="1"/>
    <col min="10471" max="10471" width="16.7109375" style="123" customWidth="1"/>
    <col min="10472" max="10472" width="16.5703125" style="123" customWidth="1"/>
    <col min="10473" max="10474" width="7.85546875" style="123" bestFit="1" customWidth="1"/>
    <col min="10475" max="10475" width="8" style="123" bestFit="1" customWidth="1"/>
    <col min="10476" max="10477" width="7.85546875" style="123" bestFit="1" customWidth="1"/>
    <col min="10478" max="10478" width="9.7109375" style="123" customWidth="1"/>
    <col min="10479" max="10479" width="12.85546875" style="123" customWidth="1"/>
    <col min="10480" max="10716" width="9.140625" style="123"/>
    <col min="10717" max="10717" width="9" style="123" bestFit="1" customWidth="1"/>
    <col min="10718" max="10718" width="9.85546875" style="123" bestFit="1" customWidth="1"/>
    <col min="10719" max="10719" width="9.140625" style="123" bestFit="1" customWidth="1"/>
    <col min="10720" max="10720" width="16" style="123" bestFit="1" customWidth="1"/>
    <col min="10721" max="10721" width="9" style="123" bestFit="1" customWidth="1"/>
    <col min="10722" max="10722" width="7.85546875" style="123" bestFit="1" customWidth="1"/>
    <col min="10723" max="10723" width="11.7109375" style="123" bestFit="1" customWidth="1"/>
    <col min="10724" max="10724" width="14.28515625" style="123" customWidth="1"/>
    <col min="10725" max="10725" width="11.7109375" style="123" bestFit="1" customWidth="1"/>
    <col min="10726" max="10726" width="14.140625" style="123" bestFit="1" customWidth="1"/>
    <col min="10727" max="10727" width="16.7109375" style="123" customWidth="1"/>
    <col min="10728" max="10728" width="16.5703125" style="123" customWidth="1"/>
    <col min="10729" max="10730" width="7.85546875" style="123" bestFit="1" customWidth="1"/>
    <col min="10731" max="10731" width="8" style="123" bestFit="1" customWidth="1"/>
    <col min="10732" max="10733" width="7.85546875" style="123" bestFit="1" customWidth="1"/>
    <col min="10734" max="10734" width="9.7109375" style="123" customWidth="1"/>
    <col min="10735" max="10735" width="12.85546875" style="123" customWidth="1"/>
    <col min="10736" max="10972" width="9.140625" style="123"/>
    <col min="10973" max="10973" width="9" style="123" bestFit="1" customWidth="1"/>
    <col min="10974" max="10974" width="9.85546875" style="123" bestFit="1" customWidth="1"/>
    <col min="10975" max="10975" width="9.140625" style="123" bestFit="1" customWidth="1"/>
    <col min="10976" max="10976" width="16" style="123" bestFit="1" customWidth="1"/>
    <col min="10977" max="10977" width="9" style="123" bestFit="1" customWidth="1"/>
    <col min="10978" max="10978" width="7.85546875" style="123" bestFit="1" customWidth="1"/>
    <col min="10979" max="10979" width="11.7109375" style="123" bestFit="1" customWidth="1"/>
    <col min="10980" max="10980" width="14.28515625" style="123" customWidth="1"/>
    <col min="10981" max="10981" width="11.7109375" style="123" bestFit="1" customWidth="1"/>
    <col min="10982" max="10982" width="14.140625" style="123" bestFit="1" customWidth="1"/>
    <col min="10983" max="10983" width="16.7109375" style="123" customWidth="1"/>
    <col min="10984" max="10984" width="16.5703125" style="123" customWidth="1"/>
    <col min="10985" max="10986" width="7.85546875" style="123" bestFit="1" customWidth="1"/>
    <col min="10987" max="10987" width="8" style="123" bestFit="1" customWidth="1"/>
    <col min="10988" max="10989" width="7.85546875" style="123" bestFit="1" customWidth="1"/>
    <col min="10990" max="10990" width="9.7109375" style="123" customWidth="1"/>
    <col min="10991" max="10991" width="12.85546875" style="123" customWidth="1"/>
    <col min="10992" max="11228" width="9.140625" style="123"/>
    <col min="11229" max="11229" width="9" style="123" bestFit="1" customWidth="1"/>
    <col min="11230" max="11230" width="9.85546875" style="123" bestFit="1" customWidth="1"/>
    <col min="11231" max="11231" width="9.140625" style="123" bestFit="1" customWidth="1"/>
    <col min="11232" max="11232" width="16" style="123" bestFit="1" customWidth="1"/>
    <col min="11233" max="11233" width="9" style="123" bestFit="1" customWidth="1"/>
    <col min="11234" max="11234" width="7.85546875" style="123" bestFit="1" customWidth="1"/>
    <col min="11235" max="11235" width="11.7109375" style="123" bestFit="1" customWidth="1"/>
    <col min="11236" max="11236" width="14.28515625" style="123" customWidth="1"/>
    <col min="11237" max="11237" width="11.7109375" style="123" bestFit="1" customWidth="1"/>
    <col min="11238" max="11238" width="14.140625" style="123" bestFit="1" customWidth="1"/>
    <col min="11239" max="11239" width="16.7109375" style="123" customWidth="1"/>
    <col min="11240" max="11240" width="16.5703125" style="123" customWidth="1"/>
    <col min="11241" max="11242" width="7.85546875" style="123" bestFit="1" customWidth="1"/>
    <col min="11243" max="11243" width="8" style="123" bestFit="1" customWidth="1"/>
    <col min="11244" max="11245" width="7.85546875" style="123" bestFit="1" customWidth="1"/>
    <col min="11246" max="11246" width="9.7109375" style="123" customWidth="1"/>
    <col min="11247" max="11247" width="12.85546875" style="123" customWidth="1"/>
    <col min="11248" max="11484" width="9.140625" style="123"/>
    <col min="11485" max="11485" width="9" style="123" bestFit="1" customWidth="1"/>
    <col min="11486" max="11486" width="9.85546875" style="123" bestFit="1" customWidth="1"/>
    <col min="11487" max="11487" width="9.140625" style="123" bestFit="1" customWidth="1"/>
    <col min="11488" max="11488" width="16" style="123" bestFit="1" customWidth="1"/>
    <col min="11489" max="11489" width="9" style="123" bestFit="1" customWidth="1"/>
    <col min="11490" max="11490" width="7.85546875" style="123" bestFit="1" customWidth="1"/>
    <col min="11491" max="11491" width="11.7109375" style="123" bestFit="1" customWidth="1"/>
    <col min="11492" max="11492" width="14.28515625" style="123" customWidth="1"/>
    <col min="11493" max="11493" width="11.7109375" style="123" bestFit="1" customWidth="1"/>
    <col min="11494" max="11494" width="14.140625" style="123" bestFit="1" customWidth="1"/>
    <col min="11495" max="11495" width="16.7109375" style="123" customWidth="1"/>
    <col min="11496" max="11496" width="16.5703125" style="123" customWidth="1"/>
    <col min="11497" max="11498" width="7.85546875" style="123" bestFit="1" customWidth="1"/>
    <col min="11499" max="11499" width="8" style="123" bestFit="1" customWidth="1"/>
    <col min="11500" max="11501" width="7.85546875" style="123" bestFit="1" customWidth="1"/>
    <col min="11502" max="11502" width="9.7109375" style="123" customWidth="1"/>
    <col min="11503" max="11503" width="12.85546875" style="123" customWidth="1"/>
    <col min="11504" max="11740" width="9.140625" style="123"/>
    <col min="11741" max="11741" width="9" style="123" bestFit="1" customWidth="1"/>
    <col min="11742" max="11742" width="9.85546875" style="123" bestFit="1" customWidth="1"/>
    <col min="11743" max="11743" width="9.140625" style="123" bestFit="1" customWidth="1"/>
    <col min="11744" max="11744" width="16" style="123" bestFit="1" customWidth="1"/>
    <col min="11745" max="11745" width="9" style="123" bestFit="1" customWidth="1"/>
    <col min="11746" max="11746" width="7.85546875" style="123" bestFit="1" customWidth="1"/>
    <col min="11747" max="11747" width="11.7109375" style="123" bestFit="1" customWidth="1"/>
    <col min="11748" max="11748" width="14.28515625" style="123" customWidth="1"/>
    <col min="11749" max="11749" width="11.7109375" style="123" bestFit="1" customWidth="1"/>
    <col min="11750" max="11750" width="14.140625" style="123" bestFit="1" customWidth="1"/>
    <col min="11751" max="11751" width="16.7109375" style="123" customWidth="1"/>
    <col min="11752" max="11752" width="16.5703125" style="123" customWidth="1"/>
    <col min="11753" max="11754" width="7.85546875" style="123" bestFit="1" customWidth="1"/>
    <col min="11755" max="11755" width="8" style="123" bestFit="1" customWidth="1"/>
    <col min="11756" max="11757" width="7.85546875" style="123" bestFit="1" customWidth="1"/>
    <col min="11758" max="11758" width="9.7109375" style="123" customWidth="1"/>
    <col min="11759" max="11759" width="12.85546875" style="123" customWidth="1"/>
    <col min="11760" max="11996" width="9.140625" style="123"/>
    <col min="11997" max="11997" width="9" style="123" bestFit="1" customWidth="1"/>
    <col min="11998" max="11998" width="9.85546875" style="123" bestFit="1" customWidth="1"/>
    <col min="11999" max="11999" width="9.140625" style="123" bestFit="1" customWidth="1"/>
    <col min="12000" max="12000" width="16" style="123" bestFit="1" customWidth="1"/>
    <col min="12001" max="12001" width="9" style="123" bestFit="1" customWidth="1"/>
    <col min="12002" max="12002" width="7.85546875" style="123" bestFit="1" customWidth="1"/>
    <col min="12003" max="12003" width="11.7109375" style="123" bestFit="1" customWidth="1"/>
    <col min="12004" max="12004" width="14.28515625" style="123" customWidth="1"/>
    <col min="12005" max="12005" width="11.7109375" style="123" bestFit="1" customWidth="1"/>
    <col min="12006" max="12006" width="14.140625" style="123" bestFit="1" customWidth="1"/>
    <col min="12007" max="12007" width="16.7109375" style="123" customWidth="1"/>
    <col min="12008" max="12008" width="16.5703125" style="123" customWidth="1"/>
    <col min="12009" max="12010" width="7.85546875" style="123" bestFit="1" customWidth="1"/>
    <col min="12011" max="12011" width="8" style="123" bestFit="1" customWidth="1"/>
    <col min="12012" max="12013" width="7.85546875" style="123" bestFit="1" customWidth="1"/>
    <col min="12014" max="12014" width="9.7109375" style="123" customWidth="1"/>
    <col min="12015" max="12015" width="12.85546875" style="123" customWidth="1"/>
    <col min="12016" max="12252" width="9.140625" style="123"/>
    <col min="12253" max="12253" width="9" style="123" bestFit="1" customWidth="1"/>
    <col min="12254" max="12254" width="9.85546875" style="123" bestFit="1" customWidth="1"/>
    <col min="12255" max="12255" width="9.140625" style="123" bestFit="1" customWidth="1"/>
    <col min="12256" max="12256" width="16" style="123" bestFit="1" customWidth="1"/>
    <col min="12257" max="12257" width="9" style="123" bestFit="1" customWidth="1"/>
    <col min="12258" max="12258" width="7.85546875" style="123" bestFit="1" customWidth="1"/>
    <col min="12259" max="12259" width="11.7109375" style="123" bestFit="1" customWidth="1"/>
    <col min="12260" max="12260" width="14.28515625" style="123" customWidth="1"/>
    <col min="12261" max="12261" width="11.7109375" style="123" bestFit="1" customWidth="1"/>
    <col min="12262" max="12262" width="14.140625" style="123" bestFit="1" customWidth="1"/>
    <col min="12263" max="12263" width="16.7109375" style="123" customWidth="1"/>
    <col min="12264" max="12264" width="16.5703125" style="123" customWidth="1"/>
    <col min="12265" max="12266" width="7.85546875" style="123" bestFit="1" customWidth="1"/>
    <col min="12267" max="12267" width="8" style="123" bestFit="1" customWidth="1"/>
    <col min="12268" max="12269" width="7.85546875" style="123" bestFit="1" customWidth="1"/>
    <col min="12270" max="12270" width="9.7109375" style="123" customWidth="1"/>
    <col min="12271" max="12271" width="12.85546875" style="123" customWidth="1"/>
    <col min="12272" max="12508" width="9.140625" style="123"/>
    <col min="12509" max="12509" width="9" style="123" bestFit="1" customWidth="1"/>
    <col min="12510" max="12510" width="9.85546875" style="123" bestFit="1" customWidth="1"/>
    <col min="12511" max="12511" width="9.140625" style="123" bestFit="1" customWidth="1"/>
    <col min="12512" max="12512" width="16" style="123" bestFit="1" customWidth="1"/>
    <col min="12513" max="12513" width="9" style="123" bestFit="1" customWidth="1"/>
    <col min="12514" max="12514" width="7.85546875" style="123" bestFit="1" customWidth="1"/>
    <col min="12515" max="12515" width="11.7109375" style="123" bestFit="1" customWidth="1"/>
    <col min="12516" max="12516" width="14.28515625" style="123" customWidth="1"/>
    <col min="12517" max="12517" width="11.7109375" style="123" bestFit="1" customWidth="1"/>
    <col min="12518" max="12518" width="14.140625" style="123" bestFit="1" customWidth="1"/>
    <col min="12519" max="12519" width="16.7109375" style="123" customWidth="1"/>
    <col min="12520" max="12520" width="16.5703125" style="123" customWidth="1"/>
    <col min="12521" max="12522" width="7.85546875" style="123" bestFit="1" customWidth="1"/>
    <col min="12523" max="12523" width="8" style="123" bestFit="1" customWidth="1"/>
    <col min="12524" max="12525" width="7.85546875" style="123" bestFit="1" customWidth="1"/>
    <col min="12526" max="12526" width="9.7109375" style="123" customWidth="1"/>
    <col min="12527" max="12527" width="12.85546875" style="123" customWidth="1"/>
    <col min="12528" max="12764" width="9.140625" style="123"/>
    <col min="12765" max="12765" width="9" style="123" bestFit="1" customWidth="1"/>
    <col min="12766" max="12766" width="9.85546875" style="123" bestFit="1" customWidth="1"/>
    <col min="12767" max="12767" width="9.140625" style="123" bestFit="1" customWidth="1"/>
    <col min="12768" max="12768" width="16" style="123" bestFit="1" customWidth="1"/>
    <col min="12769" max="12769" width="9" style="123" bestFit="1" customWidth="1"/>
    <col min="12770" max="12770" width="7.85546875" style="123" bestFit="1" customWidth="1"/>
    <col min="12771" max="12771" width="11.7109375" style="123" bestFit="1" customWidth="1"/>
    <col min="12772" max="12772" width="14.28515625" style="123" customWidth="1"/>
    <col min="12773" max="12773" width="11.7109375" style="123" bestFit="1" customWidth="1"/>
    <col min="12774" max="12774" width="14.140625" style="123" bestFit="1" customWidth="1"/>
    <col min="12775" max="12775" width="16.7109375" style="123" customWidth="1"/>
    <col min="12776" max="12776" width="16.5703125" style="123" customWidth="1"/>
    <col min="12777" max="12778" width="7.85546875" style="123" bestFit="1" customWidth="1"/>
    <col min="12779" max="12779" width="8" style="123" bestFit="1" customWidth="1"/>
    <col min="12780" max="12781" width="7.85546875" style="123" bestFit="1" customWidth="1"/>
    <col min="12782" max="12782" width="9.7109375" style="123" customWidth="1"/>
    <col min="12783" max="12783" width="12.85546875" style="123" customWidth="1"/>
    <col min="12784" max="13020" width="9.140625" style="123"/>
    <col min="13021" max="13021" width="9" style="123" bestFit="1" customWidth="1"/>
    <col min="13022" max="13022" width="9.85546875" style="123" bestFit="1" customWidth="1"/>
    <col min="13023" max="13023" width="9.140625" style="123" bestFit="1" customWidth="1"/>
    <col min="13024" max="13024" width="16" style="123" bestFit="1" customWidth="1"/>
    <col min="13025" max="13025" width="9" style="123" bestFit="1" customWidth="1"/>
    <col min="13026" max="13026" width="7.85546875" style="123" bestFit="1" customWidth="1"/>
    <col min="13027" max="13027" width="11.7109375" style="123" bestFit="1" customWidth="1"/>
    <col min="13028" max="13028" width="14.28515625" style="123" customWidth="1"/>
    <col min="13029" max="13029" width="11.7109375" style="123" bestFit="1" customWidth="1"/>
    <col min="13030" max="13030" width="14.140625" style="123" bestFit="1" customWidth="1"/>
    <col min="13031" max="13031" width="16.7109375" style="123" customWidth="1"/>
    <col min="13032" max="13032" width="16.5703125" style="123" customWidth="1"/>
    <col min="13033" max="13034" width="7.85546875" style="123" bestFit="1" customWidth="1"/>
    <col min="13035" max="13035" width="8" style="123" bestFit="1" customWidth="1"/>
    <col min="13036" max="13037" width="7.85546875" style="123" bestFit="1" customWidth="1"/>
    <col min="13038" max="13038" width="9.7109375" style="123" customWidth="1"/>
    <col min="13039" max="13039" width="12.85546875" style="123" customWidth="1"/>
    <col min="13040" max="13276" width="9.140625" style="123"/>
    <col min="13277" max="13277" width="9" style="123" bestFit="1" customWidth="1"/>
    <col min="13278" max="13278" width="9.85546875" style="123" bestFit="1" customWidth="1"/>
    <col min="13279" max="13279" width="9.140625" style="123" bestFit="1" customWidth="1"/>
    <col min="13280" max="13280" width="16" style="123" bestFit="1" customWidth="1"/>
    <col min="13281" max="13281" width="9" style="123" bestFit="1" customWidth="1"/>
    <col min="13282" max="13282" width="7.85546875" style="123" bestFit="1" customWidth="1"/>
    <col min="13283" max="13283" width="11.7109375" style="123" bestFit="1" customWidth="1"/>
    <col min="13284" max="13284" width="14.28515625" style="123" customWidth="1"/>
    <col min="13285" max="13285" width="11.7109375" style="123" bestFit="1" customWidth="1"/>
    <col min="13286" max="13286" width="14.140625" style="123" bestFit="1" customWidth="1"/>
    <col min="13287" max="13287" width="16.7109375" style="123" customWidth="1"/>
    <col min="13288" max="13288" width="16.5703125" style="123" customWidth="1"/>
    <col min="13289" max="13290" width="7.85546875" style="123" bestFit="1" customWidth="1"/>
    <col min="13291" max="13291" width="8" style="123" bestFit="1" customWidth="1"/>
    <col min="13292" max="13293" width="7.85546875" style="123" bestFit="1" customWidth="1"/>
    <col min="13294" max="13294" width="9.7109375" style="123" customWidth="1"/>
    <col min="13295" max="13295" width="12.85546875" style="123" customWidth="1"/>
    <col min="13296" max="13532" width="9.140625" style="123"/>
    <col min="13533" max="13533" width="9" style="123" bestFit="1" customWidth="1"/>
    <col min="13534" max="13534" width="9.85546875" style="123" bestFit="1" customWidth="1"/>
    <col min="13535" max="13535" width="9.140625" style="123" bestFit="1" customWidth="1"/>
    <col min="13536" max="13536" width="16" style="123" bestFit="1" customWidth="1"/>
    <col min="13537" max="13537" width="9" style="123" bestFit="1" customWidth="1"/>
    <col min="13538" max="13538" width="7.85546875" style="123" bestFit="1" customWidth="1"/>
    <col min="13539" max="13539" width="11.7109375" style="123" bestFit="1" customWidth="1"/>
    <col min="13540" max="13540" width="14.28515625" style="123" customWidth="1"/>
    <col min="13541" max="13541" width="11.7109375" style="123" bestFit="1" customWidth="1"/>
    <col min="13542" max="13542" width="14.140625" style="123" bestFit="1" customWidth="1"/>
    <col min="13543" max="13543" width="16.7109375" style="123" customWidth="1"/>
    <col min="13544" max="13544" width="16.5703125" style="123" customWidth="1"/>
    <col min="13545" max="13546" width="7.85546875" style="123" bestFit="1" customWidth="1"/>
    <col min="13547" max="13547" width="8" style="123" bestFit="1" customWidth="1"/>
    <col min="13548" max="13549" width="7.85546875" style="123" bestFit="1" customWidth="1"/>
    <col min="13550" max="13550" width="9.7109375" style="123" customWidth="1"/>
    <col min="13551" max="13551" width="12.85546875" style="123" customWidth="1"/>
    <col min="13552" max="13788" width="9.140625" style="123"/>
    <col min="13789" max="13789" width="9" style="123" bestFit="1" customWidth="1"/>
    <col min="13790" max="13790" width="9.85546875" style="123" bestFit="1" customWidth="1"/>
    <col min="13791" max="13791" width="9.140625" style="123" bestFit="1" customWidth="1"/>
    <col min="13792" max="13792" width="16" style="123" bestFit="1" customWidth="1"/>
    <col min="13793" max="13793" width="9" style="123" bestFit="1" customWidth="1"/>
    <col min="13794" max="13794" width="7.85546875" style="123" bestFit="1" customWidth="1"/>
    <col min="13795" max="13795" width="11.7109375" style="123" bestFit="1" customWidth="1"/>
    <col min="13796" max="13796" width="14.28515625" style="123" customWidth="1"/>
    <col min="13797" max="13797" width="11.7109375" style="123" bestFit="1" customWidth="1"/>
    <col min="13798" max="13798" width="14.140625" style="123" bestFit="1" customWidth="1"/>
    <col min="13799" max="13799" width="16.7109375" style="123" customWidth="1"/>
    <col min="13800" max="13800" width="16.5703125" style="123" customWidth="1"/>
    <col min="13801" max="13802" width="7.85546875" style="123" bestFit="1" customWidth="1"/>
    <col min="13803" max="13803" width="8" style="123" bestFit="1" customWidth="1"/>
    <col min="13804" max="13805" width="7.85546875" style="123" bestFit="1" customWidth="1"/>
    <col min="13806" max="13806" width="9.7109375" style="123" customWidth="1"/>
    <col min="13807" max="13807" width="12.85546875" style="123" customWidth="1"/>
    <col min="13808" max="14044" width="9.140625" style="123"/>
    <col min="14045" max="14045" width="9" style="123" bestFit="1" customWidth="1"/>
    <col min="14046" max="14046" width="9.85546875" style="123" bestFit="1" customWidth="1"/>
    <col min="14047" max="14047" width="9.140625" style="123" bestFit="1" customWidth="1"/>
    <col min="14048" max="14048" width="16" style="123" bestFit="1" customWidth="1"/>
    <col min="14049" max="14049" width="9" style="123" bestFit="1" customWidth="1"/>
    <col min="14050" max="14050" width="7.85546875" style="123" bestFit="1" customWidth="1"/>
    <col min="14051" max="14051" width="11.7109375" style="123" bestFit="1" customWidth="1"/>
    <col min="14052" max="14052" width="14.28515625" style="123" customWidth="1"/>
    <col min="14053" max="14053" width="11.7109375" style="123" bestFit="1" customWidth="1"/>
    <col min="14054" max="14054" width="14.140625" style="123" bestFit="1" customWidth="1"/>
    <col min="14055" max="14055" width="16.7109375" style="123" customWidth="1"/>
    <col min="14056" max="14056" width="16.5703125" style="123" customWidth="1"/>
    <col min="14057" max="14058" width="7.85546875" style="123" bestFit="1" customWidth="1"/>
    <col min="14059" max="14059" width="8" style="123" bestFit="1" customWidth="1"/>
    <col min="14060" max="14061" width="7.85546875" style="123" bestFit="1" customWidth="1"/>
    <col min="14062" max="14062" width="9.7109375" style="123" customWidth="1"/>
    <col min="14063" max="14063" width="12.85546875" style="123" customWidth="1"/>
    <col min="14064" max="14300" width="9.140625" style="123"/>
    <col min="14301" max="14301" width="9" style="123" bestFit="1" customWidth="1"/>
    <col min="14302" max="14302" width="9.85546875" style="123" bestFit="1" customWidth="1"/>
    <col min="14303" max="14303" width="9.140625" style="123" bestFit="1" customWidth="1"/>
    <col min="14304" max="14304" width="16" style="123" bestFit="1" customWidth="1"/>
    <col min="14305" max="14305" width="9" style="123" bestFit="1" customWidth="1"/>
    <col min="14306" max="14306" width="7.85546875" style="123" bestFit="1" customWidth="1"/>
    <col min="14307" max="14307" width="11.7109375" style="123" bestFit="1" customWidth="1"/>
    <col min="14308" max="14308" width="14.28515625" style="123" customWidth="1"/>
    <col min="14309" max="14309" width="11.7109375" style="123" bestFit="1" customWidth="1"/>
    <col min="14310" max="14310" width="14.140625" style="123" bestFit="1" customWidth="1"/>
    <col min="14311" max="14311" width="16.7109375" style="123" customWidth="1"/>
    <col min="14312" max="14312" width="16.5703125" style="123" customWidth="1"/>
    <col min="14313" max="14314" width="7.85546875" style="123" bestFit="1" customWidth="1"/>
    <col min="14315" max="14315" width="8" style="123" bestFit="1" customWidth="1"/>
    <col min="14316" max="14317" width="7.85546875" style="123" bestFit="1" customWidth="1"/>
    <col min="14318" max="14318" width="9.7109375" style="123" customWidth="1"/>
    <col min="14319" max="14319" width="12.85546875" style="123" customWidth="1"/>
    <col min="14320" max="14556" width="9.140625" style="123"/>
    <col min="14557" max="14557" width="9" style="123" bestFit="1" customWidth="1"/>
    <col min="14558" max="14558" width="9.85546875" style="123" bestFit="1" customWidth="1"/>
    <col min="14559" max="14559" width="9.140625" style="123" bestFit="1" customWidth="1"/>
    <col min="14560" max="14560" width="16" style="123" bestFit="1" customWidth="1"/>
    <col min="14561" max="14561" width="9" style="123" bestFit="1" customWidth="1"/>
    <col min="14562" max="14562" width="7.85546875" style="123" bestFit="1" customWidth="1"/>
    <col min="14563" max="14563" width="11.7109375" style="123" bestFit="1" customWidth="1"/>
    <col min="14564" max="14564" width="14.28515625" style="123" customWidth="1"/>
    <col min="14565" max="14565" width="11.7109375" style="123" bestFit="1" customWidth="1"/>
    <col min="14566" max="14566" width="14.140625" style="123" bestFit="1" customWidth="1"/>
    <col min="14567" max="14567" width="16.7109375" style="123" customWidth="1"/>
    <col min="14568" max="14568" width="16.5703125" style="123" customWidth="1"/>
    <col min="14569" max="14570" width="7.85546875" style="123" bestFit="1" customWidth="1"/>
    <col min="14571" max="14571" width="8" style="123" bestFit="1" customWidth="1"/>
    <col min="14572" max="14573" width="7.85546875" style="123" bestFit="1" customWidth="1"/>
    <col min="14574" max="14574" width="9.7109375" style="123" customWidth="1"/>
    <col min="14575" max="14575" width="12.85546875" style="123" customWidth="1"/>
    <col min="14576" max="14812" width="9.140625" style="123"/>
    <col min="14813" max="14813" width="9" style="123" bestFit="1" customWidth="1"/>
    <col min="14814" max="14814" width="9.85546875" style="123" bestFit="1" customWidth="1"/>
    <col min="14815" max="14815" width="9.140625" style="123" bestFit="1" customWidth="1"/>
    <col min="14816" max="14816" width="16" style="123" bestFit="1" customWidth="1"/>
    <col min="14817" max="14817" width="9" style="123" bestFit="1" customWidth="1"/>
    <col min="14818" max="14818" width="7.85546875" style="123" bestFit="1" customWidth="1"/>
    <col min="14819" max="14819" width="11.7109375" style="123" bestFit="1" customWidth="1"/>
    <col min="14820" max="14820" width="14.28515625" style="123" customWidth="1"/>
    <col min="14821" max="14821" width="11.7109375" style="123" bestFit="1" customWidth="1"/>
    <col min="14822" max="14822" width="14.140625" style="123" bestFit="1" customWidth="1"/>
    <col min="14823" max="14823" width="16.7109375" style="123" customWidth="1"/>
    <col min="14824" max="14824" width="16.5703125" style="123" customWidth="1"/>
    <col min="14825" max="14826" width="7.85546875" style="123" bestFit="1" customWidth="1"/>
    <col min="14827" max="14827" width="8" style="123" bestFit="1" customWidth="1"/>
    <col min="14828" max="14829" width="7.85546875" style="123" bestFit="1" customWidth="1"/>
    <col min="14830" max="14830" width="9.7109375" style="123" customWidth="1"/>
    <col min="14831" max="14831" width="12.85546875" style="123" customWidth="1"/>
    <col min="14832" max="15068" width="9.140625" style="123"/>
    <col min="15069" max="15069" width="9" style="123" bestFit="1" customWidth="1"/>
    <col min="15070" max="15070" width="9.85546875" style="123" bestFit="1" customWidth="1"/>
    <col min="15071" max="15071" width="9.140625" style="123" bestFit="1" customWidth="1"/>
    <col min="15072" max="15072" width="16" style="123" bestFit="1" customWidth="1"/>
    <col min="15073" max="15073" width="9" style="123" bestFit="1" customWidth="1"/>
    <col min="15074" max="15074" width="7.85546875" style="123" bestFit="1" customWidth="1"/>
    <col min="15075" max="15075" width="11.7109375" style="123" bestFit="1" customWidth="1"/>
    <col min="15076" max="15076" width="14.28515625" style="123" customWidth="1"/>
    <col min="15077" max="15077" width="11.7109375" style="123" bestFit="1" customWidth="1"/>
    <col min="15078" max="15078" width="14.140625" style="123" bestFit="1" customWidth="1"/>
    <col min="15079" max="15079" width="16.7109375" style="123" customWidth="1"/>
    <col min="15080" max="15080" width="16.5703125" style="123" customWidth="1"/>
    <col min="15081" max="15082" width="7.85546875" style="123" bestFit="1" customWidth="1"/>
    <col min="15083" max="15083" width="8" style="123" bestFit="1" customWidth="1"/>
    <col min="15084" max="15085" width="7.85546875" style="123" bestFit="1" customWidth="1"/>
    <col min="15086" max="15086" width="9.7109375" style="123" customWidth="1"/>
    <col min="15087" max="15087" width="12.85546875" style="123" customWidth="1"/>
    <col min="15088" max="15324" width="9.140625" style="123"/>
    <col min="15325" max="15325" width="9" style="123" bestFit="1" customWidth="1"/>
    <col min="15326" max="15326" width="9.85546875" style="123" bestFit="1" customWidth="1"/>
    <col min="15327" max="15327" width="9.140625" style="123" bestFit="1" customWidth="1"/>
    <col min="15328" max="15328" width="16" style="123" bestFit="1" customWidth="1"/>
    <col min="15329" max="15329" width="9" style="123" bestFit="1" customWidth="1"/>
    <col min="15330" max="15330" width="7.85546875" style="123" bestFit="1" customWidth="1"/>
    <col min="15331" max="15331" width="11.7109375" style="123" bestFit="1" customWidth="1"/>
    <col min="15332" max="15332" width="14.28515625" style="123" customWidth="1"/>
    <col min="15333" max="15333" width="11.7109375" style="123" bestFit="1" customWidth="1"/>
    <col min="15334" max="15334" width="14.140625" style="123" bestFit="1" customWidth="1"/>
    <col min="15335" max="15335" width="16.7109375" style="123" customWidth="1"/>
    <col min="15336" max="15336" width="16.5703125" style="123" customWidth="1"/>
    <col min="15337" max="15338" width="7.85546875" style="123" bestFit="1" customWidth="1"/>
    <col min="15339" max="15339" width="8" style="123" bestFit="1" customWidth="1"/>
    <col min="15340" max="15341" width="7.85546875" style="123" bestFit="1" customWidth="1"/>
    <col min="15342" max="15342" width="9.7109375" style="123" customWidth="1"/>
    <col min="15343" max="15343" width="12.85546875" style="123" customWidth="1"/>
    <col min="15344" max="15580" width="9.140625" style="123"/>
    <col min="15581" max="15581" width="9" style="123" bestFit="1" customWidth="1"/>
    <col min="15582" max="15582" width="9.85546875" style="123" bestFit="1" customWidth="1"/>
    <col min="15583" max="15583" width="9.140625" style="123" bestFit="1" customWidth="1"/>
    <col min="15584" max="15584" width="16" style="123" bestFit="1" customWidth="1"/>
    <col min="15585" max="15585" width="9" style="123" bestFit="1" customWidth="1"/>
    <col min="15586" max="15586" width="7.85546875" style="123" bestFit="1" customWidth="1"/>
    <col min="15587" max="15587" width="11.7109375" style="123" bestFit="1" customWidth="1"/>
    <col min="15588" max="15588" width="14.28515625" style="123" customWidth="1"/>
    <col min="15589" max="15589" width="11.7109375" style="123" bestFit="1" customWidth="1"/>
    <col min="15590" max="15590" width="14.140625" style="123" bestFit="1" customWidth="1"/>
    <col min="15591" max="15591" width="16.7109375" style="123" customWidth="1"/>
    <col min="15592" max="15592" width="16.5703125" style="123" customWidth="1"/>
    <col min="15593" max="15594" width="7.85546875" style="123" bestFit="1" customWidth="1"/>
    <col min="15595" max="15595" width="8" style="123" bestFit="1" customWidth="1"/>
    <col min="15596" max="15597" width="7.85546875" style="123" bestFit="1" customWidth="1"/>
    <col min="15598" max="15598" width="9.7109375" style="123" customWidth="1"/>
    <col min="15599" max="15599" width="12.85546875" style="123" customWidth="1"/>
    <col min="15600" max="15836" width="9.140625" style="123"/>
    <col min="15837" max="15837" width="9" style="123" bestFit="1" customWidth="1"/>
    <col min="15838" max="15838" width="9.85546875" style="123" bestFit="1" customWidth="1"/>
    <col min="15839" max="15839" width="9.140625" style="123" bestFit="1" customWidth="1"/>
    <col min="15840" max="15840" width="16" style="123" bestFit="1" customWidth="1"/>
    <col min="15841" max="15841" width="9" style="123" bestFit="1" customWidth="1"/>
    <col min="15842" max="15842" width="7.85546875" style="123" bestFit="1" customWidth="1"/>
    <col min="15843" max="15843" width="11.7109375" style="123" bestFit="1" customWidth="1"/>
    <col min="15844" max="15844" width="14.28515625" style="123" customWidth="1"/>
    <col min="15845" max="15845" width="11.7109375" style="123" bestFit="1" customWidth="1"/>
    <col min="15846" max="15846" width="14.140625" style="123" bestFit="1" customWidth="1"/>
    <col min="15847" max="15847" width="16.7109375" style="123" customWidth="1"/>
    <col min="15848" max="15848" width="16.5703125" style="123" customWidth="1"/>
    <col min="15849" max="15850" width="7.85546875" style="123" bestFit="1" customWidth="1"/>
    <col min="15851" max="15851" width="8" style="123" bestFit="1" customWidth="1"/>
    <col min="15852" max="15853" width="7.85546875" style="123" bestFit="1" customWidth="1"/>
    <col min="15854" max="15854" width="9.7109375" style="123" customWidth="1"/>
    <col min="15855" max="15855" width="12.85546875" style="123" customWidth="1"/>
    <col min="15856" max="16092" width="9.140625" style="123"/>
    <col min="16093" max="16093" width="9" style="123" bestFit="1" customWidth="1"/>
    <col min="16094" max="16094" width="9.85546875" style="123" bestFit="1" customWidth="1"/>
    <col min="16095" max="16095" width="9.140625" style="123" bestFit="1" customWidth="1"/>
    <col min="16096" max="16096" width="16" style="123" bestFit="1" customWidth="1"/>
    <col min="16097" max="16097" width="9" style="123" bestFit="1" customWidth="1"/>
    <col min="16098" max="16098" width="7.85546875" style="123" bestFit="1" customWidth="1"/>
    <col min="16099" max="16099" width="11.7109375" style="123" bestFit="1" customWidth="1"/>
    <col min="16100" max="16100" width="14.28515625" style="123" customWidth="1"/>
    <col min="16101" max="16101" width="11.7109375" style="123" bestFit="1" customWidth="1"/>
    <col min="16102" max="16102" width="14.140625" style="123" bestFit="1" customWidth="1"/>
    <col min="16103" max="16103" width="16.7109375" style="123" customWidth="1"/>
    <col min="16104" max="16104" width="16.5703125" style="123" customWidth="1"/>
    <col min="16105" max="16106" width="7.85546875" style="123" bestFit="1" customWidth="1"/>
    <col min="16107" max="16107" width="8" style="123" bestFit="1" customWidth="1"/>
    <col min="16108" max="16109" width="7.85546875" style="123" bestFit="1" customWidth="1"/>
    <col min="16110" max="16110" width="9.7109375" style="123" customWidth="1"/>
    <col min="16111" max="16111" width="12.85546875" style="123" customWidth="1"/>
    <col min="16112" max="16384" width="9.140625" style="123"/>
  </cols>
  <sheetData>
    <row r="1" spans="1:22" s="125" customFormat="1" ht="15.75" customHeight="1">
      <c r="A1" s="622" t="s">
        <v>1</v>
      </c>
      <c r="B1" s="755" t="s">
        <v>0</v>
      </c>
      <c r="C1" s="754" t="s">
        <v>157</v>
      </c>
      <c r="D1" s="754"/>
      <c r="E1" s="754"/>
      <c r="F1" s="769" t="s">
        <v>29</v>
      </c>
      <c r="G1" s="770"/>
      <c r="H1" s="770"/>
      <c r="I1" s="770"/>
      <c r="J1" s="770"/>
      <c r="K1" s="770"/>
      <c r="L1" s="770"/>
      <c r="M1" s="770"/>
      <c r="N1" s="770"/>
      <c r="O1" s="770"/>
      <c r="P1" s="770"/>
      <c r="Q1" s="770"/>
      <c r="R1" s="770"/>
      <c r="S1" s="770"/>
      <c r="T1" s="770"/>
      <c r="U1" s="770"/>
      <c r="V1" s="771"/>
    </row>
    <row r="2" spans="1:22" ht="16.5" thickBot="1">
      <c r="A2" s="623"/>
      <c r="B2" s="756"/>
      <c r="C2" s="126" t="s">
        <v>23</v>
      </c>
      <c r="D2" s="131" t="s">
        <v>9</v>
      </c>
      <c r="E2" s="134" t="s">
        <v>33</v>
      </c>
      <c r="F2" s="340">
        <v>61</v>
      </c>
      <c r="G2" s="340">
        <v>62</v>
      </c>
      <c r="H2" s="340">
        <v>63</v>
      </c>
      <c r="I2" s="341">
        <v>64</v>
      </c>
      <c r="J2" s="342" t="s">
        <v>470</v>
      </c>
      <c r="K2" s="342" t="s">
        <v>471</v>
      </c>
      <c r="L2" s="342" t="s">
        <v>472</v>
      </c>
      <c r="M2" s="343">
        <v>65</v>
      </c>
      <c r="N2" s="344" t="s">
        <v>473</v>
      </c>
      <c r="O2" s="344" t="s">
        <v>474</v>
      </c>
      <c r="P2" s="344" t="s">
        <v>475</v>
      </c>
      <c r="Q2" s="344" t="s">
        <v>476</v>
      </c>
      <c r="R2" s="344" t="s">
        <v>477</v>
      </c>
      <c r="S2" s="340">
        <v>67</v>
      </c>
      <c r="T2" s="205"/>
      <c r="U2" s="205"/>
      <c r="V2" s="339"/>
    </row>
    <row r="3" spans="1:22" s="165" customFormat="1">
      <c r="A3" s="471">
        <f>'1-συμβολαια'!A3</f>
        <v>4600</v>
      </c>
      <c r="B3" s="464" t="str">
        <f>'1-συμβολαια'!C3</f>
        <v>δωρεά</v>
      </c>
      <c r="C3" s="420"/>
      <c r="D3" s="465"/>
      <c r="E3" s="465"/>
      <c r="F3" s="466"/>
      <c r="G3" s="466"/>
      <c r="H3" s="467"/>
      <c r="I3" s="468"/>
      <c r="J3" s="468"/>
      <c r="K3" s="468"/>
      <c r="L3" s="468"/>
      <c r="M3" s="468"/>
      <c r="N3" s="466"/>
      <c r="O3" s="466"/>
      <c r="P3" s="466"/>
      <c r="Q3" s="466"/>
      <c r="R3" s="466"/>
      <c r="S3" s="466"/>
      <c r="T3" s="466"/>
      <c r="U3" s="466"/>
      <c r="V3" s="466"/>
    </row>
    <row r="4" spans="1:22" s="165" customFormat="1">
      <c r="A4" s="471"/>
      <c r="B4" s="464" t="str">
        <f>'1-συμβολαια'!C4</f>
        <v>ΧΡΗΣΙΚΤΗΣΙΑ οικοπέδου &amp; οικίας = 1930 πατρός ΔΩΡΕΑ άτυπη</v>
      </c>
      <c r="C4" s="420">
        <f>'1-συμβολαια'!L4</f>
        <v>57.234768000000003</v>
      </c>
      <c r="D4" s="465"/>
      <c r="E4" s="465">
        <f t="shared" ref="E4:E55" si="0">C4-D4</f>
        <v>57.234768000000003</v>
      </c>
      <c r="F4" s="421">
        <v>61</v>
      </c>
      <c r="G4" s="421">
        <v>62</v>
      </c>
      <c r="H4" s="469"/>
      <c r="I4" s="470"/>
      <c r="J4" s="470"/>
      <c r="K4" s="470"/>
      <c r="L4" s="470"/>
      <c r="M4" s="470"/>
      <c r="N4" s="421">
        <v>1</v>
      </c>
      <c r="O4" s="421"/>
      <c r="P4" s="421"/>
      <c r="Q4" s="421"/>
      <c r="R4" s="421"/>
      <c r="S4" s="421"/>
      <c r="T4" s="421"/>
      <c r="U4" s="421"/>
      <c r="V4" s="421"/>
    </row>
    <row r="5" spans="1:22" s="165" customFormat="1">
      <c r="A5" s="419">
        <f>'1-συμβολαια'!A5</f>
        <v>4601</v>
      </c>
      <c r="B5" s="464" t="str">
        <f>'1-συμβολαια'!C5</f>
        <v>αγοραπωλησίας 13.835κ ΕΞΟΦΛΗΣΗ</v>
      </c>
      <c r="C5" s="420"/>
      <c r="D5" s="465"/>
      <c r="E5" s="465"/>
      <c r="F5" s="421"/>
      <c r="G5" s="421"/>
      <c r="H5" s="469"/>
      <c r="I5" s="470"/>
      <c r="J5" s="470"/>
      <c r="K5" s="470"/>
      <c r="L5" s="470"/>
      <c r="M5" s="470"/>
      <c r="N5" s="421"/>
      <c r="O5" s="421"/>
      <c r="P5" s="421"/>
      <c r="Q5" s="421"/>
      <c r="R5" s="421"/>
      <c r="S5" s="421"/>
      <c r="T5" s="421"/>
      <c r="U5" s="421"/>
      <c r="V5" s="421"/>
    </row>
    <row r="6" spans="1:22" s="165" customFormat="1">
      <c r="A6" s="471">
        <f>'1-συμβολαια'!A6</f>
        <v>4602</v>
      </c>
      <c r="B6" s="464" t="str">
        <f>'1-συμβολαια'!C6</f>
        <v>κληρονομιάς ΑΠΟΔΟΧΗ</v>
      </c>
      <c r="C6" s="420"/>
      <c r="D6" s="465"/>
      <c r="E6" s="465"/>
      <c r="F6" s="421"/>
      <c r="G6" s="421"/>
      <c r="H6" s="469"/>
      <c r="I6" s="470"/>
      <c r="J6" s="470"/>
      <c r="K6" s="470"/>
      <c r="L6" s="470"/>
      <c r="M6" s="470"/>
      <c r="N6" s="421"/>
      <c r="O6" s="421"/>
      <c r="P6" s="421"/>
      <c r="Q6" s="421"/>
      <c r="R6" s="421"/>
      <c r="S6" s="421"/>
      <c r="T6" s="421"/>
      <c r="U6" s="421"/>
      <c r="V6" s="421"/>
    </row>
    <row r="7" spans="1:22" s="165" customFormat="1">
      <c r="A7" s="471"/>
      <c r="B7" s="464" t="str">
        <f>'1-συμβολαια'!C7</f>
        <v>ΧΡΗΣΙΚΤΗΣΙΑ αγροτεμαχίου = 19?? ΑΝΑΔΑΣΜΟΣ</v>
      </c>
      <c r="C7" s="420">
        <f>'1-συμβολαια'!L7</f>
        <v>28.710368000000003</v>
      </c>
      <c r="D7" s="465"/>
      <c r="E7" s="465">
        <f t="shared" si="0"/>
        <v>28.710368000000003</v>
      </c>
      <c r="F7" s="421">
        <v>61</v>
      </c>
      <c r="G7" s="421">
        <v>62</v>
      </c>
      <c r="H7" s="469"/>
      <c r="I7" s="470"/>
      <c r="J7" s="470"/>
      <c r="K7" s="470"/>
      <c r="L7" s="470"/>
      <c r="M7" s="470"/>
      <c r="N7" s="421"/>
      <c r="O7" s="421"/>
      <c r="P7" s="421"/>
      <c r="Q7" s="421"/>
      <c r="R7" s="421"/>
      <c r="S7" s="421">
        <v>1</v>
      </c>
      <c r="T7" s="421"/>
      <c r="U7" s="421"/>
      <c r="V7" s="421"/>
    </row>
    <row r="8" spans="1:22" s="165" customFormat="1">
      <c r="A8" s="419">
        <f>'1-συμβολαια'!A8</f>
        <v>4603</v>
      </c>
      <c r="B8" s="464" t="str">
        <f>'1-συμβολαια'!C8</f>
        <v>γονικής 11.618καπολα ΔΙΟΡΘΩΣΗ</v>
      </c>
      <c r="C8" s="420"/>
      <c r="D8" s="465"/>
      <c r="E8" s="465"/>
      <c r="F8" s="421"/>
      <c r="G8" s="421"/>
      <c r="H8" s="469"/>
      <c r="I8" s="470"/>
      <c r="J8" s="470"/>
      <c r="K8" s="470"/>
      <c r="L8" s="470"/>
      <c r="M8" s="470"/>
      <c r="N8" s="421"/>
      <c r="O8" s="421"/>
      <c r="P8" s="421"/>
      <c r="Q8" s="421"/>
      <c r="R8" s="421"/>
      <c r="S8" s="421"/>
      <c r="T8" s="421"/>
      <c r="U8" s="421"/>
      <c r="V8" s="421"/>
    </row>
    <row r="9" spans="1:22" s="165" customFormat="1">
      <c r="A9" s="419">
        <f>'1-συμβολαια'!A9</f>
        <v>4604</v>
      </c>
      <c r="B9" s="464" t="str">
        <f>'1-συμβολαια'!C9</f>
        <v>γονικής 11.619καπολα ΔΙΟΡΘΩΣΗ</v>
      </c>
      <c r="C9" s="420"/>
      <c r="D9" s="465"/>
      <c r="E9" s="465"/>
      <c r="F9" s="421"/>
      <c r="G9" s="421"/>
      <c r="H9" s="469"/>
      <c r="I9" s="470"/>
      <c r="J9" s="470"/>
      <c r="K9" s="470"/>
      <c r="L9" s="470"/>
      <c r="M9" s="470"/>
      <c r="N9" s="421"/>
      <c r="O9" s="421"/>
      <c r="P9" s="421"/>
      <c r="Q9" s="421"/>
      <c r="R9" s="421"/>
      <c r="S9" s="421"/>
      <c r="T9" s="421"/>
      <c r="U9" s="421"/>
      <c r="V9" s="421"/>
    </row>
    <row r="10" spans="1:22" s="165" customFormat="1">
      <c r="A10" s="419">
        <f>'1-συμβολαια'!A10</f>
        <v>4605</v>
      </c>
      <c r="B10" s="464" t="str">
        <f>'1-συμβολαια'!C10</f>
        <v>* γονικής 11.618καπολα επικαρπίας ΕΝΣΩΜΑΤΩΣΗ {= παραίτηση αδερφής δικαιώματος οίκησης</v>
      </c>
      <c r="C10" s="420"/>
      <c r="D10" s="465"/>
      <c r="E10" s="465"/>
      <c r="F10" s="421"/>
      <c r="G10" s="421"/>
      <c r="H10" s="469"/>
      <c r="I10" s="470"/>
      <c r="J10" s="470"/>
      <c r="K10" s="470"/>
      <c r="L10" s="470"/>
      <c r="M10" s="470"/>
      <c r="N10" s="421"/>
      <c r="O10" s="421"/>
      <c r="P10" s="421"/>
      <c r="Q10" s="421"/>
      <c r="R10" s="421"/>
      <c r="S10" s="421"/>
      <c r="T10" s="421"/>
      <c r="U10" s="421"/>
      <c r="V10" s="421"/>
    </row>
    <row r="11" spans="1:22" s="165" customFormat="1">
      <c r="A11" s="419">
        <f>'1-συμβολαια'!A11</f>
        <v>4606</v>
      </c>
      <c r="B11" s="464" t="str">
        <f>'1-συμβολαια'!C11</f>
        <v>πληρεξούσιο</v>
      </c>
      <c r="C11" s="420"/>
      <c r="D11" s="465"/>
      <c r="E11" s="465"/>
      <c r="F11" s="421"/>
      <c r="G11" s="421"/>
      <c r="H11" s="469"/>
      <c r="I11" s="470"/>
      <c r="J11" s="470"/>
      <c r="K11" s="470"/>
      <c r="L11" s="470"/>
      <c r="M11" s="470"/>
      <c r="N11" s="421"/>
      <c r="O11" s="421"/>
      <c r="P11" s="421"/>
      <c r="Q11" s="421"/>
      <c r="R11" s="421"/>
      <c r="S11" s="421"/>
      <c r="T11" s="421"/>
      <c r="U11" s="421"/>
      <c r="V11" s="421"/>
    </row>
    <row r="12" spans="1:22" s="165" customFormat="1">
      <c r="A12" s="419">
        <f>'1-συμβολαια'!A12</f>
        <v>4607</v>
      </c>
      <c r="B12" s="464" t="str">
        <f>'1-συμβολαια'!C12</f>
        <v>αγοραπωλησίας 3.919 ΔΙΟΡΘΩΣΗ</v>
      </c>
      <c r="C12" s="420"/>
      <c r="D12" s="465"/>
      <c r="E12" s="465"/>
      <c r="F12" s="421"/>
      <c r="G12" s="421"/>
      <c r="H12" s="469"/>
      <c r="I12" s="470"/>
      <c r="J12" s="470"/>
      <c r="K12" s="470"/>
      <c r="L12" s="470"/>
      <c r="M12" s="470"/>
      <c r="N12" s="421"/>
      <c r="O12" s="421"/>
      <c r="P12" s="421"/>
      <c r="Q12" s="421"/>
      <c r="R12" s="421"/>
      <c r="S12" s="421"/>
      <c r="T12" s="421"/>
      <c r="U12" s="421"/>
      <c r="V12" s="421"/>
    </row>
    <row r="13" spans="1:22" s="165" customFormat="1">
      <c r="A13" s="419">
        <f>'1-συμβολαια'!A13</f>
        <v>4608</v>
      </c>
      <c r="B13" s="464" t="str">
        <f>'1-συμβολαια'!C13</f>
        <v>αγοραπωλησία τίμημα = Δ.Ο.Υ. =</v>
      </c>
      <c r="C13" s="420"/>
      <c r="D13" s="465"/>
      <c r="E13" s="465"/>
      <c r="F13" s="421"/>
      <c r="G13" s="421"/>
      <c r="H13" s="469"/>
      <c r="I13" s="470"/>
      <c r="J13" s="470"/>
      <c r="K13" s="470"/>
      <c r="L13" s="470"/>
      <c r="M13" s="470"/>
      <c r="N13" s="421"/>
      <c r="O13" s="421"/>
      <c r="P13" s="421"/>
      <c r="Q13" s="421"/>
      <c r="R13" s="421"/>
      <c r="S13" s="421"/>
      <c r="T13" s="421"/>
      <c r="U13" s="421"/>
      <c r="V13" s="421"/>
    </row>
    <row r="14" spans="1:22" s="165" customFormat="1">
      <c r="A14" s="419">
        <f>'1-συμβολαια'!A14</f>
        <v>4609</v>
      </c>
      <c r="B14" s="464" t="str">
        <f>'1-συμβολαια'!C14</f>
        <v>αγοραπωλησία τίμημα = 6.057,27 Δ.Ο.Υ. =</v>
      </c>
      <c r="C14" s="420"/>
      <c r="D14" s="465"/>
      <c r="E14" s="465"/>
      <c r="F14" s="421"/>
      <c r="G14" s="421"/>
      <c r="H14" s="469"/>
      <c r="I14" s="470"/>
      <c r="J14" s="470"/>
      <c r="K14" s="470"/>
      <c r="L14" s="470"/>
      <c r="M14" s="470"/>
      <c r="N14" s="421"/>
      <c r="O14" s="421"/>
      <c r="P14" s="421"/>
      <c r="Q14" s="421"/>
      <c r="R14" s="421"/>
      <c r="S14" s="421"/>
      <c r="T14" s="421"/>
      <c r="U14" s="421"/>
      <c r="V14" s="421"/>
    </row>
    <row r="15" spans="1:22" s="165" customFormat="1">
      <c r="A15" s="419">
        <f>'1-συμβολαια'!A15</f>
        <v>4610</v>
      </c>
      <c r="B15" s="464" t="str">
        <f>'1-συμβολαια'!C15</f>
        <v>πληρεξούσιο</v>
      </c>
      <c r="C15" s="420"/>
      <c r="D15" s="465"/>
      <c r="E15" s="465"/>
      <c r="F15" s="421"/>
      <c r="G15" s="421"/>
      <c r="H15" s="469"/>
      <c r="I15" s="470"/>
      <c r="J15" s="470"/>
      <c r="K15" s="470"/>
      <c r="L15" s="470"/>
      <c r="M15" s="470"/>
      <c r="N15" s="421"/>
      <c r="O15" s="421"/>
      <c r="P15" s="421"/>
      <c r="Q15" s="421"/>
      <c r="R15" s="421"/>
      <c r="S15" s="421"/>
      <c r="T15" s="421"/>
      <c r="U15" s="421"/>
      <c r="V15" s="421"/>
    </row>
    <row r="16" spans="1:22" s="165" customFormat="1">
      <c r="A16" s="471">
        <f>'1-συμβολαια'!A16</f>
        <v>4611</v>
      </c>
      <c r="B16" s="464" t="str">
        <f>'1-συμβολαια'!C16</f>
        <v>γονική</v>
      </c>
      <c r="C16" s="420"/>
      <c r="D16" s="465"/>
      <c r="E16" s="465"/>
      <c r="F16" s="421"/>
      <c r="G16" s="421"/>
      <c r="H16" s="469"/>
      <c r="I16" s="470"/>
      <c r="J16" s="470"/>
      <c r="K16" s="470"/>
      <c r="L16" s="470"/>
      <c r="M16" s="470"/>
      <c r="N16" s="421"/>
      <c r="O16" s="421"/>
      <c r="P16" s="421"/>
      <c r="Q16" s="421"/>
      <c r="R16" s="421"/>
      <c r="S16" s="421"/>
      <c r="T16" s="421"/>
      <c r="U16" s="421"/>
      <c r="V16" s="421"/>
    </row>
    <row r="17" spans="1:22" s="165" customFormat="1">
      <c r="A17" s="471">
        <f>'1-συμβολαια'!A17</f>
        <v>0</v>
      </c>
      <c r="B17" s="464" t="str">
        <f>'1-συμβολαια'!C17</f>
        <v>ΧΡΗΣΙΚΤΗΣΙΑ οικοπέδου = 1973 κυπαρισσίουΠαναγιώτη ΑΓΟΡΑΠΩΛΗΣΙΑ άτυπη</v>
      </c>
      <c r="C17" s="420">
        <f>'1-συμβολαια'!L17</f>
        <v>51.762568000000002</v>
      </c>
      <c r="D17" s="465"/>
      <c r="E17" s="465">
        <f t="shared" si="0"/>
        <v>51.762568000000002</v>
      </c>
      <c r="F17" s="421">
        <v>61</v>
      </c>
      <c r="G17" s="421">
        <v>62</v>
      </c>
      <c r="H17" s="469"/>
      <c r="I17" s="470"/>
      <c r="J17" s="470"/>
      <c r="K17" s="470"/>
      <c r="L17" s="470"/>
      <c r="M17" s="470"/>
      <c r="N17" s="421"/>
      <c r="O17" s="421">
        <v>1</v>
      </c>
      <c r="P17" s="421"/>
      <c r="Q17" s="421"/>
      <c r="R17" s="421"/>
      <c r="S17" s="421"/>
      <c r="T17" s="421"/>
      <c r="U17" s="421"/>
      <c r="V17" s="421"/>
    </row>
    <row r="18" spans="1:22" s="165" customFormat="1">
      <c r="A18" s="471">
        <f>'1-συμβολαια'!A18</f>
        <v>0</v>
      </c>
      <c r="B18" s="464" t="str">
        <f>'1-συμβολαια'!C18</f>
        <v>οριζόντιος ΣΥΣΤΑΣΗ</v>
      </c>
      <c r="C18" s="420">
        <f>'1-συμβολαια'!L18</f>
        <v>87.523099999999985</v>
      </c>
      <c r="D18" s="465"/>
      <c r="E18" s="465">
        <f t="shared" si="0"/>
        <v>87.523099999999985</v>
      </c>
      <c r="F18" s="421">
        <v>61</v>
      </c>
      <c r="G18" s="421">
        <v>62</v>
      </c>
      <c r="H18" s="469"/>
      <c r="I18" s="470">
        <v>1</v>
      </c>
      <c r="J18" s="470"/>
      <c r="K18" s="470"/>
      <c r="L18" s="470"/>
      <c r="M18" s="470"/>
      <c r="N18" s="421"/>
      <c r="O18" s="421"/>
      <c r="P18" s="421"/>
      <c r="Q18" s="421"/>
      <c r="R18" s="421"/>
      <c r="S18" s="421"/>
      <c r="T18" s="421"/>
      <c r="U18" s="421"/>
      <c r="V18" s="421"/>
    </row>
    <row r="19" spans="1:22" s="165" customFormat="1">
      <c r="A19" s="419">
        <f>'1-συμβολαια'!A19</f>
        <v>4612</v>
      </c>
      <c r="B19" s="464" t="str">
        <f>'1-συμβολαια'!C19</f>
        <v>κληρονομιάς ΑΠΟΔΟΧΗ</v>
      </c>
      <c r="C19" s="420"/>
      <c r="D19" s="465"/>
      <c r="E19" s="465"/>
      <c r="F19" s="421"/>
      <c r="G19" s="421"/>
      <c r="H19" s="469"/>
      <c r="I19" s="470"/>
      <c r="J19" s="470"/>
      <c r="K19" s="470"/>
      <c r="L19" s="470"/>
      <c r="M19" s="470"/>
      <c r="N19" s="421"/>
      <c r="O19" s="421"/>
      <c r="P19" s="421"/>
      <c r="Q19" s="421"/>
      <c r="R19" s="421"/>
      <c r="S19" s="421"/>
      <c r="T19" s="421"/>
      <c r="U19" s="421"/>
      <c r="V19" s="421"/>
    </row>
    <row r="20" spans="1:22" s="165" customFormat="1">
      <c r="A20" s="419">
        <f>'1-συμβολαια'!A20</f>
        <v>4613</v>
      </c>
      <c r="B20" s="464" t="str">
        <f>'1-συμβολαια'!C20</f>
        <v>γονική</v>
      </c>
      <c r="C20" s="420"/>
      <c r="D20" s="465"/>
      <c r="E20" s="465"/>
      <c r="F20" s="421"/>
      <c r="G20" s="421"/>
      <c r="H20" s="469"/>
      <c r="I20" s="470"/>
      <c r="J20" s="470"/>
      <c r="K20" s="470"/>
      <c r="L20" s="470"/>
      <c r="M20" s="470"/>
      <c r="N20" s="421"/>
      <c r="O20" s="421"/>
      <c r="P20" s="421"/>
      <c r="Q20" s="421"/>
      <c r="R20" s="421"/>
      <c r="S20" s="421"/>
      <c r="T20" s="421"/>
      <c r="U20" s="421"/>
      <c r="V20" s="421"/>
    </row>
    <row r="21" spans="1:22" s="165" customFormat="1">
      <c r="A21" s="419">
        <f>'1-συμβολαια'!A21</f>
        <v>4614</v>
      </c>
      <c r="B21" s="464" t="str">
        <f>'1-συμβολαια'!C21</f>
        <v>διαθήκη</v>
      </c>
      <c r="C21" s="420"/>
      <c r="D21" s="465"/>
      <c r="E21" s="465"/>
      <c r="F21" s="421"/>
      <c r="G21" s="421"/>
      <c r="H21" s="469"/>
      <c r="I21" s="470"/>
      <c r="J21" s="470"/>
      <c r="K21" s="470"/>
      <c r="L21" s="470"/>
      <c r="M21" s="470"/>
      <c r="N21" s="421"/>
      <c r="O21" s="421"/>
      <c r="P21" s="421"/>
      <c r="Q21" s="421"/>
      <c r="R21" s="421"/>
      <c r="S21" s="421"/>
      <c r="T21" s="421"/>
      <c r="U21" s="421"/>
      <c r="V21" s="421"/>
    </row>
    <row r="22" spans="1:22" s="165" customFormat="1">
      <c r="A22" s="471">
        <f>'1-συμβολαια'!A22</f>
        <v>4615</v>
      </c>
      <c r="B22" s="464" t="str">
        <f>'1-συμβολαια'!C22</f>
        <v>δωρεά</v>
      </c>
      <c r="C22" s="420"/>
      <c r="D22" s="465"/>
      <c r="E22" s="465"/>
      <c r="F22" s="421"/>
      <c r="G22" s="421"/>
      <c r="H22" s="469"/>
      <c r="I22" s="470"/>
      <c r="J22" s="470"/>
      <c r="K22" s="470"/>
      <c r="L22" s="470"/>
      <c r="M22" s="470"/>
      <c r="N22" s="421"/>
      <c r="O22" s="421"/>
      <c r="P22" s="421"/>
      <c r="Q22" s="421"/>
      <c r="R22" s="421"/>
      <c r="S22" s="421"/>
      <c r="T22" s="421"/>
      <c r="U22" s="421"/>
      <c r="V22" s="421"/>
    </row>
    <row r="23" spans="1:22" s="165" customFormat="1">
      <c r="A23" s="471">
        <f>'1-συμβολαια'!A23</f>
        <v>0</v>
      </c>
      <c r="B23" s="464" t="str">
        <f>'1-συμβολαια'!C23</f>
        <v>ΧΡΗΣΙΚΤΗΣΙΑ οικοπέδου &amp; οικίας = 1935 πατρός ΔΩΡΕΑ άτυπη</v>
      </c>
      <c r="C23" s="420">
        <f>'1-συμβολαια'!L23</f>
        <v>105.90136800000001</v>
      </c>
      <c r="D23" s="465"/>
      <c r="E23" s="465">
        <f t="shared" si="0"/>
        <v>105.90136800000001</v>
      </c>
      <c r="F23" s="421">
        <v>61</v>
      </c>
      <c r="G23" s="421">
        <v>62</v>
      </c>
      <c r="H23" s="469"/>
      <c r="I23" s="470"/>
      <c r="J23" s="470"/>
      <c r="K23" s="470"/>
      <c r="L23" s="470"/>
      <c r="M23" s="470"/>
      <c r="N23" s="421">
        <v>1</v>
      </c>
      <c r="O23" s="421"/>
      <c r="P23" s="421"/>
      <c r="Q23" s="421"/>
      <c r="R23" s="421"/>
      <c r="S23" s="421"/>
      <c r="T23" s="421"/>
      <c r="U23" s="421"/>
      <c r="V23" s="421"/>
    </row>
    <row r="24" spans="1:22" s="165" customFormat="1">
      <c r="A24" s="546">
        <f>'1-συμβολαια'!A24</f>
        <v>4616</v>
      </c>
      <c r="B24" s="464" t="str">
        <f>'1-συμβολαια'!C24</f>
        <v>δωρεά</v>
      </c>
      <c r="C24" s="420"/>
      <c r="D24" s="465"/>
      <c r="E24" s="465"/>
      <c r="F24" s="421"/>
      <c r="G24" s="421"/>
      <c r="H24" s="469"/>
      <c r="I24" s="470"/>
      <c r="J24" s="470"/>
      <c r="K24" s="470"/>
      <c r="L24" s="470"/>
      <c r="M24" s="470"/>
      <c r="N24" s="421"/>
      <c r="O24" s="421"/>
      <c r="P24" s="421"/>
      <c r="Q24" s="421"/>
      <c r="R24" s="421"/>
      <c r="S24" s="421"/>
      <c r="T24" s="421"/>
      <c r="U24" s="421"/>
      <c r="V24" s="421"/>
    </row>
    <row r="25" spans="1:22" s="165" customFormat="1">
      <c r="A25" s="546">
        <f>'1-συμβολαια'!A25</f>
        <v>0</v>
      </c>
      <c r="B25" s="464" t="str">
        <f>'1-συμβολαια'!C25</f>
        <v>ΧΡΗΣΙΚΤΗΣΙΑ αγροτεμαχίου = 1925 πατρός ΔΩΡΕΑ άτυπη</v>
      </c>
      <c r="C25" s="420">
        <f>'1-συμβολαια'!L25</f>
        <v>43.370367999999999</v>
      </c>
      <c r="D25" s="465"/>
      <c r="E25" s="465">
        <f t="shared" si="0"/>
        <v>43.370367999999999</v>
      </c>
      <c r="F25" s="421">
        <v>61</v>
      </c>
      <c r="G25" s="421">
        <v>62</v>
      </c>
      <c r="H25" s="469"/>
      <c r="I25" s="470"/>
      <c r="J25" s="470"/>
      <c r="K25" s="470"/>
      <c r="L25" s="470"/>
      <c r="M25" s="470"/>
      <c r="N25" s="421">
        <v>1</v>
      </c>
      <c r="O25" s="421"/>
      <c r="P25" s="421"/>
      <c r="Q25" s="421"/>
      <c r="R25" s="421"/>
      <c r="S25" s="421"/>
      <c r="T25" s="421"/>
      <c r="U25" s="421"/>
      <c r="V25" s="421"/>
    </row>
    <row r="26" spans="1:22" s="165" customFormat="1">
      <c r="A26" s="546">
        <f>'1-συμβολαια'!A26</f>
        <v>0</v>
      </c>
      <c r="B26" s="464" t="str">
        <f>'1-συμβολαια'!C26</f>
        <v>ΧΡΗΣΙΚΤΗΣΙΑ αγροτεμαχίου (νυν οικόπεδο) = 1975 ΑΝΑΔΑΣΜΟΣ</v>
      </c>
      <c r="C26" s="420">
        <f>'1-συμβολαια'!L26</f>
        <v>59.574767999999999</v>
      </c>
      <c r="D26" s="465"/>
      <c r="E26" s="465">
        <f t="shared" si="0"/>
        <v>59.574767999999999</v>
      </c>
      <c r="F26" s="421">
        <v>61</v>
      </c>
      <c r="G26" s="421">
        <v>62</v>
      </c>
      <c r="H26" s="469"/>
      <c r="I26" s="470"/>
      <c r="J26" s="470"/>
      <c r="K26" s="470"/>
      <c r="L26" s="470"/>
      <c r="M26" s="470"/>
      <c r="N26" s="421"/>
      <c r="O26" s="421"/>
      <c r="P26" s="421"/>
      <c r="Q26" s="421"/>
      <c r="R26" s="421"/>
      <c r="S26" s="421">
        <v>1</v>
      </c>
      <c r="T26" s="421"/>
      <c r="U26" s="421"/>
      <c r="V26" s="421"/>
    </row>
    <row r="27" spans="1:22" s="165" customFormat="1">
      <c r="A27" s="471">
        <f>'1-συμβολαια'!A27</f>
        <v>4617</v>
      </c>
      <c r="B27" s="464" t="str">
        <f>'1-συμβολαια'!C27</f>
        <v>προσύμφωνο μεταβιβάσεως ποσοστών οικοπέδου</v>
      </c>
      <c r="C27" s="420">
        <f>'1-συμβολαια'!L27</f>
        <v>91.695999999999998</v>
      </c>
      <c r="D27" s="465"/>
      <c r="E27" s="465">
        <f t="shared" si="0"/>
        <v>91.695999999999998</v>
      </c>
      <c r="F27" s="421">
        <v>61</v>
      </c>
      <c r="G27" s="421">
        <v>62</v>
      </c>
      <c r="H27" s="469"/>
      <c r="I27" s="470">
        <v>1</v>
      </c>
      <c r="J27" s="470"/>
      <c r="K27" s="470"/>
      <c r="L27" s="470"/>
      <c r="M27" s="470"/>
      <c r="N27" s="421"/>
      <c r="O27" s="421"/>
      <c r="P27" s="421"/>
      <c r="Q27" s="421"/>
      <c r="R27" s="421"/>
      <c r="S27" s="421"/>
      <c r="T27" s="421"/>
      <c r="U27" s="421"/>
      <c r="V27" s="421"/>
    </row>
    <row r="28" spans="1:22" s="165" customFormat="1">
      <c r="A28" s="471">
        <f>'1-συμβολαια'!A28</f>
        <v>0</v>
      </c>
      <c r="B28" s="464" t="str">
        <f>'1-συμβολαια'!C28</f>
        <v>εργολαβικό</v>
      </c>
      <c r="C28" s="420">
        <f>'1-συμβολαια'!L28</f>
        <v>36.398167999999998</v>
      </c>
      <c r="D28" s="465">
        <f>'1-συμβολαια'!N28</f>
        <v>46.894088000000004</v>
      </c>
      <c r="E28" s="465">
        <f t="shared" si="0"/>
        <v>-10.495920000000005</v>
      </c>
      <c r="F28" s="421">
        <v>61</v>
      </c>
      <c r="G28" s="421">
        <v>62</v>
      </c>
      <c r="H28" s="469"/>
      <c r="I28" s="470"/>
      <c r="J28" s="470"/>
      <c r="K28" s="470"/>
      <c r="L28" s="470"/>
      <c r="M28" s="470"/>
      <c r="N28" s="421"/>
      <c r="O28" s="421"/>
      <c r="P28" s="421"/>
      <c r="Q28" s="421"/>
      <c r="R28" s="421"/>
      <c r="S28" s="421"/>
      <c r="T28" s="421"/>
      <c r="U28" s="421"/>
      <c r="V28" s="421"/>
    </row>
    <row r="29" spans="1:22" s="165" customFormat="1">
      <c r="A29" s="419">
        <f>'1-συμβολαια'!A29</f>
        <v>4618</v>
      </c>
      <c r="B29" s="464" t="str">
        <f>'1-συμβολαια'!C29</f>
        <v>πληρεξούσιο</v>
      </c>
      <c r="C29" s="420"/>
      <c r="D29" s="465"/>
      <c r="E29" s="465"/>
      <c r="F29" s="421"/>
      <c r="G29" s="421"/>
      <c r="H29" s="469"/>
      <c r="I29" s="470"/>
      <c r="J29" s="470"/>
      <c r="K29" s="470"/>
      <c r="L29" s="470"/>
      <c r="M29" s="470"/>
      <c r="N29" s="421"/>
      <c r="O29" s="421"/>
      <c r="P29" s="421"/>
      <c r="Q29" s="421"/>
      <c r="R29" s="421"/>
      <c r="S29" s="421"/>
      <c r="T29" s="421"/>
      <c r="U29" s="421"/>
      <c r="V29" s="421"/>
    </row>
    <row r="30" spans="1:22" s="165" customFormat="1">
      <c r="A30" s="471">
        <f>'1-συμβολαια'!A30</f>
        <v>4619</v>
      </c>
      <c r="B30" s="464" t="str">
        <f>'1-συμβολαια'!C30</f>
        <v>αγοραπωλησίας ΠΡΟΣΥΜΦΩΝΟ τίμημα = αρραβών =</v>
      </c>
      <c r="C30" s="420"/>
      <c r="D30" s="465"/>
      <c r="E30" s="465"/>
      <c r="F30" s="421"/>
      <c r="G30" s="421"/>
      <c r="H30" s="469"/>
      <c r="I30" s="470"/>
      <c r="J30" s="470"/>
      <c r="K30" s="470"/>
      <c r="L30" s="470"/>
      <c r="M30" s="470"/>
      <c r="N30" s="421"/>
      <c r="O30" s="421"/>
      <c r="P30" s="421"/>
      <c r="Q30" s="421"/>
      <c r="R30" s="421"/>
      <c r="S30" s="421"/>
      <c r="T30" s="421"/>
      <c r="U30" s="421"/>
      <c r="V30" s="421"/>
    </row>
    <row r="31" spans="1:22" s="165" customFormat="1">
      <c r="A31" s="471">
        <f>'1-συμβολαια'!A31</f>
        <v>0</v>
      </c>
      <c r="B31" s="464" t="str">
        <f>'1-συμβολαια'!C31</f>
        <v>ΧΡΗΣΙΚΤΗΣΙΑ αγροτεμαχίου = 1975 πατρός ΔΩΡΕΑ άτυπη</v>
      </c>
      <c r="C31" s="420">
        <f>'1-συμβολαια'!L31</f>
        <v>25.180368000000001</v>
      </c>
      <c r="D31" s="465"/>
      <c r="E31" s="465">
        <f t="shared" si="0"/>
        <v>25.180368000000001</v>
      </c>
      <c r="F31" s="421">
        <v>61</v>
      </c>
      <c r="G31" s="421">
        <v>62</v>
      </c>
      <c r="H31" s="469"/>
      <c r="I31" s="470"/>
      <c r="J31" s="470"/>
      <c r="K31" s="470"/>
      <c r="L31" s="470"/>
      <c r="M31" s="470"/>
      <c r="N31" s="421">
        <v>1</v>
      </c>
      <c r="O31" s="421"/>
      <c r="P31" s="421"/>
      <c r="Q31" s="421"/>
      <c r="R31" s="421"/>
      <c r="S31" s="421"/>
      <c r="T31" s="421"/>
      <c r="U31" s="421"/>
      <c r="V31" s="421"/>
    </row>
    <row r="32" spans="1:22" s="165" customFormat="1">
      <c r="A32" s="561">
        <f>'1-συμβολαια'!A32</f>
        <v>4620</v>
      </c>
      <c r="B32" s="464" t="str">
        <f>'1-συμβολαια'!C32</f>
        <v>γονική</v>
      </c>
      <c r="C32" s="420"/>
      <c r="D32" s="465"/>
      <c r="E32" s="465"/>
      <c r="F32" s="421"/>
      <c r="G32" s="421"/>
      <c r="H32" s="469"/>
      <c r="I32" s="470"/>
      <c r="J32" s="470"/>
      <c r="K32" s="470"/>
      <c r="L32" s="470"/>
      <c r="M32" s="470"/>
      <c r="N32" s="421"/>
      <c r="O32" s="421"/>
      <c r="P32" s="421"/>
      <c r="Q32" s="421"/>
      <c r="R32" s="421"/>
      <c r="S32" s="421"/>
      <c r="T32" s="421"/>
      <c r="U32" s="421"/>
      <c r="V32" s="421"/>
    </row>
    <row r="33" spans="1:22" s="165" customFormat="1">
      <c r="A33" s="546">
        <f>'1-συμβολαια'!A33</f>
        <v>0</v>
      </c>
      <c r="B33" s="464" t="str">
        <f>'1-συμβολαια'!C33</f>
        <v>κάθετος ΣΥΣΤΑΣΗ</v>
      </c>
      <c r="C33" s="420">
        <f>'1-συμβολαια'!L33</f>
        <v>65.828599999999994</v>
      </c>
      <c r="D33" s="465"/>
      <c r="E33" s="465">
        <f t="shared" si="0"/>
        <v>65.828599999999994</v>
      </c>
      <c r="F33" s="421">
        <v>61</v>
      </c>
      <c r="G33" s="421">
        <v>62</v>
      </c>
      <c r="H33" s="469"/>
      <c r="I33" s="470"/>
      <c r="J33" s="470"/>
      <c r="K33" s="470"/>
      <c r="L33" s="470">
        <v>1</v>
      </c>
      <c r="M33" s="470"/>
      <c r="N33" s="421"/>
      <c r="O33" s="421"/>
      <c r="P33" s="421"/>
      <c r="Q33" s="421"/>
      <c r="R33" s="421"/>
      <c r="S33" s="421"/>
      <c r="T33" s="421"/>
      <c r="U33" s="421"/>
      <c r="V33" s="421"/>
    </row>
    <row r="34" spans="1:22" s="165" customFormat="1">
      <c r="A34" s="546">
        <f>'1-συμβολαια'!A34</f>
        <v>0</v>
      </c>
      <c r="B34" s="464" t="str">
        <f>'1-συμβολαια'!C34</f>
        <v>ΧΡΗΣΙΚΤΗΣΙΑ αγροτεμαχίου (νυν οικόπεδο) = 19?? ΑΝΑΔΑΣΜΟΣ</v>
      </c>
      <c r="C34" s="420">
        <f>'1-συμβολαια'!L34</f>
        <v>56.634768000000001</v>
      </c>
      <c r="D34" s="465"/>
      <c r="E34" s="465">
        <f t="shared" si="0"/>
        <v>56.634768000000001</v>
      </c>
      <c r="F34" s="421">
        <v>61</v>
      </c>
      <c r="G34" s="421">
        <v>62</v>
      </c>
      <c r="H34" s="469"/>
      <c r="I34" s="470"/>
      <c r="J34" s="470"/>
      <c r="K34" s="470"/>
      <c r="L34" s="470"/>
      <c r="M34" s="470"/>
      <c r="N34" s="421"/>
      <c r="O34" s="421"/>
      <c r="P34" s="421"/>
      <c r="Q34" s="421"/>
      <c r="R34" s="421"/>
      <c r="S34" s="421">
        <v>1</v>
      </c>
      <c r="T34" s="421"/>
      <c r="U34" s="421"/>
      <c r="V34" s="421"/>
    </row>
    <row r="35" spans="1:22" s="165" customFormat="1">
      <c r="A35" s="561">
        <f>'1-συμβολαια'!A35</f>
        <v>4621</v>
      </c>
      <c r="B35" s="464" t="str">
        <f>'1-συμβολαια'!C35</f>
        <v>γονική</v>
      </c>
      <c r="C35" s="420"/>
      <c r="D35" s="465"/>
      <c r="E35" s="465"/>
      <c r="F35" s="421"/>
      <c r="G35" s="421"/>
      <c r="H35" s="469"/>
      <c r="I35" s="470"/>
      <c r="J35" s="470"/>
      <c r="K35" s="470"/>
      <c r="L35" s="470"/>
      <c r="M35" s="470"/>
      <c r="N35" s="421"/>
      <c r="O35" s="421"/>
      <c r="P35" s="421"/>
      <c r="Q35" s="421"/>
      <c r="R35" s="421"/>
      <c r="S35" s="421"/>
      <c r="T35" s="421"/>
      <c r="U35" s="421"/>
      <c r="V35" s="421"/>
    </row>
    <row r="36" spans="1:22" s="165" customFormat="1">
      <c r="A36" s="471">
        <f>'1-συμβολαια'!A36</f>
        <v>0</v>
      </c>
      <c r="B36" s="464" t="str">
        <f>'1-συμβολαια'!C36</f>
        <v>οριζόντιος ΣΥΣΤΑΣΗ</v>
      </c>
      <c r="C36" s="420">
        <f>'1-συμβολαια'!L36</f>
        <v>81.688599999999994</v>
      </c>
      <c r="D36" s="465"/>
      <c r="E36" s="465">
        <f t="shared" si="0"/>
        <v>81.688599999999994</v>
      </c>
      <c r="F36" s="421">
        <v>61</v>
      </c>
      <c r="G36" s="421">
        <v>62</v>
      </c>
      <c r="H36" s="469"/>
      <c r="I36" s="470"/>
      <c r="J36" s="470"/>
      <c r="K36" s="470"/>
      <c r="L36" s="470">
        <v>1</v>
      </c>
      <c r="M36" s="470"/>
      <c r="N36" s="421"/>
      <c r="O36" s="421"/>
      <c r="P36" s="421"/>
      <c r="Q36" s="421"/>
      <c r="R36" s="421"/>
      <c r="S36" s="421"/>
      <c r="T36" s="421"/>
      <c r="U36" s="421"/>
      <c r="V36" s="421"/>
    </row>
    <row r="37" spans="1:22" s="165" customFormat="1">
      <c r="A37" s="419">
        <f>'1-συμβολαια'!A37</f>
        <v>4622</v>
      </c>
      <c r="B37" s="464" t="str">
        <f>'1-συμβολαια'!C37</f>
        <v>πληρεξούσιο</v>
      </c>
      <c r="C37" s="420"/>
      <c r="D37" s="465"/>
      <c r="E37" s="465"/>
      <c r="F37" s="421"/>
      <c r="G37" s="421"/>
      <c r="H37" s="469"/>
      <c r="I37" s="470"/>
      <c r="J37" s="470"/>
      <c r="K37" s="470"/>
      <c r="L37" s="470"/>
      <c r="M37" s="470"/>
      <c r="N37" s="421"/>
      <c r="O37" s="421"/>
      <c r="P37" s="421"/>
      <c r="Q37" s="421"/>
      <c r="R37" s="421"/>
      <c r="S37" s="421"/>
      <c r="T37" s="421"/>
      <c r="U37" s="421"/>
      <c r="V37" s="421"/>
    </row>
    <row r="38" spans="1:22" s="165" customFormat="1">
      <c r="A38" s="419">
        <f>'1-συμβολαια'!A38</f>
        <v>4623</v>
      </c>
      <c r="B38" s="464" t="str">
        <f>'1-συμβολαια'!C38</f>
        <v>πληρεξούσιο</v>
      </c>
      <c r="C38" s="420"/>
      <c r="D38" s="465"/>
      <c r="E38" s="465"/>
      <c r="F38" s="421"/>
      <c r="G38" s="421"/>
      <c r="H38" s="469"/>
      <c r="I38" s="470"/>
      <c r="J38" s="470"/>
      <c r="K38" s="470"/>
      <c r="L38" s="470"/>
      <c r="M38" s="470"/>
      <c r="N38" s="421"/>
      <c r="O38" s="421"/>
      <c r="P38" s="421"/>
      <c r="Q38" s="421"/>
      <c r="R38" s="421"/>
      <c r="S38" s="421"/>
      <c r="T38" s="421"/>
      <c r="U38" s="421"/>
      <c r="V38" s="421"/>
    </row>
    <row r="39" spans="1:22" s="165" customFormat="1">
      <c r="A39" s="471">
        <f>'1-συμβολαια'!A39</f>
        <v>4624</v>
      </c>
      <c r="B39" s="464" t="str">
        <f>'1-συμβολαια'!C39</f>
        <v>*γονική ΨΙΛΗΣ ΚΥΡΙΟΤΗΤΑΣ</v>
      </c>
      <c r="C39" s="420"/>
      <c r="D39" s="465"/>
      <c r="E39" s="465"/>
      <c r="F39" s="421"/>
      <c r="G39" s="421"/>
      <c r="H39" s="469"/>
      <c r="I39" s="470"/>
      <c r="J39" s="470"/>
      <c r="K39" s="470"/>
      <c r="L39" s="470"/>
      <c r="M39" s="470"/>
      <c r="N39" s="421"/>
      <c r="O39" s="421"/>
      <c r="P39" s="421"/>
      <c r="Q39" s="421"/>
      <c r="R39" s="421"/>
      <c r="S39" s="421"/>
      <c r="T39" s="421"/>
      <c r="U39" s="421"/>
      <c r="V39" s="421"/>
    </row>
    <row r="40" spans="1:22" s="165" customFormat="1">
      <c r="A40" s="471">
        <f>'1-συμβολαια'!A40</f>
        <v>0</v>
      </c>
      <c r="B40" s="464" t="str">
        <f>'1-συμβολαια'!C40</f>
        <v>ΧΡΗΣΙΚΤΗΣΙΑ οικοπέδου = 1949 πατρός ΔΩΡΕΑ άτυπη</v>
      </c>
      <c r="C40" s="420">
        <f>'1-συμβολαια'!L40</f>
        <v>71.496967999999995</v>
      </c>
      <c r="D40" s="465"/>
      <c r="E40" s="465">
        <f t="shared" si="0"/>
        <v>71.496967999999995</v>
      </c>
      <c r="F40" s="421">
        <v>61</v>
      </c>
      <c r="G40" s="421">
        <v>62</v>
      </c>
      <c r="H40" s="469"/>
      <c r="I40" s="470"/>
      <c r="J40" s="470"/>
      <c r="K40" s="470"/>
      <c r="L40" s="470"/>
      <c r="M40" s="470"/>
      <c r="N40" s="421">
        <v>1</v>
      </c>
      <c r="O40" s="421"/>
      <c r="P40" s="421"/>
      <c r="Q40" s="421"/>
      <c r="R40" s="421"/>
      <c r="S40" s="421"/>
      <c r="T40" s="421"/>
      <c r="U40" s="421"/>
      <c r="V40" s="421"/>
    </row>
    <row r="41" spans="1:22" s="165" customFormat="1">
      <c r="A41" s="471">
        <f>'1-συμβολαια'!A41</f>
        <v>0</v>
      </c>
      <c r="B41" s="464" t="str">
        <f>'1-συμβολαια'!C41</f>
        <v>ΧΡΗΣΙΚΤΗΣΙΑ αγροτεμαχίων = 1963 αγοραπωλησίας ΒΑΣΕΙ προσυμφώνου ΜΗ εκτελεσθέντος</v>
      </c>
      <c r="C41" s="420">
        <f>'1-συμβολαια'!L41</f>
        <v>37.500368000000002</v>
      </c>
      <c r="D41" s="465"/>
      <c r="E41" s="465">
        <f t="shared" si="0"/>
        <v>37.500368000000002</v>
      </c>
      <c r="F41" s="421">
        <v>61</v>
      </c>
      <c r="G41" s="421">
        <v>62</v>
      </c>
      <c r="H41" s="469"/>
      <c r="I41" s="470"/>
      <c r="J41" s="470"/>
      <c r="K41" s="470"/>
      <c r="L41" s="470"/>
      <c r="M41" s="470"/>
      <c r="N41" s="421"/>
      <c r="O41" s="421">
        <v>1</v>
      </c>
      <c r="P41" s="421"/>
      <c r="Q41" s="421"/>
      <c r="R41" s="421"/>
      <c r="S41" s="421"/>
      <c r="T41" s="421"/>
      <c r="U41" s="421"/>
      <c r="V41" s="421"/>
    </row>
    <row r="42" spans="1:22" s="165" customFormat="1">
      <c r="A42" s="546">
        <f>'1-συμβολαια'!A42</f>
        <v>4625</v>
      </c>
      <c r="B42" s="464" t="str">
        <f>'1-συμβολαια'!C42</f>
        <v>*γονική ΨΙΛΗΣ ΚΥΡΙΟΤΗΤΑΣ</v>
      </c>
      <c r="C42" s="420"/>
      <c r="D42" s="465"/>
      <c r="E42" s="465"/>
      <c r="F42" s="421"/>
      <c r="G42" s="421"/>
      <c r="H42" s="469"/>
      <c r="I42" s="470"/>
      <c r="J42" s="470"/>
      <c r="K42" s="470"/>
      <c r="L42" s="470"/>
      <c r="M42" s="470"/>
      <c r="N42" s="421"/>
      <c r="O42" s="421"/>
      <c r="P42" s="421"/>
      <c r="Q42" s="421"/>
      <c r="R42" s="421"/>
      <c r="S42" s="421"/>
      <c r="T42" s="421"/>
      <c r="U42" s="421"/>
      <c r="V42" s="421"/>
    </row>
    <row r="43" spans="1:22" s="165" customFormat="1">
      <c r="A43" s="546">
        <f>'1-συμβολαια'!A43</f>
        <v>0</v>
      </c>
      <c r="B43" s="464" t="str">
        <f>'1-συμβολαια'!C43</f>
        <v>ΧΡΗΣΙΚΤΗΣΙΑ αγροτεμαχίου = 19?? πατρός ΔΩΡΕΑ άτυπη</v>
      </c>
      <c r="C43" s="420">
        <f>'1-συμβολαια'!L43</f>
        <v>34.570368000000002</v>
      </c>
      <c r="D43" s="465"/>
      <c r="E43" s="465">
        <f t="shared" si="0"/>
        <v>34.570368000000002</v>
      </c>
      <c r="F43" s="421">
        <v>61</v>
      </c>
      <c r="G43" s="421">
        <v>62</v>
      </c>
      <c r="H43" s="469"/>
      <c r="I43" s="470"/>
      <c r="J43" s="470"/>
      <c r="K43" s="470"/>
      <c r="L43" s="470"/>
      <c r="M43" s="470"/>
      <c r="N43" s="421">
        <v>1</v>
      </c>
      <c r="O43" s="421"/>
      <c r="P43" s="421"/>
      <c r="Q43" s="421"/>
      <c r="R43" s="421"/>
      <c r="S43" s="421"/>
      <c r="T43" s="421"/>
      <c r="U43" s="421"/>
      <c r="V43" s="421"/>
    </row>
    <row r="44" spans="1:22" s="165" customFormat="1">
      <c r="A44" s="471">
        <f>'1-συμβολαια'!A44</f>
        <v>4626</v>
      </c>
      <c r="B44" s="464" t="str">
        <f>'1-συμβολαια'!C44</f>
        <v>*γονική ΨΙΛΗΣ ΚΥΡΙΟΤΗΤΑΣ</v>
      </c>
      <c r="C44" s="420"/>
      <c r="D44" s="465"/>
      <c r="E44" s="465"/>
      <c r="F44" s="421"/>
      <c r="G44" s="421"/>
      <c r="H44" s="469"/>
      <c r="I44" s="470"/>
      <c r="J44" s="470"/>
      <c r="K44" s="470"/>
      <c r="L44" s="470"/>
      <c r="M44" s="470"/>
      <c r="N44" s="421"/>
      <c r="O44" s="421"/>
      <c r="P44" s="421"/>
      <c r="Q44" s="421"/>
      <c r="R44" s="421"/>
      <c r="S44" s="421"/>
      <c r="T44" s="421"/>
      <c r="U44" s="421"/>
      <c r="V44" s="421"/>
    </row>
    <row r="45" spans="1:22" s="165" customFormat="1">
      <c r="A45" s="471">
        <f>'1-συμβολαια'!A45</f>
        <v>0</v>
      </c>
      <c r="B45" s="464" t="str">
        <f>'1-συμβολαια'!C45</f>
        <v>ΧΡΗΣΙΚΤΗΣΙΑ αγροτεμαχίου = 1979 ΑΝΑΔΑΣΜΟΣ</v>
      </c>
      <c r="C45" s="420">
        <f>'1-συμβολαια'!L45</f>
        <v>37.500368000000002</v>
      </c>
      <c r="D45" s="465"/>
      <c r="E45" s="465">
        <f t="shared" si="0"/>
        <v>37.500368000000002</v>
      </c>
      <c r="F45" s="421">
        <v>61</v>
      </c>
      <c r="G45" s="421">
        <v>62</v>
      </c>
      <c r="H45" s="469"/>
      <c r="I45" s="470"/>
      <c r="J45" s="470"/>
      <c r="K45" s="470"/>
      <c r="L45" s="470"/>
      <c r="M45" s="470"/>
      <c r="N45" s="421"/>
      <c r="O45" s="421"/>
      <c r="P45" s="421"/>
      <c r="Q45" s="421"/>
      <c r="R45" s="421"/>
      <c r="S45" s="421">
        <v>1</v>
      </c>
      <c r="T45" s="421"/>
      <c r="U45" s="421"/>
      <c r="V45" s="421"/>
    </row>
    <row r="46" spans="1:22" s="165" customFormat="1">
      <c r="A46" s="471">
        <f>'1-συμβολαια'!A46</f>
        <v>0</v>
      </c>
      <c r="B46" s="464" t="str">
        <f>'1-συμβολαια'!C46</f>
        <v>ΧΡΗΣΙΚΤΗΣΙΑ αγροτεμαχίων = 1957 τακοΑναστασιο ΑΓΟΡΑΠΩΛΗΣΙΑ άτυπη</v>
      </c>
      <c r="C46" s="420">
        <f>'1-συμβολαια'!L46</f>
        <v>37.500368000000002</v>
      </c>
      <c r="D46" s="465"/>
      <c r="E46" s="465">
        <f t="shared" si="0"/>
        <v>37.500368000000002</v>
      </c>
      <c r="F46" s="421">
        <v>61</v>
      </c>
      <c r="G46" s="421">
        <v>62</v>
      </c>
      <c r="H46" s="469"/>
      <c r="I46" s="470"/>
      <c r="J46" s="470"/>
      <c r="K46" s="470"/>
      <c r="L46" s="470"/>
      <c r="M46" s="470"/>
      <c r="N46" s="421"/>
      <c r="O46" s="421"/>
      <c r="P46" s="421"/>
      <c r="Q46" s="421"/>
      <c r="R46" s="421"/>
      <c r="S46" s="421"/>
      <c r="T46" s="421"/>
      <c r="U46" s="421"/>
      <c r="V46" s="421"/>
    </row>
    <row r="47" spans="1:22" s="165" customFormat="1">
      <c r="A47" s="546">
        <f>'1-συμβολαια'!A47</f>
        <v>4627</v>
      </c>
      <c r="B47" s="464" t="str">
        <f>'1-συμβολαια'!C47</f>
        <v>*δωρεά ΑΙΤΙΑ θανάτου</v>
      </c>
      <c r="C47" s="420"/>
      <c r="D47" s="465"/>
      <c r="E47" s="465"/>
      <c r="F47" s="421"/>
      <c r="G47" s="421"/>
      <c r="H47" s="469"/>
      <c r="I47" s="470"/>
      <c r="J47" s="470"/>
      <c r="K47" s="470"/>
      <c r="L47" s="470"/>
      <c r="M47" s="470"/>
      <c r="N47" s="421"/>
      <c r="O47" s="421"/>
      <c r="P47" s="421"/>
      <c r="Q47" s="421"/>
      <c r="R47" s="421"/>
      <c r="S47" s="421"/>
      <c r="T47" s="421"/>
      <c r="U47" s="421"/>
      <c r="V47" s="421"/>
    </row>
    <row r="48" spans="1:22" s="165" customFormat="1">
      <c r="A48" s="546">
        <f>'1-συμβολαια'!A48</f>
        <v>0</v>
      </c>
      <c r="B48" s="464" t="str">
        <f>'1-συμβολαια'!C48</f>
        <v>ΧΡΗΣΙΚΤΗΣΙΑ αγροτεμαχίου [νυν οικόπεδο ΜΕ οικοδομή] ] = 1970 ΑΝΑΔΑΣΜΟΣ</v>
      </c>
      <c r="C48" s="420">
        <f>'1-συμβολαια'!L48</f>
        <v>22.250368000000002</v>
      </c>
      <c r="D48" s="465"/>
      <c r="E48" s="465">
        <f t="shared" si="0"/>
        <v>22.250368000000002</v>
      </c>
      <c r="F48" s="421">
        <v>61</v>
      </c>
      <c r="G48" s="421">
        <v>62</v>
      </c>
      <c r="H48" s="469"/>
      <c r="I48" s="470"/>
      <c r="J48" s="470"/>
      <c r="K48" s="470"/>
      <c r="L48" s="470"/>
      <c r="M48" s="470"/>
      <c r="N48" s="421"/>
      <c r="O48" s="421"/>
      <c r="P48" s="421"/>
      <c r="Q48" s="421"/>
      <c r="R48" s="421"/>
      <c r="S48" s="421">
        <v>1</v>
      </c>
      <c r="T48" s="421"/>
      <c r="U48" s="421"/>
      <c r="V48" s="421"/>
    </row>
    <row r="49" spans="1:22" s="165" customFormat="1">
      <c r="A49" s="546">
        <f>'1-συμβολαια'!A49</f>
        <v>0</v>
      </c>
      <c r="B49" s="464" t="str">
        <f>'1-συμβολαια'!C49</f>
        <v>*γονικής 1262  ΕΠΙΚΑΡΠΙΑ …  ΔΩΡΕΑ αιτία θανάτου</v>
      </c>
      <c r="C49" s="420">
        <f>'1-συμβολαια'!L49</f>
        <v>120.355768</v>
      </c>
      <c r="D49" s="465"/>
      <c r="E49" s="465">
        <f t="shared" si="0"/>
        <v>120.355768</v>
      </c>
      <c r="F49" s="421">
        <v>61</v>
      </c>
      <c r="G49" s="421">
        <v>62</v>
      </c>
      <c r="H49" s="469"/>
      <c r="I49" s="470"/>
      <c r="J49" s="470"/>
      <c r="K49" s="470"/>
      <c r="L49" s="470"/>
      <c r="M49" s="470"/>
      <c r="N49" s="421"/>
      <c r="O49" s="421"/>
      <c r="P49" s="421"/>
      <c r="Q49" s="421"/>
      <c r="R49" s="421">
        <v>1</v>
      </c>
      <c r="S49" s="421"/>
      <c r="T49" s="421"/>
      <c r="U49" s="421"/>
      <c r="V49" s="421"/>
    </row>
    <row r="50" spans="1:22" s="165" customFormat="1">
      <c r="A50" s="419">
        <f>'1-συμβολαια'!A50</f>
        <v>4628</v>
      </c>
      <c r="B50" s="464" t="str">
        <f>'1-συμβολαια'!C50</f>
        <v>πληρεξούσιο</v>
      </c>
      <c r="C50" s="420"/>
      <c r="D50" s="465"/>
      <c r="E50" s="465"/>
      <c r="F50" s="421"/>
      <c r="G50" s="421"/>
      <c r="H50" s="469"/>
      <c r="I50" s="470"/>
      <c r="J50" s="470"/>
      <c r="K50" s="470"/>
      <c r="L50" s="470"/>
      <c r="M50" s="470"/>
      <c r="N50" s="421"/>
      <c r="O50" s="421"/>
      <c r="P50" s="421"/>
      <c r="Q50" s="421"/>
      <c r="R50" s="421"/>
      <c r="S50" s="421"/>
      <c r="T50" s="421"/>
      <c r="U50" s="421"/>
      <c r="V50" s="421"/>
    </row>
    <row r="51" spans="1:22" s="165" customFormat="1">
      <c r="A51" s="471">
        <f>'1-συμβολαια'!A51</f>
        <v>4629</v>
      </c>
      <c r="B51" s="464" t="str">
        <f>'1-συμβολαια'!C51</f>
        <v>κληρονομιάς ΑΠΟΔΟΧΗ</v>
      </c>
      <c r="C51" s="420"/>
      <c r="D51" s="465"/>
      <c r="E51" s="465"/>
      <c r="F51" s="421"/>
      <c r="G51" s="421"/>
      <c r="H51" s="469"/>
      <c r="I51" s="470"/>
      <c r="J51" s="470"/>
      <c r="K51" s="470"/>
      <c r="L51" s="470"/>
      <c r="M51" s="470"/>
      <c r="N51" s="421"/>
      <c r="O51" s="421"/>
      <c r="P51" s="421"/>
      <c r="Q51" s="421"/>
      <c r="R51" s="421"/>
      <c r="S51" s="421"/>
      <c r="T51" s="421"/>
      <c r="U51" s="421"/>
      <c r="V51" s="421"/>
    </row>
    <row r="52" spans="1:22" s="165" customFormat="1">
      <c r="A52" s="471">
        <f>'1-συμβολαια'!A52</f>
        <v>0</v>
      </c>
      <c r="B52" s="464" t="str">
        <f>'1-συμβολαια'!C52</f>
        <v>ΧΡΗΣΙΚΤΗΣΙΑ αγροτεμαχίου = 1980 πατρός ΚΛΗΡΟΝΟΜΙΑ άτυπη</v>
      </c>
      <c r="C52" s="420">
        <f>'1-συμβολαια'!L52</f>
        <v>33.590564000000001</v>
      </c>
      <c r="D52" s="465"/>
      <c r="E52" s="465">
        <f t="shared" si="0"/>
        <v>33.590564000000001</v>
      </c>
      <c r="F52" s="421">
        <v>61</v>
      </c>
      <c r="G52" s="421">
        <v>62</v>
      </c>
      <c r="H52" s="469"/>
      <c r="I52" s="470"/>
      <c r="J52" s="470">
        <v>1</v>
      </c>
      <c r="K52" s="470"/>
      <c r="L52" s="470"/>
      <c r="M52" s="470"/>
      <c r="N52" s="421"/>
      <c r="O52" s="421"/>
      <c r="P52" s="421"/>
      <c r="Q52" s="421"/>
      <c r="R52" s="421"/>
      <c r="S52" s="421"/>
      <c r="T52" s="421"/>
      <c r="U52" s="421"/>
      <c r="V52" s="421"/>
    </row>
    <row r="53" spans="1:22" s="165" customFormat="1">
      <c r="A53" s="471">
        <f>'1-συμβολαια'!A53</f>
        <v>0</v>
      </c>
      <c r="B53" s="464" t="str">
        <f>'1-συμβολαια'!C53</f>
        <v>ΧΡΗΣΙΚΤΗΣΙΑ αγροτεμαχίου = 1980 ΔΙΑΝΟΜΗ άτυπη</v>
      </c>
      <c r="C53" s="420">
        <f>'1-συμβολαια'!L53</f>
        <v>23.492000000000004</v>
      </c>
      <c r="D53" s="465"/>
      <c r="E53" s="465">
        <f t="shared" si="0"/>
        <v>23.492000000000004</v>
      </c>
      <c r="F53" s="421">
        <v>61</v>
      </c>
      <c r="G53" s="421">
        <v>62</v>
      </c>
      <c r="H53" s="469"/>
      <c r="I53" s="470"/>
      <c r="J53" s="470"/>
      <c r="K53" s="470"/>
      <c r="L53" s="470">
        <v>1</v>
      </c>
      <c r="M53" s="470"/>
      <c r="N53" s="421"/>
      <c r="O53" s="421"/>
      <c r="P53" s="421"/>
      <c r="Q53" s="421"/>
      <c r="R53" s="421"/>
      <c r="S53" s="421"/>
      <c r="T53" s="421"/>
      <c r="U53" s="421"/>
      <c r="V53" s="421"/>
    </row>
    <row r="54" spans="1:22" s="165" customFormat="1">
      <c r="A54" s="546">
        <f>'1-συμβολαια'!A54</f>
        <v>4630</v>
      </c>
      <c r="B54" s="464" t="str">
        <f>'1-συμβολαια'!C54</f>
        <v xml:space="preserve">αγοραπωλησίας ΠΡΟΣΥΜΦΩΝΟ τίμημα = αρραβών = </v>
      </c>
      <c r="C54" s="420"/>
      <c r="D54" s="465"/>
      <c r="E54" s="465"/>
      <c r="F54" s="421"/>
      <c r="G54" s="421"/>
      <c r="H54" s="469"/>
      <c r="I54" s="470"/>
      <c r="J54" s="470"/>
      <c r="K54" s="470"/>
      <c r="L54" s="470"/>
      <c r="M54" s="470"/>
      <c r="N54" s="421"/>
      <c r="O54" s="421"/>
      <c r="P54" s="421"/>
      <c r="Q54" s="421"/>
      <c r="R54" s="421"/>
      <c r="S54" s="421"/>
      <c r="T54" s="421"/>
      <c r="U54" s="421"/>
      <c r="V54" s="421"/>
    </row>
    <row r="55" spans="1:22" s="165" customFormat="1">
      <c r="A55" s="546">
        <f>'1-συμβολαια'!A55</f>
        <v>0</v>
      </c>
      <c r="B55" s="464" t="str">
        <f>'1-συμβολαια'!C55</f>
        <v>ΧΡΗΣΙΚΤΗΣΙΑ αγροτεμαχίου = 1970 συζύγου ΔΩΡΕΑ άτυπη</v>
      </c>
      <c r="C55" s="420">
        <f>'1-συμβολαια'!L55</f>
        <v>70.509168000000003</v>
      </c>
      <c r="D55" s="465"/>
      <c r="E55" s="465">
        <f t="shared" si="0"/>
        <v>70.509168000000003</v>
      </c>
      <c r="F55" s="421">
        <v>61</v>
      </c>
      <c r="G55" s="421">
        <v>62</v>
      </c>
      <c r="H55" s="469"/>
      <c r="I55" s="470"/>
      <c r="J55" s="470"/>
      <c r="K55" s="470"/>
      <c r="L55" s="470"/>
      <c r="M55" s="470"/>
      <c r="N55" s="421"/>
      <c r="O55" s="421"/>
      <c r="P55" s="421"/>
      <c r="Q55" s="421"/>
      <c r="R55" s="421"/>
      <c r="S55" s="421"/>
      <c r="T55" s="421"/>
      <c r="U55" s="421"/>
      <c r="V55" s="421"/>
    </row>
    <row r="56" spans="1:22" s="165" customFormat="1">
      <c r="A56" s="419">
        <f>'1-συμβολαια'!A56</f>
        <v>4631</v>
      </c>
      <c r="B56" s="464" t="str">
        <f>'1-συμβολαια'!C56</f>
        <v>αγοραπωλησίας 4.191 ΕΞΟΦΛΗΣΗ</v>
      </c>
      <c r="C56" s="420"/>
      <c r="D56" s="465"/>
      <c r="E56" s="465"/>
      <c r="F56" s="421"/>
      <c r="G56" s="421"/>
      <c r="H56" s="469"/>
      <c r="I56" s="470"/>
      <c r="J56" s="470"/>
      <c r="K56" s="470"/>
      <c r="L56" s="470"/>
      <c r="M56" s="470"/>
      <c r="N56" s="421"/>
      <c r="O56" s="421"/>
      <c r="P56" s="421"/>
      <c r="Q56" s="421"/>
      <c r="R56" s="421"/>
      <c r="S56" s="421"/>
      <c r="T56" s="421"/>
      <c r="U56" s="421"/>
      <c r="V56" s="421"/>
    </row>
    <row r="57" spans="1:22" s="165" customFormat="1">
      <c r="A57" s="419"/>
      <c r="B57" s="464"/>
      <c r="C57" s="420"/>
      <c r="D57" s="465"/>
      <c r="E57" s="465"/>
      <c r="F57" s="421"/>
      <c r="G57" s="421"/>
      <c r="H57" s="469"/>
      <c r="I57" s="470"/>
      <c r="J57" s="470"/>
      <c r="K57" s="470"/>
      <c r="L57" s="470"/>
      <c r="M57" s="470"/>
      <c r="N57" s="421"/>
      <c r="O57" s="421"/>
      <c r="P57" s="421"/>
      <c r="Q57" s="421"/>
      <c r="R57" s="421"/>
      <c r="S57" s="421"/>
      <c r="T57" s="421"/>
      <c r="U57" s="421"/>
      <c r="V57" s="421"/>
    </row>
    <row r="58" spans="1:22" s="165" customFormat="1">
      <c r="A58" s="419"/>
      <c r="B58" s="464"/>
      <c r="C58" s="420"/>
      <c r="D58" s="465"/>
      <c r="E58" s="465"/>
      <c r="F58" s="421"/>
      <c r="G58" s="421"/>
      <c r="H58" s="469"/>
      <c r="I58" s="470"/>
      <c r="J58" s="470"/>
      <c r="K58" s="470"/>
      <c r="L58" s="470"/>
      <c r="M58" s="470"/>
      <c r="N58" s="421"/>
      <c r="O58" s="421"/>
      <c r="P58" s="421"/>
      <c r="Q58" s="421"/>
      <c r="R58" s="421"/>
      <c r="S58" s="421"/>
      <c r="T58" s="421"/>
      <c r="U58" s="421"/>
      <c r="V58" s="421"/>
    </row>
    <row r="59" spans="1:22" ht="15.75">
      <c r="A59" s="638" t="s">
        <v>47</v>
      </c>
      <c r="B59" s="639"/>
      <c r="C59" s="122">
        <f>SUM(C3:C58)</f>
        <v>1280.2701200000001</v>
      </c>
      <c r="D59" s="132">
        <f>SUM(D3:D58)</f>
        <v>46.894088000000004</v>
      </c>
      <c r="E59" s="132">
        <f>SUM(E3:E58)</f>
        <v>1233.3760320000001</v>
      </c>
      <c r="I59" s="84">
        <f t="shared" ref="I59:T59" si="1">SUM(I3:I58)</f>
        <v>2</v>
      </c>
      <c r="J59" s="84">
        <f t="shared" si="1"/>
        <v>1</v>
      </c>
      <c r="K59" s="84">
        <f t="shared" si="1"/>
        <v>0</v>
      </c>
      <c r="L59" s="84">
        <f t="shared" si="1"/>
        <v>3</v>
      </c>
      <c r="M59" s="84">
        <f t="shared" si="1"/>
        <v>0</v>
      </c>
      <c r="N59" s="84">
        <f t="shared" si="1"/>
        <v>6</v>
      </c>
      <c r="O59" s="84">
        <f t="shared" si="1"/>
        <v>2</v>
      </c>
      <c r="P59" s="84">
        <f t="shared" si="1"/>
        <v>0</v>
      </c>
      <c r="Q59" s="84">
        <f t="shared" si="1"/>
        <v>0</v>
      </c>
      <c r="R59" s="84">
        <f t="shared" si="1"/>
        <v>1</v>
      </c>
      <c r="S59" s="84">
        <f t="shared" si="1"/>
        <v>5</v>
      </c>
      <c r="T59" s="84">
        <f t="shared" si="1"/>
        <v>0</v>
      </c>
    </row>
    <row r="60" spans="1:22"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</row>
    <row r="61" spans="1:22" ht="15.75">
      <c r="F61" s="182" t="s">
        <v>265</v>
      </c>
      <c r="G61" s="152"/>
      <c r="H61" s="345"/>
      <c r="I61" s="345"/>
      <c r="J61" s="345"/>
      <c r="K61" s="345"/>
      <c r="L61" s="345"/>
      <c r="M61" s="345"/>
      <c r="N61" s="345"/>
      <c r="O61" s="345"/>
      <c r="P61" s="345"/>
      <c r="Q61" s="345"/>
      <c r="R61" s="345"/>
      <c r="S61" s="345"/>
      <c r="T61" s="345"/>
      <c r="U61" s="345"/>
      <c r="V61" s="346"/>
    </row>
    <row r="62" spans="1:22" ht="15.75">
      <c r="F62" s="347"/>
      <c r="G62" s="168" t="s">
        <v>266</v>
      </c>
      <c r="H62" s="345"/>
      <c r="I62" s="345"/>
      <c r="J62" s="345"/>
      <c r="K62" s="345"/>
      <c r="L62" s="345"/>
      <c r="M62" s="345"/>
      <c r="N62" s="345"/>
      <c r="O62" s="345"/>
      <c r="P62" s="345"/>
      <c r="Q62" s="345"/>
      <c r="R62" s="345"/>
      <c r="S62" s="345"/>
      <c r="T62" s="345"/>
      <c r="U62" s="345"/>
      <c r="V62" s="346"/>
    </row>
    <row r="63" spans="1:22" ht="15.75">
      <c r="F63" s="346"/>
      <c r="G63" s="346"/>
      <c r="H63" s="182" t="s">
        <v>267</v>
      </c>
      <c r="I63" s="152"/>
      <c r="J63" s="152"/>
      <c r="K63" s="152"/>
      <c r="L63" s="345"/>
      <c r="M63" s="345"/>
      <c r="N63" s="345"/>
      <c r="O63" s="345"/>
      <c r="P63" s="345"/>
      <c r="Q63" s="345"/>
      <c r="R63" s="345"/>
      <c r="S63" s="345"/>
      <c r="T63" s="345"/>
      <c r="U63" s="345"/>
      <c r="V63" s="346"/>
    </row>
    <row r="64" spans="1:22" ht="15.75">
      <c r="F64" s="346"/>
      <c r="G64" s="347"/>
      <c r="H64" s="346"/>
      <c r="I64" s="168" t="s">
        <v>291</v>
      </c>
      <c r="J64" s="168"/>
      <c r="K64" s="168"/>
      <c r="L64" s="348"/>
      <c r="M64" s="348"/>
      <c r="N64" s="348"/>
      <c r="O64" s="348"/>
      <c r="P64" s="348"/>
      <c r="Q64" s="348"/>
      <c r="R64" s="348"/>
      <c r="S64" s="348"/>
      <c r="T64" s="348"/>
      <c r="U64" s="345"/>
      <c r="V64" s="346"/>
    </row>
    <row r="65" spans="2:22" ht="15.75">
      <c r="F65" s="346"/>
      <c r="G65" s="347"/>
      <c r="H65" s="346"/>
      <c r="I65" s="168"/>
      <c r="J65" s="182" t="s">
        <v>478</v>
      </c>
      <c r="K65" s="168"/>
      <c r="L65" s="348"/>
      <c r="M65" s="348"/>
      <c r="N65" s="348"/>
      <c r="O65" s="348"/>
      <c r="P65" s="348"/>
      <c r="Q65" s="348"/>
      <c r="R65" s="348"/>
      <c r="S65" s="348"/>
      <c r="T65" s="348"/>
      <c r="U65" s="345"/>
      <c r="V65" s="346"/>
    </row>
    <row r="66" spans="2:22" ht="15.75">
      <c r="F66" s="346"/>
      <c r="G66" s="347"/>
      <c r="H66" s="346"/>
      <c r="I66" s="168"/>
      <c r="J66" s="168"/>
      <c r="K66" s="168" t="s">
        <v>479</v>
      </c>
      <c r="L66" s="348"/>
      <c r="M66" s="348"/>
      <c r="N66" s="348"/>
      <c r="O66" s="348"/>
      <c r="P66" s="348"/>
      <c r="Q66" s="348"/>
      <c r="R66" s="348"/>
      <c r="S66" s="348"/>
      <c r="T66" s="348"/>
      <c r="U66" s="345"/>
      <c r="V66" s="346"/>
    </row>
    <row r="67" spans="2:22" ht="15.75">
      <c r="F67" s="346"/>
      <c r="G67" s="346"/>
      <c r="H67" s="345"/>
      <c r="I67" s="348"/>
      <c r="J67" s="348"/>
      <c r="K67" s="348"/>
      <c r="L67" s="182" t="s">
        <v>480</v>
      </c>
      <c r="M67" s="348"/>
      <c r="N67" s="348"/>
      <c r="O67" s="348"/>
      <c r="P67" s="348"/>
      <c r="Q67" s="348"/>
      <c r="R67" s="348"/>
      <c r="S67" s="348"/>
      <c r="T67" s="348"/>
      <c r="U67" s="345"/>
      <c r="V67" s="346"/>
    </row>
    <row r="68" spans="2:22" ht="15.75">
      <c r="C68" s="130">
        <f>SUM(C60:C61)</f>
        <v>0</v>
      </c>
      <c r="F68" s="345"/>
      <c r="G68" s="345"/>
      <c r="H68" s="345"/>
      <c r="I68" s="348"/>
      <c r="J68" s="348"/>
      <c r="K68" s="348"/>
      <c r="L68" s="348"/>
      <c r="M68" s="168" t="s">
        <v>292</v>
      </c>
      <c r="N68" s="348"/>
      <c r="O68" s="348"/>
      <c r="P68" s="348"/>
      <c r="Q68" s="348"/>
      <c r="R68" s="348"/>
      <c r="S68" s="348"/>
      <c r="T68" s="348"/>
      <c r="U68" s="345"/>
      <c r="V68" s="346"/>
    </row>
    <row r="69" spans="2:22" ht="15.75">
      <c r="F69" s="346"/>
      <c r="G69" s="346"/>
      <c r="H69" s="345"/>
      <c r="I69" s="348"/>
      <c r="J69" s="348"/>
      <c r="K69" s="348"/>
      <c r="L69" s="348"/>
      <c r="M69" s="348"/>
      <c r="N69" s="182" t="s">
        <v>481</v>
      </c>
      <c r="O69" s="348"/>
      <c r="P69" s="348"/>
      <c r="Q69" s="348"/>
      <c r="R69" s="348"/>
      <c r="S69" s="348"/>
      <c r="T69" s="348"/>
      <c r="U69" s="345"/>
      <c r="V69" s="346"/>
    </row>
    <row r="70" spans="2:22" ht="15.75">
      <c r="F70" s="346"/>
      <c r="G70" s="346"/>
      <c r="H70" s="345"/>
      <c r="I70" s="348"/>
      <c r="J70" s="348"/>
      <c r="K70" s="348"/>
      <c r="L70" s="348"/>
      <c r="M70" s="348"/>
      <c r="N70" s="348"/>
      <c r="O70" s="168" t="s">
        <v>482</v>
      </c>
      <c r="P70" s="348"/>
      <c r="Q70" s="348"/>
      <c r="R70" s="348"/>
      <c r="S70" s="348"/>
      <c r="T70" s="348"/>
      <c r="U70" s="345"/>
      <c r="V70" s="346"/>
    </row>
    <row r="71" spans="2:22" ht="15.75">
      <c r="F71" s="346"/>
      <c r="G71" s="346"/>
      <c r="H71" s="345"/>
      <c r="I71" s="348"/>
      <c r="J71" s="348"/>
      <c r="K71" s="348"/>
      <c r="L71" s="348"/>
      <c r="M71" s="348"/>
      <c r="N71" s="348"/>
      <c r="O71" s="348"/>
      <c r="P71" s="182" t="s">
        <v>293</v>
      </c>
      <c r="Q71" s="348"/>
      <c r="R71" s="348"/>
      <c r="S71" s="348"/>
      <c r="T71" s="348"/>
      <c r="U71" s="345"/>
      <c r="V71" s="346"/>
    </row>
    <row r="72" spans="2:22" ht="15.75">
      <c r="F72" s="346"/>
      <c r="G72" s="346"/>
      <c r="H72" s="345"/>
      <c r="I72" s="348"/>
      <c r="J72" s="348"/>
      <c r="K72" s="348"/>
      <c r="L72" s="348"/>
      <c r="M72" s="348"/>
      <c r="N72" s="348"/>
      <c r="O72" s="348"/>
      <c r="P72" s="348"/>
      <c r="Q72" s="168" t="s">
        <v>294</v>
      </c>
      <c r="R72" s="168"/>
      <c r="S72" s="168"/>
      <c r="T72" s="348"/>
      <c r="U72" s="345"/>
      <c r="V72" s="346"/>
    </row>
    <row r="73" spans="2:22" ht="15.75">
      <c r="F73" s="346"/>
      <c r="G73" s="346"/>
      <c r="H73" s="345"/>
      <c r="I73" s="348"/>
      <c r="J73" s="348"/>
      <c r="K73" s="348"/>
      <c r="L73" s="348"/>
      <c r="M73" s="348"/>
      <c r="N73" s="348"/>
      <c r="O73" s="348"/>
      <c r="P73" s="348"/>
      <c r="Q73" s="348"/>
      <c r="R73" s="182" t="s">
        <v>295</v>
      </c>
      <c r="S73" s="348"/>
      <c r="T73" s="348"/>
      <c r="U73" s="345"/>
      <c r="V73" s="346"/>
    </row>
    <row r="74" spans="2:22" ht="15.75">
      <c r="F74" s="346"/>
      <c r="G74" s="346"/>
      <c r="H74" s="345"/>
      <c r="I74" s="348"/>
      <c r="J74" s="348"/>
      <c r="K74" s="348"/>
      <c r="L74" s="348"/>
      <c r="M74" s="348"/>
      <c r="N74" s="348"/>
      <c r="O74" s="348"/>
      <c r="P74" s="348"/>
      <c r="Q74" s="348"/>
      <c r="R74" s="348"/>
      <c r="S74" s="168" t="s">
        <v>296</v>
      </c>
      <c r="T74" s="348"/>
      <c r="U74" s="345"/>
      <c r="V74" s="346"/>
    </row>
    <row r="75" spans="2:22" ht="15.75">
      <c r="F75" s="346"/>
      <c r="G75" s="346"/>
      <c r="H75" s="345"/>
      <c r="I75" s="348"/>
      <c r="J75" s="348"/>
      <c r="K75" s="348"/>
      <c r="L75" s="348"/>
      <c r="M75" s="348"/>
      <c r="N75" s="348"/>
      <c r="O75" s="348"/>
      <c r="P75" s="348"/>
      <c r="Q75" s="348"/>
      <c r="R75" s="348"/>
      <c r="S75" s="348"/>
      <c r="T75" s="182" t="s">
        <v>483</v>
      </c>
      <c r="U75" s="345"/>
      <c r="V75" s="346"/>
    </row>
    <row r="76" spans="2:22">
      <c r="F76" s="346"/>
      <c r="G76" s="346"/>
      <c r="H76" s="345"/>
      <c r="I76" s="345"/>
      <c r="J76" s="345"/>
      <c r="K76" s="345"/>
      <c r="L76" s="345"/>
      <c r="M76" s="345"/>
      <c r="N76" s="345"/>
      <c r="O76" s="345"/>
      <c r="P76" s="345"/>
      <c r="Q76" s="345"/>
      <c r="R76" s="345"/>
      <c r="S76" s="345"/>
      <c r="T76" s="345"/>
      <c r="U76" s="345"/>
      <c r="V76" s="346"/>
    </row>
    <row r="77" spans="2:22" ht="15.75" customHeight="1">
      <c r="B77" s="255" t="s">
        <v>613</v>
      </c>
      <c r="C77" s="384">
        <f>C18+C27+C28+C33+C36</f>
        <v>363.13446799999997</v>
      </c>
      <c r="D77" s="390" t="s">
        <v>535</v>
      </c>
      <c r="E77" s="389"/>
      <c r="F77" s="389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</row>
    <row r="78" spans="2:22" ht="15.75" customHeight="1">
      <c r="B78" s="254" t="s">
        <v>614</v>
      </c>
      <c r="C78" s="135">
        <f>(E59-C77)-D59</f>
        <v>823.34747600000014</v>
      </c>
      <c r="D78" s="390" t="s">
        <v>535</v>
      </c>
      <c r="E78" s="389"/>
      <c r="F78" s="389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</row>
    <row r="79" spans="2:22"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</row>
    <row r="80" spans="2:22"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</row>
    <row r="81" spans="4:21"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</row>
    <row r="82" spans="4:21">
      <c r="D82" s="390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</row>
    <row r="83" spans="4:21"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</row>
    <row r="84" spans="4:21"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</row>
    <row r="85" spans="4:21"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</row>
    <row r="86" spans="4:21"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</row>
    <row r="87" spans="4:21"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</row>
    <row r="88" spans="4:21"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</row>
  </sheetData>
  <mergeCells count="5">
    <mergeCell ref="A1:A2"/>
    <mergeCell ref="B1:B2"/>
    <mergeCell ref="C1:E1"/>
    <mergeCell ref="A59:B59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B92"/>
  <sheetViews>
    <sheetView topLeftCell="BG1" workbookViewId="0">
      <pane ySplit="2" topLeftCell="A48" activePane="bottomLeft" state="frozen"/>
      <selection pane="bottomLeft" activeCell="K83" sqref="K83"/>
    </sheetView>
  </sheetViews>
  <sheetFormatPr defaultRowHeight="11.25"/>
  <cols>
    <col min="1" max="1" width="9" style="8" customWidth="1"/>
    <col min="2" max="2" width="69.5703125" style="171" bestFit="1" customWidth="1"/>
    <col min="3" max="4" width="9.42578125" style="349" bestFit="1" customWidth="1"/>
    <col min="5" max="5" width="9.42578125" style="98" bestFit="1" customWidth="1"/>
    <col min="6" max="6" width="8.140625" style="98" bestFit="1" customWidth="1"/>
    <col min="7" max="7" width="10.7109375" style="98" customWidth="1"/>
    <col min="8" max="8" width="9.42578125" style="98" bestFit="1" customWidth="1"/>
    <col min="9" max="10" width="7.85546875" style="98" customWidth="1"/>
    <col min="11" max="11" width="8.7109375" style="98" customWidth="1"/>
    <col min="12" max="12" width="7.85546875" style="98" customWidth="1"/>
    <col min="13" max="13" width="8.7109375" style="98" customWidth="1"/>
    <col min="14" max="17" width="7.140625" style="98" customWidth="1"/>
    <col min="18" max="18" width="8.5703125" style="98" customWidth="1"/>
    <col min="19" max="19" width="7.140625" style="98" customWidth="1"/>
    <col min="20" max="20" width="8.28515625" style="98" customWidth="1"/>
    <col min="21" max="21" width="7.7109375" style="98" customWidth="1"/>
    <col min="22" max="22" width="8.5703125" style="98" customWidth="1"/>
    <col min="23" max="23" width="7.140625" style="98" customWidth="1"/>
    <col min="24" max="24" width="8" style="98" customWidth="1"/>
    <col min="25" max="25" width="7.140625" style="496" customWidth="1"/>
    <col min="26" max="26" width="6.140625" style="496" customWidth="1"/>
    <col min="27" max="27" width="7.140625" style="98" customWidth="1"/>
    <col min="28" max="31" width="6.140625" style="98" customWidth="1"/>
    <col min="32" max="32" width="9.7109375" style="98" customWidth="1"/>
    <col min="33" max="33" width="16.28515625" style="98" customWidth="1"/>
    <col min="34" max="35" width="7.140625" style="98" customWidth="1"/>
    <col min="36" max="36" width="8.140625" style="98" customWidth="1"/>
    <col min="37" max="37" width="7.7109375" style="98" customWidth="1"/>
    <col min="38" max="38" width="7" style="98" customWidth="1"/>
    <col min="39" max="39" width="6.140625" style="98" customWidth="1"/>
    <col min="40" max="44" width="7.85546875" style="98" customWidth="1"/>
    <col min="45" max="47" width="6.140625" style="98" customWidth="1"/>
    <col min="48" max="48" width="8.28515625" style="98" customWidth="1"/>
    <col min="49" max="49" width="7.85546875" style="98" customWidth="1"/>
    <col min="50" max="53" width="6.140625" style="98" customWidth="1"/>
    <col min="54" max="54" width="8" style="98" customWidth="1"/>
    <col min="55" max="56" width="6.140625" style="98" customWidth="1"/>
    <col min="57" max="57" width="7.42578125" style="496" customWidth="1"/>
    <col min="58" max="58" width="8.5703125" style="496" customWidth="1"/>
    <col min="59" max="65" width="6.140625" style="98" customWidth="1"/>
    <col min="66" max="66" width="7.7109375" style="496" customWidth="1"/>
    <col min="67" max="68" width="6.140625" style="98" customWidth="1"/>
    <col min="69" max="69" width="5.5703125" style="98" customWidth="1"/>
    <col min="70" max="77" width="10.5703125" style="98" customWidth="1"/>
    <col min="78" max="79" width="12.42578125" style="98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597" t="s">
        <v>1</v>
      </c>
      <c r="B1" s="782" t="s">
        <v>0</v>
      </c>
      <c r="C1" s="785" t="s">
        <v>103</v>
      </c>
      <c r="D1" s="786"/>
      <c r="E1" s="773" t="s">
        <v>104</v>
      </c>
      <c r="F1" s="773"/>
      <c r="G1" s="773"/>
      <c r="H1" s="774" t="s">
        <v>188</v>
      </c>
      <c r="I1" s="774"/>
      <c r="J1" s="774"/>
      <c r="K1" s="773" t="s">
        <v>192</v>
      </c>
      <c r="L1" s="773"/>
      <c r="M1" s="773"/>
      <c r="N1" s="773"/>
      <c r="O1" s="773"/>
      <c r="P1" s="773"/>
      <c r="Q1" s="773"/>
      <c r="R1" s="773"/>
      <c r="S1" s="773"/>
      <c r="T1" s="773"/>
      <c r="U1" s="773"/>
      <c r="V1" s="773"/>
      <c r="W1" s="773"/>
      <c r="X1" s="773"/>
      <c r="Y1" s="773"/>
      <c r="Z1" s="773"/>
      <c r="AA1" s="773"/>
      <c r="AB1" s="773"/>
      <c r="AC1" s="773"/>
      <c r="AD1" s="773"/>
      <c r="AE1" s="773"/>
      <c r="AF1" s="773"/>
      <c r="AG1" s="773"/>
      <c r="AH1" s="784" t="s">
        <v>193</v>
      </c>
      <c r="AI1" s="784"/>
      <c r="AJ1" s="784"/>
      <c r="AK1" s="784"/>
      <c r="AL1" s="784"/>
      <c r="AM1" s="784"/>
      <c r="AN1" s="784"/>
      <c r="AO1" s="784"/>
      <c r="AP1" s="784"/>
      <c r="AQ1" s="784"/>
      <c r="AR1" s="784"/>
      <c r="AS1" s="784"/>
      <c r="AT1" s="784"/>
      <c r="AU1" s="784"/>
      <c r="AV1" s="784"/>
      <c r="AW1" s="775" t="s">
        <v>209</v>
      </c>
      <c r="AX1" s="776"/>
      <c r="AY1" s="776"/>
      <c r="AZ1" s="776"/>
      <c r="BA1" s="776"/>
      <c r="BB1" s="777"/>
      <c r="BC1" s="778" t="s">
        <v>213</v>
      </c>
      <c r="BD1" s="779"/>
      <c r="BE1" s="779"/>
      <c r="BF1" s="780"/>
      <c r="BG1" s="781" t="s">
        <v>201</v>
      </c>
      <c r="BH1" s="781"/>
      <c r="BI1" s="781"/>
      <c r="BJ1" s="781"/>
      <c r="BK1" s="781"/>
      <c r="BL1" s="781"/>
      <c r="BM1" s="781"/>
      <c r="BN1" s="781"/>
      <c r="BO1" s="781"/>
      <c r="BP1" s="781"/>
      <c r="BQ1" s="781"/>
      <c r="BR1" s="781"/>
      <c r="BS1" s="787" t="s">
        <v>541</v>
      </c>
      <c r="BT1" s="788"/>
      <c r="BU1" s="788"/>
      <c r="BV1" s="788"/>
      <c r="BW1" s="788"/>
      <c r="BX1" s="789"/>
      <c r="BY1" s="790" t="s">
        <v>545</v>
      </c>
      <c r="BZ1" s="772" t="s">
        <v>318</v>
      </c>
      <c r="CA1" s="772"/>
      <c r="CB1" s="772"/>
    </row>
    <row r="2" spans="1:80" s="9" customFormat="1" ht="23.25" thickBot="1">
      <c r="A2" s="598"/>
      <c r="B2" s="783"/>
      <c r="C2" s="506"/>
      <c r="D2" s="507" t="s">
        <v>101</v>
      </c>
      <c r="E2" s="44"/>
      <c r="F2" s="212" t="s">
        <v>101</v>
      </c>
      <c r="G2" s="239" t="s">
        <v>187</v>
      </c>
      <c r="H2" s="44"/>
      <c r="I2" s="212" t="s">
        <v>101</v>
      </c>
      <c r="J2" s="45" t="s">
        <v>186</v>
      </c>
      <c r="K2" s="44" t="s">
        <v>268</v>
      </c>
      <c r="L2" s="44" t="s">
        <v>269</v>
      </c>
      <c r="M2" s="44" t="s">
        <v>270</v>
      </c>
      <c r="N2" s="44" t="s">
        <v>271</v>
      </c>
      <c r="O2" s="44" t="s">
        <v>272</v>
      </c>
      <c r="P2" s="44" t="s">
        <v>501</v>
      </c>
      <c r="Q2" s="44" t="s">
        <v>522</v>
      </c>
      <c r="R2" s="44" t="s">
        <v>526</v>
      </c>
      <c r="S2" s="44" t="s">
        <v>273</v>
      </c>
      <c r="T2" s="44" t="s">
        <v>466</v>
      </c>
      <c r="U2" s="44" t="s">
        <v>467</v>
      </c>
      <c r="V2" s="44" t="s">
        <v>495</v>
      </c>
      <c r="W2" s="44" t="s">
        <v>504</v>
      </c>
      <c r="X2" s="44" t="s">
        <v>274</v>
      </c>
      <c r="Y2" s="44" t="s">
        <v>275</v>
      </c>
      <c r="Z2" s="44" t="s">
        <v>276</v>
      </c>
      <c r="AA2" s="44" t="s">
        <v>311</v>
      </c>
      <c r="AB2" s="44" t="s">
        <v>309</v>
      </c>
      <c r="AC2" s="44" t="s">
        <v>310</v>
      </c>
      <c r="AD2" s="44"/>
      <c r="AE2" s="44"/>
      <c r="AF2" s="44" t="s">
        <v>47</v>
      </c>
      <c r="AG2" s="38" t="s">
        <v>29</v>
      </c>
      <c r="AH2" s="44" t="s">
        <v>194</v>
      </c>
      <c r="AI2" s="44" t="s">
        <v>195</v>
      </c>
      <c r="AJ2" s="44" t="s">
        <v>196</v>
      </c>
      <c r="AK2" s="44" t="s">
        <v>198</v>
      </c>
      <c r="AL2" s="44" t="s">
        <v>199</v>
      </c>
      <c r="AM2" s="44" t="s">
        <v>200</v>
      </c>
      <c r="AN2" s="44" t="s">
        <v>297</v>
      </c>
      <c r="AO2" s="44" t="s">
        <v>298</v>
      </c>
      <c r="AP2" s="44" t="s">
        <v>299</v>
      </c>
      <c r="AQ2" s="44" t="s">
        <v>529</v>
      </c>
      <c r="AR2" s="44" t="s">
        <v>497</v>
      </c>
      <c r="AS2" s="44" t="s">
        <v>498</v>
      </c>
      <c r="AT2" s="44"/>
      <c r="AU2" s="44"/>
      <c r="AV2" s="500" t="s">
        <v>47</v>
      </c>
      <c r="AW2" s="44" t="s">
        <v>206</v>
      </c>
      <c r="AX2" s="44" t="s">
        <v>207</v>
      </c>
      <c r="AY2" s="44" t="s">
        <v>210</v>
      </c>
      <c r="AZ2" s="44" t="s">
        <v>208</v>
      </c>
      <c r="BA2" s="44" t="s">
        <v>212</v>
      </c>
      <c r="BB2" s="38" t="s">
        <v>47</v>
      </c>
      <c r="BC2" s="44" t="s">
        <v>217</v>
      </c>
      <c r="BD2" s="44" t="s">
        <v>218</v>
      </c>
      <c r="BE2" s="44" t="s">
        <v>219</v>
      </c>
      <c r="BF2" s="45" t="s">
        <v>47</v>
      </c>
      <c r="BG2" s="44" t="s">
        <v>228</v>
      </c>
      <c r="BH2" s="44" t="s">
        <v>229</v>
      </c>
      <c r="BI2" s="44" t="s">
        <v>232</v>
      </c>
      <c r="BJ2" s="44" t="s">
        <v>237</v>
      </c>
      <c r="BK2" s="44" t="s">
        <v>238</v>
      </c>
      <c r="BL2" s="44" t="s">
        <v>239</v>
      </c>
      <c r="BM2" s="44" t="s">
        <v>312</v>
      </c>
      <c r="BN2" s="44" t="s">
        <v>313</v>
      </c>
      <c r="BO2" s="44" t="s">
        <v>484</v>
      </c>
      <c r="BP2" s="44" t="s">
        <v>485</v>
      </c>
      <c r="BQ2" s="44"/>
      <c r="BR2" s="38" t="s">
        <v>47</v>
      </c>
      <c r="BS2" s="44"/>
      <c r="BT2" s="44"/>
      <c r="BU2" s="44"/>
      <c r="BV2" s="44"/>
      <c r="BW2" s="44"/>
      <c r="BX2" s="500" t="s">
        <v>537</v>
      </c>
      <c r="BY2" s="791"/>
      <c r="BZ2" s="483" t="s">
        <v>151</v>
      </c>
      <c r="CA2" s="501" t="s">
        <v>521</v>
      </c>
      <c r="CB2" s="502" t="s">
        <v>317</v>
      </c>
    </row>
    <row r="3" spans="1:80" s="5" customFormat="1">
      <c r="A3" s="473">
        <f>'1-συμβολαια'!A3</f>
        <v>4600</v>
      </c>
      <c r="B3" s="472" t="str">
        <f>'1-συμβολαια'!C3</f>
        <v>δωρεά</v>
      </c>
      <c r="C3" s="508">
        <f>'5-αντίγρ'!AN3</f>
        <v>63.809999999999995</v>
      </c>
      <c r="D3" s="508">
        <f>'5-αντίγρ'!AM3</f>
        <v>2.48</v>
      </c>
      <c r="E3" s="377">
        <f>'6-μεταγρ'!Q3</f>
        <v>11.74</v>
      </c>
      <c r="F3" s="377">
        <f>'6-μεταγρ'!O3</f>
        <v>1.98</v>
      </c>
      <c r="G3" s="376">
        <f>'6-μεταγρ'!R3</f>
        <v>0</v>
      </c>
      <c r="H3" s="377">
        <f>'7-προςΔΟΥ'!Q3</f>
        <v>14.67</v>
      </c>
      <c r="I3" s="332">
        <f>'7-προςΔΟΥ'!K3</f>
        <v>0</v>
      </c>
      <c r="J3" s="332"/>
      <c r="K3" s="334"/>
      <c r="L3" s="334">
        <v>14.97</v>
      </c>
      <c r="M3" s="334">
        <v>14.97</v>
      </c>
      <c r="N3" s="334"/>
      <c r="O3" s="334"/>
      <c r="P3" s="334"/>
      <c r="Q3" s="334"/>
      <c r="R3" s="334">
        <v>14.97</v>
      </c>
      <c r="S3" s="334"/>
      <c r="T3" s="334">
        <v>14.97</v>
      </c>
      <c r="U3" s="334"/>
      <c r="V3" s="334"/>
      <c r="W3" s="334"/>
      <c r="X3" s="334"/>
      <c r="Y3" s="334"/>
      <c r="Z3" s="334"/>
      <c r="AA3" s="334"/>
      <c r="AB3" s="334"/>
      <c r="AC3" s="331"/>
      <c r="AD3" s="331"/>
      <c r="AE3" s="331"/>
      <c r="AF3" s="334">
        <f t="shared" ref="AF3:AF56" si="0">SUM(K3:AE3)</f>
        <v>59.88</v>
      </c>
      <c r="AG3" s="333"/>
      <c r="AH3" s="334">
        <v>6.26</v>
      </c>
      <c r="AI3" s="334"/>
      <c r="AJ3" s="334">
        <v>6.26</v>
      </c>
      <c r="AK3" s="334">
        <v>3.23</v>
      </c>
      <c r="AL3" s="334"/>
      <c r="AM3" s="334"/>
      <c r="AN3" s="334"/>
      <c r="AO3" s="334">
        <v>6.26</v>
      </c>
      <c r="AP3" s="334"/>
      <c r="AQ3" s="334">
        <v>6.26</v>
      </c>
      <c r="AR3" s="334">
        <v>3.23</v>
      </c>
      <c r="AS3" s="334"/>
      <c r="AT3" s="331"/>
      <c r="AU3" s="331"/>
      <c r="AV3" s="334">
        <f>SUM(AH3:AU3)</f>
        <v>31.499999999999996</v>
      </c>
      <c r="AW3" s="334">
        <v>5.87</v>
      </c>
      <c r="AX3" s="331"/>
      <c r="AY3" s="331"/>
      <c r="AZ3" s="331"/>
      <c r="BA3" s="331"/>
      <c r="BB3" s="334">
        <f>SUM(AW3:BA3)</f>
        <v>5.87</v>
      </c>
      <c r="BC3" s="333"/>
      <c r="BD3" s="333"/>
      <c r="BE3" s="377">
        <v>5.87</v>
      </c>
      <c r="BF3" s="334">
        <f t="shared" ref="BF3:BF56" si="1">SUM(BC3:BE3)</f>
        <v>5.87</v>
      </c>
      <c r="BG3" s="331"/>
      <c r="BH3" s="331"/>
      <c r="BI3" s="331"/>
      <c r="BJ3" s="331"/>
      <c r="BK3" s="331"/>
      <c r="BL3" s="331"/>
      <c r="BM3" s="331"/>
      <c r="BN3" s="334"/>
      <c r="BO3" s="334">
        <v>0.3</v>
      </c>
      <c r="BP3" s="334">
        <v>0.3</v>
      </c>
      <c r="BQ3" s="327"/>
      <c r="BR3" s="334">
        <f t="shared" ref="BR3:BR56" si="2">SUM(BG3:BQ3)</f>
        <v>0.6</v>
      </c>
      <c r="BS3" s="377"/>
      <c r="BT3" s="377"/>
      <c r="BU3" s="377"/>
      <c r="BV3" s="377"/>
      <c r="BW3" s="377"/>
      <c r="BX3" s="377">
        <f t="shared" ref="BX3:BX56" si="3">SUM(BS3:BW3)</f>
        <v>0</v>
      </c>
      <c r="BY3" s="377">
        <f>'8-κ-15-17'!AO3</f>
        <v>0</v>
      </c>
      <c r="BZ3" s="335">
        <f t="shared" ref="BZ3:BZ7" si="4">C3+E3+G3+H3+J3+AF3+AV3+BB3+BF3+BR3+BS3+BT3+BU3+BV3+BY3</f>
        <v>193.94</v>
      </c>
      <c r="CA3" s="335">
        <f t="shared" ref="CA3:CA56" si="5">D3+F3+I3+BW3</f>
        <v>4.46</v>
      </c>
      <c r="CB3" s="451"/>
    </row>
    <row r="4" spans="1:80" s="5" customFormat="1">
      <c r="A4" s="473"/>
      <c r="B4" s="472" t="str">
        <f>'1-συμβολαια'!C4</f>
        <v>ΧΡΗΣΙΚΤΗΣΙΑ οικοπέδου &amp; οικίας = 1930 πατρός ΔΩΡΕΑ άτυπη</v>
      </c>
      <c r="C4" s="508">
        <f>'5-αντίγρ'!AN4</f>
        <v>0</v>
      </c>
      <c r="D4" s="508">
        <f>'5-αντίγρ'!AM4</f>
        <v>0</v>
      </c>
      <c r="E4" s="377">
        <f>'6-μεταγρ'!Q4</f>
        <v>0</v>
      </c>
      <c r="F4" s="377">
        <f>'6-μεταγρ'!O4</f>
        <v>0</v>
      </c>
      <c r="G4" s="377">
        <f>'6-μεταγρ'!R4</f>
        <v>0</v>
      </c>
      <c r="H4" s="377">
        <f>'7-προςΔΟΥ'!Q4</f>
        <v>0</v>
      </c>
      <c r="I4" s="332">
        <f>'7-προςΔΟΥ'!K4</f>
        <v>0</v>
      </c>
      <c r="J4" s="281"/>
      <c r="K4" s="334"/>
      <c r="L4" s="334"/>
      <c r="M4" s="334"/>
      <c r="N4" s="334"/>
      <c r="O4" s="334"/>
      <c r="P4" s="334"/>
      <c r="Q4" s="334"/>
      <c r="R4" s="334"/>
      <c r="S4" s="334"/>
      <c r="T4" s="334"/>
      <c r="U4" s="334"/>
      <c r="V4" s="334"/>
      <c r="W4" s="334"/>
      <c r="X4" s="334"/>
      <c r="Y4" s="334"/>
      <c r="Z4" s="334"/>
      <c r="AA4" s="334"/>
      <c r="AB4" s="334"/>
      <c r="AC4" s="331"/>
      <c r="AD4" s="331"/>
      <c r="AE4" s="331"/>
      <c r="AF4" s="334">
        <f t="shared" si="0"/>
        <v>0</v>
      </c>
      <c r="AG4" s="331"/>
      <c r="AH4" s="334"/>
      <c r="AI4" s="334"/>
      <c r="AJ4" s="334"/>
      <c r="AK4" s="334"/>
      <c r="AL4" s="334"/>
      <c r="AM4" s="334"/>
      <c r="AN4" s="334"/>
      <c r="AO4" s="334"/>
      <c r="AP4" s="334"/>
      <c r="AQ4" s="334"/>
      <c r="AR4" s="334"/>
      <c r="AS4" s="334"/>
      <c r="AT4" s="331"/>
      <c r="AU4" s="331"/>
      <c r="AV4" s="334">
        <f t="shared" ref="AV4:AV56" si="6">SUM(AH4:AU4)</f>
        <v>0</v>
      </c>
      <c r="AW4" s="334"/>
      <c r="AX4" s="331"/>
      <c r="AY4" s="331"/>
      <c r="AZ4" s="331"/>
      <c r="BA4" s="331"/>
      <c r="BB4" s="334">
        <f t="shared" ref="BB4:BB56" si="7">SUM(AW4:BA4)</f>
        <v>0</v>
      </c>
      <c r="BC4" s="331"/>
      <c r="BD4" s="331"/>
      <c r="BE4" s="334"/>
      <c r="BF4" s="334">
        <f t="shared" si="1"/>
        <v>0</v>
      </c>
      <c r="BG4" s="331"/>
      <c r="BH4" s="331"/>
      <c r="BI4" s="331"/>
      <c r="BJ4" s="331"/>
      <c r="BK4" s="331"/>
      <c r="BL4" s="331"/>
      <c r="BM4" s="331"/>
      <c r="BN4" s="334"/>
      <c r="BO4" s="334"/>
      <c r="BP4" s="334"/>
      <c r="BQ4" s="327"/>
      <c r="BR4" s="334">
        <f t="shared" si="2"/>
        <v>0</v>
      </c>
      <c r="BS4" s="377"/>
      <c r="BT4" s="377"/>
      <c r="BU4" s="377"/>
      <c r="BV4" s="377"/>
      <c r="BW4" s="377"/>
      <c r="BX4" s="377">
        <f t="shared" si="3"/>
        <v>0</v>
      </c>
      <c r="BY4" s="377">
        <f>'8-κ-15-17'!AO4</f>
        <v>0</v>
      </c>
      <c r="BZ4" s="335">
        <f t="shared" si="4"/>
        <v>0</v>
      </c>
      <c r="CA4" s="335">
        <f t="shared" si="5"/>
        <v>0</v>
      </c>
      <c r="CB4" s="451"/>
    </row>
    <row r="5" spans="1:80" s="5" customFormat="1">
      <c r="A5" s="434">
        <f>'1-συμβολαια'!A5</f>
        <v>4601</v>
      </c>
      <c r="B5" s="472" t="str">
        <f>'1-συμβολαια'!C5</f>
        <v>αγοραπωλησίας 13.835κ ΕΞΟΦΛΗΣΗ</v>
      </c>
      <c r="C5" s="508">
        <f>'5-αντίγρ'!AN5</f>
        <v>281.03000000000003</v>
      </c>
      <c r="D5" s="508">
        <f>'5-αντίγρ'!AM5</f>
        <v>11.67</v>
      </c>
      <c r="E5" s="377">
        <f>'6-μεταγρ'!Q5</f>
        <v>11.74</v>
      </c>
      <c r="F5" s="377">
        <f>'6-μεταγρ'!O5</f>
        <v>1.98</v>
      </c>
      <c r="G5" s="377">
        <f>'6-μεταγρ'!R5</f>
        <v>0</v>
      </c>
      <c r="H5" s="377">
        <f>'7-προςΔΟΥ'!Q5</f>
        <v>0</v>
      </c>
      <c r="I5" s="332">
        <f>'7-προςΔΟΥ'!K5</f>
        <v>0</v>
      </c>
      <c r="J5" s="281"/>
      <c r="K5" s="334"/>
      <c r="L5" s="334"/>
      <c r="M5" s="334"/>
      <c r="N5" s="334"/>
      <c r="O5" s="334"/>
      <c r="P5" s="334"/>
      <c r="Q5" s="334"/>
      <c r="R5" s="334"/>
      <c r="S5" s="334"/>
      <c r="T5" s="334"/>
      <c r="U5" s="334"/>
      <c r="V5" s="334"/>
      <c r="W5" s="334"/>
      <c r="X5" s="334"/>
      <c r="Y5" s="334"/>
      <c r="Z5" s="334"/>
      <c r="AA5" s="334"/>
      <c r="AB5" s="334"/>
      <c r="AC5" s="331"/>
      <c r="AD5" s="331"/>
      <c r="AE5" s="331"/>
      <c r="AF5" s="334">
        <f t="shared" si="0"/>
        <v>0</v>
      </c>
      <c r="AG5" s="331"/>
      <c r="AH5" s="334"/>
      <c r="AI5" s="334"/>
      <c r="AJ5" s="334">
        <f>3*3.23</f>
        <v>9.69</v>
      </c>
      <c r="AK5" s="334"/>
      <c r="AL5" s="334"/>
      <c r="AM5" s="334"/>
      <c r="AN5" s="334">
        <f>3*3.23</f>
        <v>9.69</v>
      </c>
      <c r="AO5" s="334"/>
      <c r="AP5" s="334"/>
      <c r="AQ5" s="334"/>
      <c r="AR5" s="334"/>
      <c r="AS5" s="334"/>
      <c r="AT5" s="331"/>
      <c r="AU5" s="331"/>
      <c r="AV5" s="334">
        <f t="shared" si="6"/>
        <v>19.38</v>
      </c>
      <c r="AW5" s="334">
        <f>3*5.87</f>
        <v>17.61</v>
      </c>
      <c r="AX5" s="284"/>
      <c r="AY5" s="284"/>
      <c r="AZ5" s="284"/>
      <c r="BA5" s="284"/>
      <c r="BB5" s="334">
        <f t="shared" si="7"/>
        <v>17.61</v>
      </c>
      <c r="BC5" s="331"/>
      <c r="BD5" s="284"/>
      <c r="BE5" s="334"/>
      <c r="BF5" s="334">
        <f t="shared" si="1"/>
        <v>0</v>
      </c>
      <c r="BG5" s="331"/>
      <c r="BH5" s="331"/>
      <c r="BI5" s="331"/>
      <c r="BJ5" s="331"/>
      <c r="BK5" s="331"/>
      <c r="BL5" s="331"/>
      <c r="BM5" s="331"/>
      <c r="BN5" s="334"/>
      <c r="BO5" s="334">
        <v>0.3</v>
      </c>
      <c r="BP5" s="334">
        <v>0.45</v>
      </c>
      <c r="BQ5" s="327"/>
      <c r="BR5" s="334">
        <f t="shared" si="2"/>
        <v>0.75</v>
      </c>
      <c r="BS5" s="377"/>
      <c r="BT5" s="377"/>
      <c r="BU5" s="377"/>
      <c r="BV5" s="377"/>
      <c r="BW5" s="377"/>
      <c r="BX5" s="377">
        <f t="shared" si="3"/>
        <v>0</v>
      </c>
      <c r="BY5" s="377">
        <f>'8-κ-15-17'!AO5</f>
        <v>0</v>
      </c>
      <c r="BZ5" s="335">
        <f t="shared" si="4"/>
        <v>330.51000000000005</v>
      </c>
      <c r="CA5" s="335">
        <f t="shared" si="5"/>
        <v>13.65</v>
      </c>
      <c r="CB5" s="289"/>
    </row>
    <row r="6" spans="1:80" s="5" customFormat="1">
      <c r="A6" s="473">
        <f>'1-συμβολαια'!A6</f>
        <v>4602</v>
      </c>
      <c r="B6" s="472" t="str">
        <f>'1-συμβολαια'!C6</f>
        <v>κληρονομιάς ΑΠΟΔΟΧΗ</v>
      </c>
      <c r="C6" s="508">
        <f>'5-αντίγρ'!AN6</f>
        <v>28.57</v>
      </c>
      <c r="D6" s="508">
        <f>'5-αντίγρ'!AM6</f>
        <v>2.48</v>
      </c>
      <c r="E6" s="377">
        <f>'6-μεταγρ'!Q6</f>
        <v>11.74</v>
      </c>
      <c r="F6" s="377">
        <f>'6-μεταγρ'!O6</f>
        <v>1.98</v>
      </c>
      <c r="G6" s="377">
        <f>'6-μεταγρ'!R6</f>
        <v>0</v>
      </c>
      <c r="H6" s="377">
        <f>'7-προςΔΟΥ'!Q6</f>
        <v>14.67</v>
      </c>
      <c r="I6" s="332">
        <f>'7-προςΔΟΥ'!K6</f>
        <v>0</v>
      </c>
      <c r="J6" s="332"/>
      <c r="K6" s="334"/>
      <c r="L6" s="334"/>
      <c r="M6" s="334">
        <v>14.97</v>
      </c>
      <c r="N6" s="334">
        <v>14.97</v>
      </c>
      <c r="O6" s="334"/>
      <c r="P6" s="334"/>
      <c r="Q6" s="334"/>
      <c r="R6" s="334">
        <v>14.97</v>
      </c>
      <c r="S6" s="334"/>
      <c r="T6" s="334">
        <v>14.97</v>
      </c>
      <c r="U6" s="334"/>
      <c r="V6" s="334"/>
      <c r="W6" s="334"/>
      <c r="X6" s="334">
        <v>32.58</v>
      </c>
      <c r="Y6" s="334">
        <v>14.97</v>
      </c>
      <c r="Z6" s="334"/>
      <c r="AA6" s="334"/>
      <c r="AB6" s="334"/>
      <c r="AC6" s="331"/>
      <c r="AD6" s="331"/>
      <c r="AE6" s="331"/>
      <c r="AF6" s="334">
        <f t="shared" si="0"/>
        <v>107.43</v>
      </c>
      <c r="AG6" s="331"/>
      <c r="AH6" s="334">
        <f>2*3.23</f>
        <v>6.46</v>
      </c>
      <c r="AI6" s="334"/>
      <c r="AJ6" s="334">
        <f>2*3.23</f>
        <v>6.46</v>
      </c>
      <c r="AK6" s="334">
        <f>2*3.23</f>
        <v>6.46</v>
      </c>
      <c r="AL6" s="334"/>
      <c r="AM6" s="334"/>
      <c r="AN6" s="334"/>
      <c r="AO6" s="334">
        <f>2*3.23</f>
        <v>6.46</v>
      </c>
      <c r="AP6" s="334"/>
      <c r="AQ6" s="334">
        <f>2*3.23</f>
        <v>6.46</v>
      </c>
      <c r="AR6" s="334"/>
      <c r="AS6" s="334"/>
      <c r="AT6" s="331"/>
      <c r="AU6" s="331"/>
      <c r="AV6" s="334">
        <f t="shared" si="6"/>
        <v>32.299999999999997</v>
      </c>
      <c r="AW6" s="334">
        <f>2*5.87</f>
        <v>11.74</v>
      </c>
      <c r="AX6" s="331"/>
      <c r="AY6" s="331"/>
      <c r="AZ6" s="331"/>
      <c r="BA6" s="331"/>
      <c r="BB6" s="334">
        <f t="shared" si="7"/>
        <v>11.74</v>
      </c>
      <c r="BC6" s="331"/>
      <c r="BD6" s="331"/>
      <c r="BE6" s="334"/>
      <c r="BF6" s="334">
        <f t="shared" si="1"/>
        <v>0</v>
      </c>
      <c r="BG6" s="331"/>
      <c r="BH6" s="331"/>
      <c r="BI6" s="331"/>
      <c r="BJ6" s="331"/>
      <c r="BK6" s="331"/>
      <c r="BL6" s="331"/>
      <c r="BM6" s="331"/>
      <c r="BN6" s="334"/>
      <c r="BO6" s="334">
        <v>0.3</v>
      </c>
      <c r="BP6" s="334">
        <v>0.3</v>
      </c>
      <c r="BQ6" s="327"/>
      <c r="BR6" s="334">
        <f t="shared" si="2"/>
        <v>0.6</v>
      </c>
      <c r="BS6" s="377"/>
      <c r="BT6" s="377"/>
      <c r="BU6" s="377"/>
      <c r="BV6" s="377"/>
      <c r="BW6" s="377"/>
      <c r="BX6" s="377">
        <f t="shared" si="3"/>
        <v>0</v>
      </c>
      <c r="BY6" s="377">
        <f>'8-κ-15-17'!AO6</f>
        <v>0</v>
      </c>
      <c r="BZ6" s="335">
        <f t="shared" si="4"/>
        <v>207.05000000000004</v>
      </c>
      <c r="CA6" s="335">
        <f t="shared" si="5"/>
        <v>4.46</v>
      </c>
      <c r="CB6" s="451"/>
    </row>
    <row r="7" spans="1:80" s="5" customFormat="1">
      <c r="A7" s="473"/>
      <c r="B7" s="472" t="str">
        <f>'1-συμβολαια'!C7</f>
        <v>ΧΡΗΣΙΚΤΗΣΙΑ αγροτεμαχίου = 19?? ΑΝΑΔΑΣΜΟΣ</v>
      </c>
      <c r="C7" s="508">
        <f>'5-αντίγρ'!AN7</f>
        <v>0</v>
      </c>
      <c r="D7" s="508">
        <f>'5-αντίγρ'!AM7</f>
        <v>0</v>
      </c>
      <c r="E7" s="377">
        <f>'6-μεταγρ'!Q7</f>
        <v>0</v>
      </c>
      <c r="F7" s="377">
        <f>'6-μεταγρ'!O7</f>
        <v>0</v>
      </c>
      <c r="G7" s="377">
        <f>'6-μεταγρ'!R7</f>
        <v>0</v>
      </c>
      <c r="H7" s="377">
        <f>'7-προςΔΟΥ'!Q7</f>
        <v>0</v>
      </c>
      <c r="I7" s="332">
        <f>'7-προςΔΟΥ'!K7</f>
        <v>0</v>
      </c>
      <c r="J7" s="281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334"/>
      <c r="AA7" s="334"/>
      <c r="AB7" s="334"/>
      <c r="AC7" s="331"/>
      <c r="AD7" s="331"/>
      <c r="AE7" s="331"/>
      <c r="AF7" s="334">
        <f t="shared" si="0"/>
        <v>0</v>
      </c>
      <c r="AG7" s="331"/>
      <c r="AH7" s="334"/>
      <c r="AI7" s="334"/>
      <c r="AJ7" s="334"/>
      <c r="AK7" s="334"/>
      <c r="AL7" s="334"/>
      <c r="AM7" s="334"/>
      <c r="AN7" s="334"/>
      <c r="AO7" s="334"/>
      <c r="AP7" s="334"/>
      <c r="AQ7" s="334"/>
      <c r="AR7" s="334"/>
      <c r="AS7" s="334"/>
      <c r="AT7" s="331"/>
      <c r="AU7" s="331"/>
      <c r="AV7" s="334">
        <f t="shared" si="6"/>
        <v>0</v>
      </c>
      <c r="AW7" s="334"/>
      <c r="AX7" s="284"/>
      <c r="AY7" s="284"/>
      <c r="AZ7" s="284"/>
      <c r="BA7" s="284"/>
      <c r="BB7" s="334">
        <f t="shared" si="7"/>
        <v>0</v>
      </c>
      <c r="BC7" s="331"/>
      <c r="BD7" s="284"/>
      <c r="BE7" s="334"/>
      <c r="BF7" s="334">
        <f t="shared" si="1"/>
        <v>0</v>
      </c>
      <c r="BG7" s="331"/>
      <c r="BH7" s="331"/>
      <c r="BI7" s="331"/>
      <c r="BJ7" s="331"/>
      <c r="BK7" s="331"/>
      <c r="BL7" s="331"/>
      <c r="BM7" s="331"/>
      <c r="BN7" s="334"/>
      <c r="BO7" s="334"/>
      <c r="BP7" s="334"/>
      <c r="BQ7" s="327"/>
      <c r="BR7" s="334">
        <f t="shared" si="2"/>
        <v>0</v>
      </c>
      <c r="BS7" s="377"/>
      <c r="BT7" s="377"/>
      <c r="BU7" s="377"/>
      <c r="BV7" s="377"/>
      <c r="BW7" s="377"/>
      <c r="BX7" s="377">
        <f t="shared" si="3"/>
        <v>0</v>
      </c>
      <c r="BY7" s="377">
        <f>'8-κ-15-17'!AO7</f>
        <v>0</v>
      </c>
      <c r="BZ7" s="335">
        <f t="shared" si="4"/>
        <v>0</v>
      </c>
      <c r="CA7" s="335">
        <f t="shared" si="5"/>
        <v>0</v>
      </c>
      <c r="CB7" s="289"/>
    </row>
    <row r="8" spans="1:80" s="5" customFormat="1">
      <c r="A8" s="434">
        <f>'1-συμβολαια'!A8</f>
        <v>4603</v>
      </c>
      <c r="B8" s="472" t="str">
        <f>'1-συμβολαια'!C8</f>
        <v>γονικής 11.618καπολα ΔΙΟΡΘΩΣΗ</v>
      </c>
      <c r="C8" s="508">
        <f>'5-αντίγρ'!AN8</f>
        <v>45.899999999999991</v>
      </c>
      <c r="D8" s="508">
        <f>'5-αντίγρ'!AM8</f>
        <v>2.48</v>
      </c>
      <c r="E8" s="377">
        <f>'6-μεταγρ'!Q8</f>
        <v>11.74</v>
      </c>
      <c r="F8" s="377">
        <f>'6-μεταγρ'!O8</f>
        <v>1.98</v>
      </c>
      <c r="G8" s="377">
        <f>'6-μεταγρ'!R8</f>
        <v>0</v>
      </c>
      <c r="H8" s="377">
        <f>'7-προςΔΟΥ'!Q8</f>
        <v>11.74</v>
      </c>
      <c r="I8" s="332">
        <f>'7-προςΔΟΥ'!K8</f>
        <v>0</v>
      </c>
      <c r="J8" s="281"/>
      <c r="K8" s="334"/>
      <c r="L8" s="334"/>
      <c r="M8" s="334"/>
      <c r="N8" s="334">
        <v>14.97</v>
      </c>
      <c r="O8" s="334"/>
      <c r="P8" s="334"/>
      <c r="Q8" s="334"/>
      <c r="R8" s="334"/>
      <c r="S8" s="334"/>
      <c r="T8" s="334"/>
      <c r="U8" s="334"/>
      <c r="V8" s="334"/>
      <c r="W8" s="334"/>
      <c r="X8" s="334"/>
      <c r="Y8" s="334"/>
      <c r="Z8" s="334"/>
      <c r="AA8" s="334"/>
      <c r="AB8" s="334"/>
      <c r="AC8" s="331"/>
      <c r="AD8" s="331"/>
      <c r="AE8" s="331"/>
      <c r="AF8" s="334">
        <f t="shared" si="0"/>
        <v>14.97</v>
      </c>
      <c r="AG8" s="331"/>
      <c r="AH8" s="334"/>
      <c r="AI8" s="334"/>
      <c r="AJ8" s="334"/>
      <c r="AK8" s="334"/>
      <c r="AL8" s="334"/>
      <c r="AM8" s="334"/>
      <c r="AN8" s="334"/>
      <c r="AO8" s="334"/>
      <c r="AP8" s="334"/>
      <c r="AQ8" s="334"/>
      <c r="AR8" s="334"/>
      <c r="AS8" s="334"/>
      <c r="AT8" s="331"/>
      <c r="AU8" s="331"/>
      <c r="AV8" s="334">
        <f t="shared" si="6"/>
        <v>0</v>
      </c>
      <c r="AW8" s="334"/>
      <c r="AX8" s="284"/>
      <c r="AY8" s="284"/>
      <c r="AZ8" s="284"/>
      <c r="BA8" s="284"/>
      <c r="BB8" s="334">
        <f t="shared" si="7"/>
        <v>0</v>
      </c>
      <c r="BC8" s="331"/>
      <c r="BD8" s="284"/>
      <c r="BE8" s="334"/>
      <c r="BF8" s="334">
        <f t="shared" si="1"/>
        <v>0</v>
      </c>
      <c r="BG8" s="331"/>
      <c r="BH8" s="331"/>
      <c r="BI8" s="331"/>
      <c r="BJ8" s="331"/>
      <c r="BK8" s="331"/>
      <c r="BL8" s="331"/>
      <c r="BM8" s="331"/>
      <c r="BN8" s="334"/>
      <c r="BO8" s="334">
        <v>0.3</v>
      </c>
      <c r="BP8" s="334">
        <v>0.3</v>
      </c>
      <c r="BQ8" s="327"/>
      <c r="BR8" s="334">
        <f t="shared" si="2"/>
        <v>0.6</v>
      </c>
      <c r="BS8" s="377"/>
      <c r="BT8" s="377"/>
      <c r="BU8" s="377"/>
      <c r="BV8" s="377"/>
      <c r="BW8" s="377"/>
      <c r="BX8" s="377">
        <f t="shared" si="3"/>
        <v>0</v>
      </c>
      <c r="BY8" s="377">
        <f>'8-κ-15-17'!AO8</f>
        <v>0</v>
      </c>
      <c r="BZ8" s="335">
        <f t="shared" ref="BZ8:BZ56" si="8">C8+E8+G8+H8+J8+AF8+AV8+BB8+BF8+BR8+BS8+BT8+BU8+BV8+BY8</f>
        <v>84.949999999999989</v>
      </c>
      <c r="CA8" s="335">
        <f t="shared" si="5"/>
        <v>4.46</v>
      </c>
      <c r="CB8" s="289"/>
    </row>
    <row r="9" spans="1:80" s="5" customFormat="1">
      <c r="A9" s="434">
        <f>'1-συμβολαια'!A9</f>
        <v>4604</v>
      </c>
      <c r="B9" s="472" t="str">
        <f>'1-συμβολαια'!C9</f>
        <v>γονικής 11.619καπολα ΔΙΟΡΘΩΣΗ</v>
      </c>
      <c r="C9" s="508">
        <f>'5-αντίγρ'!AN9</f>
        <v>45.899999999999991</v>
      </c>
      <c r="D9" s="508">
        <f>'5-αντίγρ'!AM9</f>
        <v>2.48</v>
      </c>
      <c r="E9" s="377">
        <f>'6-μεταγρ'!Q9</f>
        <v>0</v>
      </c>
      <c r="F9" s="377">
        <f>'6-μεταγρ'!O9</f>
        <v>1.98</v>
      </c>
      <c r="G9" s="377">
        <f>'6-μεταγρ'!R9</f>
        <v>0</v>
      </c>
      <c r="H9" s="377">
        <f>'7-προςΔΟΥ'!Q9</f>
        <v>0</v>
      </c>
      <c r="I9" s="332">
        <f>'7-προςΔΟΥ'!K9</f>
        <v>0</v>
      </c>
      <c r="J9" s="281"/>
      <c r="K9" s="334"/>
      <c r="L9" s="334"/>
      <c r="M9" s="334"/>
      <c r="N9" s="334">
        <v>14.97</v>
      </c>
      <c r="O9" s="334"/>
      <c r="P9" s="334"/>
      <c r="Q9" s="334"/>
      <c r="R9" s="334"/>
      <c r="S9" s="334"/>
      <c r="T9" s="334"/>
      <c r="U9" s="334"/>
      <c r="V9" s="334"/>
      <c r="W9" s="334"/>
      <c r="X9" s="334"/>
      <c r="Y9" s="334"/>
      <c r="Z9" s="334"/>
      <c r="AA9" s="334"/>
      <c r="AB9" s="334"/>
      <c r="AC9" s="331"/>
      <c r="AD9" s="331"/>
      <c r="AE9" s="331"/>
      <c r="AF9" s="334">
        <f t="shared" si="0"/>
        <v>14.97</v>
      </c>
      <c r="AG9" s="331"/>
      <c r="AH9" s="334"/>
      <c r="AI9" s="334"/>
      <c r="AJ9" s="334"/>
      <c r="AK9" s="334"/>
      <c r="AL9" s="334"/>
      <c r="AM9" s="334"/>
      <c r="AN9" s="334"/>
      <c r="AO9" s="334"/>
      <c r="AP9" s="334"/>
      <c r="AQ9" s="334"/>
      <c r="AR9" s="334"/>
      <c r="AS9" s="334"/>
      <c r="AT9" s="331"/>
      <c r="AU9" s="331"/>
      <c r="AV9" s="334">
        <f t="shared" si="6"/>
        <v>0</v>
      </c>
      <c r="AW9" s="334"/>
      <c r="AX9" s="284"/>
      <c r="AY9" s="284"/>
      <c r="AZ9" s="284"/>
      <c r="BA9" s="284"/>
      <c r="BB9" s="334">
        <f t="shared" si="7"/>
        <v>0</v>
      </c>
      <c r="BC9" s="331"/>
      <c r="BD9" s="284"/>
      <c r="BE9" s="334"/>
      <c r="BF9" s="334">
        <f t="shared" si="1"/>
        <v>0</v>
      </c>
      <c r="BG9" s="331"/>
      <c r="BH9" s="331"/>
      <c r="BI9" s="331"/>
      <c r="BJ9" s="331"/>
      <c r="BK9" s="331"/>
      <c r="BL9" s="331"/>
      <c r="BM9" s="331"/>
      <c r="BN9" s="334"/>
      <c r="BO9" s="334">
        <v>0.3</v>
      </c>
      <c r="BP9" s="334">
        <v>0.3</v>
      </c>
      <c r="BQ9" s="327"/>
      <c r="BR9" s="334">
        <f t="shared" si="2"/>
        <v>0.6</v>
      </c>
      <c r="BS9" s="377"/>
      <c r="BT9" s="377"/>
      <c r="BU9" s="377"/>
      <c r="BV9" s="377"/>
      <c r="BW9" s="377"/>
      <c r="BX9" s="377">
        <f t="shared" si="3"/>
        <v>0</v>
      </c>
      <c r="BY9" s="377">
        <f>'8-κ-15-17'!AO9</f>
        <v>0</v>
      </c>
      <c r="BZ9" s="335">
        <f t="shared" si="8"/>
        <v>61.469999999999992</v>
      </c>
      <c r="CA9" s="335">
        <f t="shared" si="5"/>
        <v>4.46</v>
      </c>
      <c r="CB9" s="289"/>
    </row>
    <row r="10" spans="1:80" s="5" customFormat="1">
      <c r="A10" s="434">
        <f>'1-συμβολαια'!A10</f>
        <v>4605</v>
      </c>
      <c r="B10" s="472" t="str">
        <f>'1-συμβολαια'!C10</f>
        <v>* γονικής 11.618καπολα επικαρπίας ΕΝΣΩΜΑΤΩΣΗ {= παραίτηση αδερφής δικαιώματος οίκησης</v>
      </c>
      <c r="C10" s="508">
        <f>'5-αντίγρ'!AN10</f>
        <v>36.5</v>
      </c>
      <c r="D10" s="508">
        <f>'5-αντίγρ'!AM10</f>
        <v>2.48</v>
      </c>
      <c r="E10" s="377">
        <f>'6-μεταγρ'!Q10</f>
        <v>0</v>
      </c>
      <c r="F10" s="377">
        <f>'6-μεταγρ'!O10</f>
        <v>1.98</v>
      </c>
      <c r="G10" s="377">
        <f>'6-μεταγρ'!R10</f>
        <v>0</v>
      </c>
      <c r="H10" s="377">
        <f>'7-προςΔΟΥ'!Q10</f>
        <v>0</v>
      </c>
      <c r="I10" s="332">
        <f>'7-προςΔΟΥ'!K10</f>
        <v>0</v>
      </c>
      <c r="J10" s="332"/>
      <c r="K10" s="334"/>
      <c r="L10" s="334"/>
      <c r="M10" s="334"/>
      <c r="N10" s="334"/>
      <c r="O10" s="334"/>
      <c r="P10" s="334"/>
      <c r="Q10" s="334"/>
      <c r="R10" s="334"/>
      <c r="S10" s="334"/>
      <c r="T10" s="334"/>
      <c r="U10" s="334"/>
      <c r="V10" s="334"/>
      <c r="W10" s="334"/>
      <c r="X10" s="334"/>
      <c r="Y10" s="334"/>
      <c r="Z10" s="334"/>
      <c r="AA10" s="334"/>
      <c r="AB10" s="334"/>
      <c r="AC10" s="331"/>
      <c r="AD10" s="331"/>
      <c r="AE10" s="331"/>
      <c r="AF10" s="334">
        <f t="shared" si="0"/>
        <v>0</v>
      </c>
      <c r="AG10" s="331"/>
      <c r="AH10" s="334">
        <f>2*3.23</f>
        <v>6.46</v>
      </c>
      <c r="AI10" s="334"/>
      <c r="AJ10" s="334"/>
      <c r="AK10" s="334"/>
      <c r="AL10" s="334"/>
      <c r="AM10" s="334"/>
      <c r="AN10" s="334"/>
      <c r="AO10" s="334"/>
      <c r="AP10" s="334">
        <f>2*3.23</f>
        <v>6.46</v>
      </c>
      <c r="AQ10" s="334"/>
      <c r="AR10" s="334"/>
      <c r="AS10" s="334"/>
      <c r="AT10" s="331"/>
      <c r="AU10" s="331"/>
      <c r="AV10" s="334">
        <f t="shared" si="6"/>
        <v>12.92</v>
      </c>
      <c r="AW10" s="334">
        <v>5.87</v>
      </c>
      <c r="AX10" s="331"/>
      <c r="AY10" s="331"/>
      <c r="AZ10" s="331"/>
      <c r="BA10" s="331"/>
      <c r="BB10" s="334">
        <f t="shared" si="7"/>
        <v>5.87</v>
      </c>
      <c r="BC10" s="331"/>
      <c r="BD10" s="331"/>
      <c r="BE10" s="334"/>
      <c r="BF10" s="334">
        <f t="shared" si="1"/>
        <v>0</v>
      </c>
      <c r="BG10" s="331"/>
      <c r="BH10" s="331"/>
      <c r="BI10" s="331"/>
      <c r="BJ10" s="331"/>
      <c r="BK10" s="331"/>
      <c r="BL10" s="331"/>
      <c r="BM10" s="331"/>
      <c r="BN10" s="334"/>
      <c r="BO10" s="334">
        <v>0.3</v>
      </c>
      <c r="BP10" s="334">
        <v>0.3</v>
      </c>
      <c r="BQ10" s="327"/>
      <c r="BR10" s="334">
        <f t="shared" si="2"/>
        <v>0.6</v>
      </c>
      <c r="BS10" s="377"/>
      <c r="BT10" s="377"/>
      <c r="BU10" s="377"/>
      <c r="BV10" s="377"/>
      <c r="BW10" s="377"/>
      <c r="BX10" s="377">
        <f t="shared" si="3"/>
        <v>0</v>
      </c>
      <c r="BY10" s="377">
        <f>'8-κ-15-17'!AO10</f>
        <v>0</v>
      </c>
      <c r="BZ10" s="335">
        <f t="shared" si="8"/>
        <v>55.89</v>
      </c>
      <c r="CA10" s="335">
        <f t="shared" si="5"/>
        <v>4.46</v>
      </c>
      <c r="CB10" s="451"/>
    </row>
    <row r="11" spans="1:80" s="5" customFormat="1">
      <c r="A11" s="434">
        <f>'1-συμβολαια'!A11</f>
        <v>4606</v>
      </c>
      <c r="B11" s="472" t="str">
        <f>'1-συμβολαια'!C11</f>
        <v>πληρεξούσιο</v>
      </c>
      <c r="C11" s="508">
        <f>'5-αντίγρ'!AN11</f>
        <v>0</v>
      </c>
      <c r="D11" s="508">
        <f>'5-αντίγρ'!AM11</f>
        <v>0</v>
      </c>
      <c r="E11" s="377">
        <f>'6-μεταγρ'!Q11</f>
        <v>0</v>
      </c>
      <c r="F11" s="377">
        <f>'6-μεταγρ'!O11</f>
        <v>0</v>
      </c>
      <c r="G11" s="377">
        <f>'6-μεταγρ'!R11</f>
        <v>0</v>
      </c>
      <c r="H11" s="377">
        <f>'7-προςΔΟΥ'!Q11</f>
        <v>0</v>
      </c>
      <c r="I11" s="332">
        <f>'7-προςΔΟΥ'!K11</f>
        <v>0</v>
      </c>
      <c r="J11" s="281"/>
      <c r="K11" s="334"/>
      <c r="L11" s="334"/>
      <c r="M11" s="334"/>
      <c r="N11" s="334"/>
      <c r="O11" s="334"/>
      <c r="P11" s="334"/>
      <c r="Q11" s="334"/>
      <c r="R11" s="334"/>
      <c r="S11" s="334"/>
      <c r="T11" s="334"/>
      <c r="U11" s="334"/>
      <c r="V11" s="334"/>
      <c r="W11" s="334"/>
      <c r="X11" s="334"/>
      <c r="Y11" s="334"/>
      <c r="Z11" s="334"/>
      <c r="AA11" s="334"/>
      <c r="AB11" s="334"/>
      <c r="AC11" s="331"/>
      <c r="AD11" s="331"/>
      <c r="AE11" s="331"/>
      <c r="AF11" s="334"/>
      <c r="AG11" s="331"/>
      <c r="AH11" s="334"/>
      <c r="AI11" s="334"/>
      <c r="AJ11" s="334"/>
      <c r="AK11" s="334"/>
      <c r="AL11" s="334"/>
      <c r="AM11" s="334"/>
      <c r="AN11" s="334"/>
      <c r="AO11" s="334"/>
      <c r="AP11" s="334"/>
      <c r="AQ11" s="334"/>
      <c r="AR11" s="334"/>
      <c r="AS11" s="334"/>
      <c r="AT11" s="331"/>
      <c r="AU11" s="331"/>
      <c r="AV11" s="334"/>
      <c r="AW11" s="334"/>
      <c r="AX11" s="284"/>
      <c r="AY11" s="284"/>
      <c r="AZ11" s="284"/>
      <c r="BA11" s="284"/>
      <c r="BB11" s="334"/>
      <c r="BC11" s="331"/>
      <c r="BD11" s="284"/>
      <c r="BE11" s="334"/>
      <c r="BF11" s="334"/>
      <c r="BG11" s="331"/>
      <c r="BH11" s="331"/>
      <c r="BI11" s="331"/>
      <c r="BJ11" s="331"/>
      <c r="BK11" s="331"/>
      <c r="BL11" s="331"/>
      <c r="BM11" s="331"/>
      <c r="BN11" s="334"/>
      <c r="BO11" s="334"/>
      <c r="BP11" s="334"/>
      <c r="BQ11" s="327"/>
      <c r="BR11" s="334"/>
      <c r="BS11" s="377"/>
      <c r="BT11" s="377"/>
      <c r="BU11" s="377"/>
      <c r="BV11" s="377"/>
      <c r="BW11" s="377"/>
      <c r="BX11" s="377">
        <f t="shared" si="3"/>
        <v>0</v>
      </c>
      <c r="BY11" s="377">
        <f>'8-κ-15-17'!AO11</f>
        <v>0</v>
      </c>
      <c r="BZ11" s="335">
        <f t="shared" si="8"/>
        <v>0</v>
      </c>
      <c r="CA11" s="335">
        <f t="shared" si="5"/>
        <v>0</v>
      </c>
      <c r="CB11" s="289"/>
    </row>
    <row r="12" spans="1:80" s="5" customFormat="1">
      <c r="A12" s="434">
        <f>'1-συμβολαια'!A12</f>
        <v>4607</v>
      </c>
      <c r="B12" s="472" t="str">
        <f>'1-συμβολαια'!C12</f>
        <v>αγοραπωλησίας 3.919 ΔΙΟΡΘΩΣΗ</v>
      </c>
      <c r="C12" s="508">
        <f>'5-αντίγρ'!AN12</f>
        <v>49.339999999999996</v>
      </c>
      <c r="D12" s="508">
        <f>'5-αντίγρ'!AM12</f>
        <v>1.98</v>
      </c>
      <c r="E12" s="377">
        <f>'6-μεταγρ'!Q12</f>
        <v>11.74</v>
      </c>
      <c r="F12" s="377">
        <f>'6-μεταγρ'!O12</f>
        <v>1.98</v>
      </c>
      <c r="G12" s="377">
        <f>'6-μεταγρ'!R12</f>
        <v>0</v>
      </c>
      <c r="H12" s="377">
        <f>'7-προςΔΟΥ'!Q12</f>
        <v>0</v>
      </c>
      <c r="I12" s="332">
        <f>'7-προςΔΟΥ'!K12</f>
        <v>0</v>
      </c>
      <c r="J12" s="281"/>
      <c r="K12" s="334"/>
      <c r="L12" s="334"/>
      <c r="M12" s="334"/>
      <c r="N12" s="334"/>
      <c r="O12" s="334"/>
      <c r="P12" s="334"/>
      <c r="Q12" s="334"/>
      <c r="R12" s="334"/>
      <c r="S12" s="334"/>
      <c r="T12" s="334"/>
      <c r="U12" s="334"/>
      <c r="V12" s="334"/>
      <c r="W12" s="334"/>
      <c r="X12" s="334"/>
      <c r="Y12" s="334"/>
      <c r="Z12" s="334"/>
      <c r="AA12" s="334"/>
      <c r="AB12" s="334"/>
      <c r="AC12" s="331"/>
      <c r="AD12" s="331"/>
      <c r="AE12" s="331"/>
      <c r="AF12" s="334">
        <f t="shared" si="0"/>
        <v>0</v>
      </c>
      <c r="AG12" s="331"/>
      <c r="AH12" s="334"/>
      <c r="AI12" s="334"/>
      <c r="AJ12" s="334"/>
      <c r="AK12" s="334"/>
      <c r="AL12" s="334"/>
      <c r="AM12" s="334"/>
      <c r="AN12" s="334"/>
      <c r="AO12" s="334"/>
      <c r="AP12" s="334"/>
      <c r="AQ12" s="334"/>
      <c r="AR12" s="334"/>
      <c r="AS12" s="334"/>
      <c r="AT12" s="331"/>
      <c r="AU12" s="331"/>
      <c r="AV12" s="334">
        <f t="shared" si="6"/>
        <v>0</v>
      </c>
      <c r="AW12" s="334"/>
      <c r="AX12" s="284"/>
      <c r="AY12" s="284"/>
      <c r="AZ12" s="284"/>
      <c r="BA12" s="284"/>
      <c r="BB12" s="334">
        <f t="shared" si="7"/>
        <v>0</v>
      </c>
      <c r="BC12" s="331"/>
      <c r="BD12" s="284"/>
      <c r="BE12" s="334"/>
      <c r="BF12" s="334">
        <f t="shared" si="1"/>
        <v>0</v>
      </c>
      <c r="BG12" s="331"/>
      <c r="BH12" s="331"/>
      <c r="BI12" s="331"/>
      <c r="BJ12" s="331"/>
      <c r="BK12" s="331"/>
      <c r="BL12" s="331"/>
      <c r="BM12" s="331"/>
      <c r="BN12" s="334"/>
      <c r="BO12" s="334">
        <v>0.3</v>
      </c>
      <c r="BP12" s="334">
        <v>0.3</v>
      </c>
      <c r="BQ12" s="327"/>
      <c r="BR12" s="334">
        <f t="shared" si="2"/>
        <v>0.6</v>
      </c>
      <c r="BS12" s="377"/>
      <c r="BT12" s="377"/>
      <c r="BU12" s="377"/>
      <c r="BV12" s="377"/>
      <c r="BW12" s="377"/>
      <c r="BX12" s="377">
        <f t="shared" si="3"/>
        <v>0</v>
      </c>
      <c r="BY12" s="377">
        <f>'8-κ-15-17'!AO12</f>
        <v>0</v>
      </c>
      <c r="BZ12" s="335">
        <f t="shared" si="8"/>
        <v>61.68</v>
      </c>
      <c r="CA12" s="335">
        <f t="shared" si="5"/>
        <v>3.96</v>
      </c>
      <c r="CB12" s="289"/>
    </row>
    <row r="13" spans="1:80" s="5" customFormat="1">
      <c r="A13" s="434">
        <f>'1-συμβολαια'!A13</f>
        <v>4608</v>
      </c>
      <c r="B13" s="472" t="str">
        <f>'1-συμβολαια'!C13</f>
        <v>αγοραπωλησία τίμημα = Δ.Ο.Υ. =</v>
      </c>
      <c r="C13" s="508">
        <f>'5-αντίγρ'!AN13</f>
        <v>63.809999999999995</v>
      </c>
      <c r="D13" s="508">
        <f>'5-αντίγρ'!AM13</f>
        <v>2.48</v>
      </c>
      <c r="E13" s="377">
        <f>'6-μεταγρ'!Q13</f>
        <v>11.74</v>
      </c>
      <c r="F13" s="377">
        <f>'6-μεταγρ'!O13</f>
        <v>1.98</v>
      </c>
      <c r="G13" s="377">
        <f>'6-μεταγρ'!R13</f>
        <v>0</v>
      </c>
      <c r="H13" s="377">
        <f>'7-προςΔΟΥ'!Q13</f>
        <v>11.74</v>
      </c>
      <c r="I13" s="332">
        <f>'7-προςΔΟΥ'!K13</f>
        <v>0</v>
      </c>
      <c r="J13" s="281"/>
      <c r="K13" s="334">
        <v>14.97</v>
      </c>
      <c r="L13" s="334">
        <v>14.97</v>
      </c>
      <c r="M13" s="334">
        <v>14.97</v>
      </c>
      <c r="N13" s="334"/>
      <c r="O13" s="334"/>
      <c r="P13" s="334"/>
      <c r="Q13" s="334"/>
      <c r="R13" s="334"/>
      <c r="S13" s="334"/>
      <c r="T13" s="334">
        <v>14.97</v>
      </c>
      <c r="U13" s="334">
        <v>14.97</v>
      </c>
      <c r="V13" s="334"/>
      <c r="W13" s="334"/>
      <c r="X13" s="334"/>
      <c r="Y13" s="334"/>
      <c r="Z13" s="334"/>
      <c r="AA13" s="334"/>
      <c r="AB13" s="334"/>
      <c r="AC13" s="331"/>
      <c r="AD13" s="331"/>
      <c r="AE13" s="331"/>
      <c r="AF13" s="334">
        <f t="shared" si="0"/>
        <v>74.850000000000009</v>
      </c>
      <c r="AG13" s="331"/>
      <c r="AH13" s="334">
        <v>6.46</v>
      </c>
      <c r="AI13" s="334">
        <v>3.23</v>
      </c>
      <c r="AJ13" s="334">
        <v>6.46</v>
      </c>
      <c r="AK13" s="334"/>
      <c r="AL13" s="334"/>
      <c r="AM13" s="334"/>
      <c r="AN13" s="334">
        <v>6.46</v>
      </c>
      <c r="AO13" s="334">
        <v>3.23</v>
      </c>
      <c r="AP13" s="334">
        <v>3.23</v>
      </c>
      <c r="AQ13" s="334">
        <v>3.23</v>
      </c>
      <c r="AR13" s="334">
        <v>3.23</v>
      </c>
      <c r="AS13" s="334"/>
      <c r="AT13" s="331"/>
      <c r="AU13" s="331"/>
      <c r="AV13" s="334">
        <f t="shared" si="6"/>
        <v>35.529999999999994</v>
      </c>
      <c r="AW13" s="334">
        <v>5.87</v>
      </c>
      <c r="AX13" s="331"/>
      <c r="AY13" s="331"/>
      <c r="AZ13" s="331"/>
      <c r="BA13" s="331"/>
      <c r="BB13" s="334">
        <f t="shared" si="7"/>
        <v>5.87</v>
      </c>
      <c r="BC13" s="331"/>
      <c r="BD13" s="331"/>
      <c r="BE13" s="334"/>
      <c r="BF13" s="334">
        <f t="shared" si="1"/>
        <v>0</v>
      </c>
      <c r="BG13" s="331"/>
      <c r="BH13" s="331"/>
      <c r="BI13" s="331"/>
      <c r="BJ13" s="331"/>
      <c r="BK13" s="331"/>
      <c r="BL13" s="331"/>
      <c r="BM13" s="331"/>
      <c r="BN13" s="334">
        <v>1.47</v>
      </c>
      <c r="BO13" s="334">
        <v>0.3</v>
      </c>
      <c r="BP13" s="334">
        <v>0.3</v>
      </c>
      <c r="BQ13" s="327"/>
      <c r="BR13" s="334">
        <f t="shared" si="2"/>
        <v>2.0699999999999998</v>
      </c>
      <c r="BS13" s="377"/>
      <c r="BT13" s="377"/>
      <c r="BU13" s="377"/>
      <c r="BV13" s="377"/>
      <c r="BW13" s="377"/>
      <c r="BX13" s="377">
        <f t="shared" si="3"/>
        <v>0</v>
      </c>
      <c r="BY13" s="377">
        <f>'8-κ-15-17'!AO13</f>
        <v>0</v>
      </c>
      <c r="BZ13" s="335">
        <f t="shared" si="8"/>
        <v>205.60999999999999</v>
      </c>
      <c r="CA13" s="335">
        <f t="shared" si="5"/>
        <v>4.46</v>
      </c>
      <c r="CB13" s="451"/>
    </row>
    <row r="14" spans="1:80" s="5" customFormat="1">
      <c r="A14" s="434">
        <f>'1-συμβολαια'!A14</f>
        <v>4609</v>
      </c>
      <c r="B14" s="472" t="str">
        <f>'1-συμβολαια'!C14</f>
        <v>αγοραπωλησία τίμημα = 6.057,27 Δ.Ο.Υ. =</v>
      </c>
      <c r="C14" s="508">
        <f>'5-αντίγρ'!AN14</f>
        <v>63.809999999999995</v>
      </c>
      <c r="D14" s="508">
        <f>'5-αντίγρ'!AM14</f>
        <v>2.48</v>
      </c>
      <c r="E14" s="377">
        <f>'6-μεταγρ'!Q14</f>
        <v>11.74</v>
      </c>
      <c r="F14" s="377">
        <f>'6-μεταγρ'!O14</f>
        <v>1.98</v>
      </c>
      <c r="G14" s="377">
        <f>'6-μεταγρ'!R14</f>
        <v>0</v>
      </c>
      <c r="H14" s="377">
        <f>'7-προςΔΟΥ'!Q14</f>
        <v>20.53</v>
      </c>
      <c r="I14" s="332">
        <f>'7-προςΔΟΥ'!K14</f>
        <v>0</v>
      </c>
      <c r="J14" s="281"/>
      <c r="K14" s="334">
        <v>14.97</v>
      </c>
      <c r="L14" s="334">
        <v>14.97</v>
      </c>
      <c r="M14" s="334">
        <v>14.97</v>
      </c>
      <c r="N14" s="334"/>
      <c r="O14" s="334"/>
      <c r="P14" s="334"/>
      <c r="Q14" s="334"/>
      <c r="R14" s="334">
        <v>14.97</v>
      </c>
      <c r="S14" s="334">
        <v>14.97</v>
      </c>
      <c r="T14" s="334">
        <v>14.97</v>
      </c>
      <c r="U14" s="334">
        <v>14.97</v>
      </c>
      <c r="V14" s="334"/>
      <c r="W14" s="334"/>
      <c r="X14" s="334"/>
      <c r="Y14" s="334"/>
      <c r="Z14" s="334"/>
      <c r="AA14" s="334"/>
      <c r="AB14" s="334"/>
      <c r="AC14" s="331"/>
      <c r="AD14" s="331"/>
      <c r="AE14" s="331"/>
      <c r="AF14" s="334">
        <f t="shared" si="0"/>
        <v>104.79</v>
      </c>
      <c r="AG14" s="331"/>
      <c r="AH14" s="334">
        <v>6.46</v>
      </c>
      <c r="AI14" s="334"/>
      <c r="AJ14" s="334">
        <v>6.46</v>
      </c>
      <c r="AK14" s="334">
        <v>3.23</v>
      </c>
      <c r="AL14" s="334"/>
      <c r="AM14" s="334"/>
      <c r="AN14" s="334">
        <v>6.46</v>
      </c>
      <c r="AO14" s="334">
        <v>3.23</v>
      </c>
      <c r="AP14" s="334"/>
      <c r="AQ14" s="334">
        <v>3.23</v>
      </c>
      <c r="AR14" s="334"/>
      <c r="AS14" s="334"/>
      <c r="AT14" s="331"/>
      <c r="AU14" s="331"/>
      <c r="AV14" s="334">
        <f t="shared" si="6"/>
        <v>29.07</v>
      </c>
      <c r="AW14" s="334">
        <v>5.87</v>
      </c>
      <c r="AX14" s="331"/>
      <c r="AY14" s="331"/>
      <c r="AZ14" s="331"/>
      <c r="BA14" s="331"/>
      <c r="BB14" s="334">
        <f t="shared" si="7"/>
        <v>5.87</v>
      </c>
      <c r="BC14" s="331"/>
      <c r="BD14" s="331"/>
      <c r="BE14" s="334"/>
      <c r="BF14" s="334">
        <f t="shared" si="1"/>
        <v>0</v>
      </c>
      <c r="BG14" s="331"/>
      <c r="BH14" s="331"/>
      <c r="BI14" s="331"/>
      <c r="BJ14" s="331"/>
      <c r="BK14" s="331"/>
      <c r="BL14" s="331"/>
      <c r="BM14" s="331"/>
      <c r="BN14" s="334">
        <v>1.47</v>
      </c>
      <c r="BO14" s="334">
        <v>0.3</v>
      </c>
      <c r="BP14" s="334">
        <v>0.3</v>
      </c>
      <c r="BQ14" s="327"/>
      <c r="BR14" s="334">
        <f t="shared" si="2"/>
        <v>2.0699999999999998</v>
      </c>
      <c r="BS14" s="377"/>
      <c r="BT14" s="377"/>
      <c r="BU14" s="377"/>
      <c r="BV14" s="377"/>
      <c r="BW14" s="377"/>
      <c r="BX14" s="377">
        <f t="shared" si="3"/>
        <v>0</v>
      </c>
      <c r="BY14" s="377">
        <f>'8-κ-15-17'!AO14</f>
        <v>0</v>
      </c>
      <c r="BZ14" s="335">
        <f t="shared" si="8"/>
        <v>237.88</v>
      </c>
      <c r="CA14" s="335">
        <f t="shared" si="5"/>
        <v>4.46</v>
      </c>
      <c r="CB14" s="451"/>
    </row>
    <row r="15" spans="1:80" s="5" customFormat="1">
      <c r="A15" s="434">
        <f>'1-συμβολαια'!A15</f>
        <v>4610</v>
      </c>
      <c r="B15" s="472" t="str">
        <f>'1-συμβολαια'!C15</f>
        <v>πληρεξούσιο</v>
      </c>
      <c r="C15" s="508">
        <f>'5-αντίγρ'!AN15</f>
        <v>0</v>
      </c>
      <c r="D15" s="508">
        <f>'5-αντίγρ'!AM15</f>
        <v>0</v>
      </c>
      <c r="E15" s="377">
        <f>'6-μεταγρ'!Q15</f>
        <v>0</v>
      </c>
      <c r="F15" s="377">
        <f>'6-μεταγρ'!O15</f>
        <v>0</v>
      </c>
      <c r="G15" s="377">
        <f>'6-μεταγρ'!R15</f>
        <v>0</v>
      </c>
      <c r="H15" s="377">
        <f>'7-προςΔΟΥ'!Q15</f>
        <v>0</v>
      </c>
      <c r="I15" s="332">
        <f>'7-προςΔΟΥ'!K15</f>
        <v>0</v>
      </c>
      <c r="J15" s="281"/>
      <c r="K15" s="334"/>
      <c r="L15" s="334"/>
      <c r="M15" s="334"/>
      <c r="N15" s="334"/>
      <c r="O15" s="334"/>
      <c r="P15" s="334"/>
      <c r="Q15" s="334"/>
      <c r="R15" s="334"/>
      <c r="S15" s="334"/>
      <c r="T15" s="334"/>
      <c r="U15" s="334"/>
      <c r="V15" s="334"/>
      <c r="W15" s="334"/>
      <c r="X15" s="334"/>
      <c r="Y15" s="334"/>
      <c r="Z15" s="334"/>
      <c r="AA15" s="334"/>
      <c r="AB15" s="334"/>
      <c r="AC15" s="331"/>
      <c r="AD15" s="331"/>
      <c r="AE15" s="331"/>
      <c r="AF15" s="334">
        <f t="shared" si="0"/>
        <v>0</v>
      </c>
      <c r="AG15" s="331"/>
      <c r="AH15" s="334"/>
      <c r="AI15" s="334"/>
      <c r="AJ15" s="334"/>
      <c r="AK15" s="334"/>
      <c r="AL15" s="334"/>
      <c r="AM15" s="334"/>
      <c r="AN15" s="334"/>
      <c r="AO15" s="334"/>
      <c r="AP15" s="334"/>
      <c r="AQ15" s="334"/>
      <c r="AR15" s="334"/>
      <c r="AS15" s="334"/>
      <c r="AT15" s="331"/>
      <c r="AU15" s="331"/>
      <c r="AV15" s="334">
        <f t="shared" si="6"/>
        <v>0</v>
      </c>
      <c r="AW15" s="334"/>
      <c r="AX15" s="331"/>
      <c r="AY15" s="331"/>
      <c r="AZ15" s="331"/>
      <c r="BA15" s="331"/>
      <c r="BB15" s="334">
        <f t="shared" si="7"/>
        <v>0</v>
      </c>
      <c r="BC15" s="331"/>
      <c r="BD15" s="331"/>
      <c r="BE15" s="334"/>
      <c r="BF15" s="334">
        <f t="shared" si="1"/>
        <v>0</v>
      </c>
      <c r="BG15" s="331"/>
      <c r="BH15" s="331"/>
      <c r="BI15" s="331"/>
      <c r="BJ15" s="331"/>
      <c r="BK15" s="331"/>
      <c r="BL15" s="331"/>
      <c r="BM15" s="331"/>
      <c r="BN15" s="334"/>
      <c r="BO15" s="334"/>
      <c r="BP15" s="334">
        <v>0.3</v>
      </c>
      <c r="BQ15" s="327"/>
      <c r="BR15" s="334">
        <f t="shared" si="2"/>
        <v>0.3</v>
      </c>
      <c r="BS15" s="377"/>
      <c r="BT15" s="377"/>
      <c r="BU15" s="377"/>
      <c r="BV15" s="377"/>
      <c r="BW15" s="377"/>
      <c r="BX15" s="377">
        <f t="shared" si="3"/>
        <v>0</v>
      </c>
      <c r="BY15" s="377">
        <f>'8-κ-15-17'!AO15</f>
        <v>0</v>
      </c>
      <c r="BZ15" s="335">
        <f t="shared" si="8"/>
        <v>0.3</v>
      </c>
      <c r="CA15" s="335">
        <f t="shared" si="5"/>
        <v>0</v>
      </c>
      <c r="CB15" s="451"/>
    </row>
    <row r="16" spans="1:80" s="5" customFormat="1">
      <c r="A16" s="473">
        <f>'1-συμβολαια'!A16</f>
        <v>4611</v>
      </c>
      <c r="B16" s="472" t="str">
        <f>'1-συμβολαια'!C16</f>
        <v>γονική</v>
      </c>
      <c r="C16" s="508">
        <f>'5-αντίγρ'!AN16</f>
        <v>79.658199999999994</v>
      </c>
      <c r="D16" s="508">
        <f>'5-αντίγρ'!AM16</f>
        <v>2.48</v>
      </c>
      <c r="E16" s="377">
        <f>'6-μεταγρ'!Q16</f>
        <v>11.74</v>
      </c>
      <c r="F16" s="377">
        <f>'6-μεταγρ'!O16</f>
        <v>1.98</v>
      </c>
      <c r="G16" s="377">
        <f>'6-μεταγρ'!R16</f>
        <v>0</v>
      </c>
      <c r="H16" s="377">
        <f>'7-προςΔΟΥ'!Q16</f>
        <v>11.74</v>
      </c>
      <c r="I16" s="332">
        <f>'7-προςΔΟΥ'!K16</f>
        <v>0</v>
      </c>
      <c r="J16" s="281"/>
      <c r="K16" s="334">
        <v>14.97</v>
      </c>
      <c r="L16" s="334">
        <v>14.97</v>
      </c>
      <c r="M16" s="334">
        <v>14.97</v>
      </c>
      <c r="N16" s="334"/>
      <c r="O16" s="334"/>
      <c r="P16" s="334"/>
      <c r="Q16" s="334">
        <v>14.97</v>
      </c>
      <c r="R16" s="334">
        <v>14.97</v>
      </c>
      <c r="S16" s="334"/>
      <c r="T16" s="334">
        <v>14.97</v>
      </c>
      <c r="U16" s="334">
        <v>14.97</v>
      </c>
      <c r="V16" s="334">
        <v>14.97</v>
      </c>
      <c r="W16" s="334"/>
      <c r="X16" s="334"/>
      <c r="Y16" s="334"/>
      <c r="Z16" s="334"/>
      <c r="AA16" s="334"/>
      <c r="AB16" s="334"/>
      <c r="AC16" s="331"/>
      <c r="AD16" s="331"/>
      <c r="AE16" s="331"/>
      <c r="AF16" s="334">
        <f t="shared" si="0"/>
        <v>119.76</v>
      </c>
      <c r="AG16" s="331"/>
      <c r="AH16" s="334">
        <f>2*3.23</f>
        <v>6.46</v>
      </c>
      <c r="AI16" s="334"/>
      <c r="AJ16" s="334">
        <v>6.46</v>
      </c>
      <c r="AK16" s="334"/>
      <c r="AL16" s="334"/>
      <c r="AM16" s="334"/>
      <c r="AN16" s="334"/>
      <c r="AO16" s="334">
        <v>3.23</v>
      </c>
      <c r="AP16" s="334"/>
      <c r="AQ16" s="334">
        <v>3.23</v>
      </c>
      <c r="AR16" s="334"/>
      <c r="AS16" s="334"/>
      <c r="AT16" s="331"/>
      <c r="AU16" s="331"/>
      <c r="AV16" s="334">
        <f t="shared" si="6"/>
        <v>19.38</v>
      </c>
      <c r="AW16" s="334">
        <v>5.87</v>
      </c>
      <c r="AX16" s="331"/>
      <c r="AY16" s="331"/>
      <c r="AZ16" s="331"/>
      <c r="BA16" s="331"/>
      <c r="BB16" s="334">
        <f t="shared" si="7"/>
        <v>5.87</v>
      </c>
      <c r="BC16" s="331"/>
      <c r="BD16" s="331"/>
      <c r="BE16" s="334">
        <v>5.87</v>
      </c>
      <c r="BF16" s="334">
        <f t="shared" si="1"/>
        <v>5.87</v>
      </c>
      <c r="BG16" s="331"/>
      <c r="BH16" s="331"/>
      <c r="BI16" s="331"/>
      <c r="BJ16" s="331"/>
      <c r="BK16" s="331"/>
      <c r="BL16" s="331"/>
      <c r="BM16" s="331"/>
      <c r="BN16" s="334"/>
      <c r="BO16" s="334">
        <v>0.3</v>
      </c>
      <c r="BP16" s="334">
        <v>0.3</v>
      </c>
      <c r="BQ16" s="327"/>
      <c r="BR16" s="334">
        <f t="shared" si="2"/>
        <v>0.6</v>
      </c>
      <c r="BS16" s="377"/>
      <c r="BT16" s="377"/>
      <c r="BU16" s="377"/>
      <c r="BV16" s="377"/>
      <c r="BW16" s="377"/>
      <c r="BX16" s="377">
        <f t="shared" si="3"/>
        <v>0</v>
      </c>
      <c r="BY16" s="377">
        <f>'8-κ-15-17'!AO16</f>
        <v>0</v>
      </c>
      <c r="BZ16" s="335">
        <f t="shared" si="8"/>
        <v>254.61819999999997</v>
      </c>
      <c r="CA16" s="335">
        <f t="shared" si="5"/>
        <v>4.46</v>
      </c>
      <c r="CB16" s="451"/>
    </row>
    <row r="17" spans="1:80" s="5" customFormat="1">
      <c r="A17" s="473">
        <f>'1-συμβολαια'!A17</f>
        <v>0</v>
      </c>
      <c r="B17" s="472" t="str">
        <f>'1-συμβολαια'!C17</f>
        <v>ΧΡΗΣΙΚΤΗΣΙΑ οικοπέδου = 1973 κυπαρισσίουΠαναγιώτη ΑΓΟΡΑΠΩΛΗΣΙΑ άτυπη</v>
      </c>
      <c r="C17" s="508">
        <f>'5-αντίγρ'!AN17</f>
        <v>0</v>
      </c>
      <c r="D17" s="508">
        <f>'5-αντίγρ'!AM17</f>
        <v>0</v>
      </c>
      <c r="E17" s="377">
        <f>'6-μεταγρ'!Q17</f>
        <v>0</v>
      </c>
      <c r="F17" s="377">
        <f>'6-μεταγρ'!O17</f>
        <v>0</v>
      </c>
      <c r="G17" s="377">
        <f>'6-μεταγρ'!R17</f>
        <v>0</v>
      </c>
      <c r="H17" s="377">
        <f>'7-προςΔΟΥ'!Q17</f>
        <v>0</v>
      </c>
      <c r="I17" s="332">
        <f>'7-προςΔΟΥ'!K17</f>
        <v>0</v>
      </c>
      <c r="J17" s="281"/>
      <c r="K17" s="334"/>
      <c r="L17" s="334"/>
      <c r="M17" s="334"/>
      <c r="N17" s="334"/>
      <c r="O17" s="334"/>
      <c r="P17" s="334"/>
      <c r="Q17" s="334"/>
      <c r="R17" s="334"/>
      <c r="S17" s="334"/>
      <c r="T17" s="334"/>
      <c r="U17" s="334"/>
      <c r="V17" s="334"/>
      <c r="W17" s="334"/>
      <c r="X17" s="334"/>
      <c r="Y17" s="334"/>
      <c r="Z17" s="334"/>
      <c r="AA17" s="334"/>
      <c r="AB17" s="334"/>
      <c r="AC17" s="331"/>
      <c r="AD17" s="331"/>
      <c r="AE17" s="331"/>
      <c r="AF17" s="334"/>
      <c r="AG17" s="331"/>
      <c r="AH17" s="334"/>
      <c r="AI17" s="334"/>
      <c r="AJ17" s="334"/>
      <c r="AK17" s="334"/>
      <c r="AL17" s="334"/>
      <c r="AM17" s="334"/>
      <c r="AN17" s="334"/>
      <c r="AO17" s="334"/>
      <c r="AP17" s="334"/>
      <c r="AQ17" s="334"/>
      <c r="AR17" s="334"/>
      <c r="AS17" s="334"/>
      <c r="AT17" s="331"/>
      <c r="AU17" s="331"/>
      <c r="AV17" s="334"/>
      <c r="AW17" s="334"/>
      <c r="AX17" s="331"/>
      <c r="AY17" s="331"/>
      <c r="AZ17" s="331"/>
      <c r="BA17" s="331"/>
      <c r="BB17" s="334"/>
      <c r="BC17" s="331"/>
      <c r="BD17" s="331"/>
      <c r="BE17" s="334"/>
      <c r="BF17" s="334"/>
      <c r="BG17" s="331"/>
      <c r="BH17" s="331"/>
      <c r="BI17" s="331"/>
      <c r="BJ17" s="331"/>
      <c r="BK17" s="331"/>
      <c r="BL17" s="331"/>
      <c r="BM17" s="331"/>
      <c r="BN17" s="334"/>
      <c r="BO17" s="334"/>
      <c r="BP17" s="334"/>
      <c r="BQ17" s="327"/>
      <c r="BR17" s="334"/>
      <c r="BS17" s="377"/>
      <c r="BT17" s="377"/>
      <c r="BU17" s="377"/>
      <c r="BV17" s="377"/>
      <c r="BW17" s="377"/>
      <c r="BX17" s="377">
        <f t="shared" si="3"/>
        <v>0</v>
      </c>
      <c r="BY17" s="377">
        <f>'8-κ-15-17'!AO17</f>
        <v>0</v>
      </c>
      <c r="BZ17" s="335">
        <f t="shared" si="8"/>
        <v>0</v>
      </c>
      <c r="CA17" s="335">
        <f t="shared" si="5"/>
        <v>0</v>
      </c>
      <c r="CB17" s="451"/>
    </row>
    <row r="18" spans="1:80" s="5" customFormat="1">
      <c r="A18" s="473">
        <f>'1-συμβολαια'!A18</f>
        <v>0</v>
      </c>
      <c r="B18" s="472" t="str">
        <f>'1-συμβολαια'!C18</f>
        <v>οριζόντιος ΣΥΣΤΑΣΗ</v>
      </c>
      <c r="C18" s="508">
        <f>'5-αντίγρ'!AN18</f>
        <v>0</v>
      </c>
      <c r="D18" s="508">
        <f>'5-αντίγρ'!AM18</f>
        <v>0</v>
      </c>
      <c r="E18" s="377">
        <f>'6-μεταγρ'!Q18</f>
        <v>0</v>
      </c>
      <c r="F18" s="377">
        <f>'6-μεταγρ'!O18</f>
        <v>0</v>
      </c>
      <c r="G18" s="377">
        <f>'6-μεταγρ'!R18</f>
        <v>0</v>
      </c>
      <c r="H18" s="377">
        <f>'7-προςΔΟΥ'!Q18</f>
        <v>0</v>
      </c>
      <c r="I18" s="332">
        <f>'7-προςΔΟΥ'!K18</f>
        <v>0</v>
      </c>
      <c r="J18" s="281"/>
      <c r="K18" s="334"/>
      <c r="L18" s="334"/>
      <c r="M18" s="334">
        <v>14.97</v>
      </c>
      <c r="N18" s="334"/>
      <c r="O18" s="334"/>
      <c r="P18" s="334"/>
      <c r="Q18" s="334"/>
      <c r="R18" s="334"/>
      <c r="S18" s="334"/>
      <c r="T18" s="334"/>
      <c r="U18" s="334"/>
      <c r="V18" s="334">
        <v>14.97</v>
      </c>
      <c r="W18" s="334"/>
      <c r="X18" s="334"/>
      <c r="Y18" s="334"/>
      <c r="Z18" s="334"/>
      <c r="AA18" s="334"/>
      <c r="AB18" s="334"/>
      <c r="AC18" s="331"/>
      <c r="AD18" s="331"/>
      <c r="AE18" s="331"/>
      <c r="AF18" s="334">
        <f t="shared" si="0"/>
        <v>29.94</v>
      </c>
      <c r="AG18" s="331"/>
      <c r="AH18" s="334"/>
      <c r="AI18" s="334"/>
      <c r="AJ18" s="334"/>
      <c r="AK18" s="334"/>
      <c r="AL18" s="334"/>
      <c r="AM18" s="334"/>
      <c r="AN18" s="334"/>
      <c r="AO18" s="334"/>
      <c r="AP18" s="334"/>
      <c r="AQ18" s="334"/>
      <c r="AR18" s="334"/>
      <c r="AS18" s="334"/>
      <c r="AT18" s="331"/>
      <c r="AU18" s="331"/>
      <c r="AV18" s="334">
        <f t="shared" si="6"/>
        <v>0</v>
      </c>
      <c r="AW18" s="334"/>
      <c r="AX18" s="331"/>
      <c r="AY18" s="331"/>
      <c r="AZ18" s="331"/>
      <c r="BA18" s="331"/>
      <c r="BB18" s="334">
        <f t="shared" si="7"/>
        <v>0</v>
      </c>
      <c r="BC18" s="331"/>
      <c r="BD18" s="331"/>
      <c r="BE18" s="334"/>
      <c r="BF18" s="334">
        <f t="shared" si="1"/>
        <v>0</v>
      </c>
      <c r="BG18" s="331"/>
      <c r="BH18" s="331"/>
      <c r="BI18" s="331"/>
      <c r="BJ18" s="331"/>
      <c r="BK18" s="331"/>
      <c r="BL18" s="331"/>
      <c r="BM18" s="331"/>
      <c r="BN18" s="334"/>
      <c r="BO18" s="334"/>
      <c r="BP18" s="334"/>
      <c r="BQ18" s="327"/>
      <c r="BR18" s="334">
        <f t="shared" si="2"/>
        <v>0</v>
      </c>
      <c r="BS18" s="377"/>
      <c r="BT18" s="377"/>
      <c r="BU18" s="377"/>
      <c r="BV18" s="377"/>
      <c r="BW18" s="377"/>
      <c r="BX18" s="377">
        <f t="shared" si="3"/>
        <v>0</v>
      </c>
      <c r="BY18" s="377">
        <f>'8-κ-15-17'!AO18</f>
        <v>0</v>
      </c>
      <c r="BZ18" s="335">
        <f t="shared" si="8"/>
        <v>29.94</v>
      </c>
      <c r="CA18" s="335">
        <f t="shared" si="5"/>
        <v>0</v>
      </c>
      <c r="CB18" s="451"/>
    </row>
    <row r="19" spans="1:80" s="5" customFormat="1">
      <c r="A19" s="434">
        <f>'1-συμβολαια'!A19</f>
        <v>4612</v>
      </c>
      <c r="B19" s="472" t="str">
        <f>'1-συμβολαια'!C19</f>
        <v>κληρονομιάς ΑΠΟΔΟΧΗ</v>
      </c>
      <c r="C19" s="508">
        <f>'5-αντίγρ'!AN19</f>
        <v>49.419999999999995</v>
      </c>
      <c r="D19" s="508">
        <f>'5-αντίγρ'!AM19</f>
        <v>2.48</v>
      </c>
      <c r="E19" s="377">
        <f>'6-μεταγρ'!Q19</f>
        <v>11.74</v>
      </c>
      <c r="F19" s="377">
        <f>'6-μεταγρ'!O19</f>
        <v>1.98</v>
      </c>
      <c r="G19" s="377">
        <f>'6-μεταγρ'!R19</f>
        <v>0</v>
      </c>
      <c r="H19" s="377">
        <f>'7-προςΔΟΥ'!Q19</f>
        <v>29.32</v>
      </c>
      <c r="I19" s="332">
        <f>'7-προςΔΟΥ'!K19</f>
        <v>0</v>
      </c>
      <c r="J19" s="281"/>
      <c r="K19" s="334"/>
      <c r="L19" s="334"/>
      <c r="M19" s="334">
        <v>14.97</v>
      </c>
      <c r="N19" s="334">
        <v>14.97</v>
      </c>
      <c r="O19" s="334">
        <v>14.97</v>
      </c>
      <c r="P19" s="334"/>
      <c r="Q19" s="334"/>
      <c r="R19" s="334">
        <v>14.97</v>
      </c>
      <c r="S19" s="334"/>
      <c r="T19" s="334">
        <v>14.97</v>
      </c>
      <c r="U19" s="334"/>
      <c r="V19" s="334">
        <v>14.97</v>
      </c>
      <c r="W19" s="334"/>
      <c r="X19" s="334">
        <v>32.58</v>
      </c>
      <c r="Y19" s="334">
        <v>14.97</v>
      </c>
      <c r="Z19" s="334"/>
      <c r="AA19" s="334"/>
      <c r="AB19" s="334"/>
      <c r="AC19" s="331"/>
      <c r="AD19" s="331"/>
      <c r="AE19" s="331"/>
      <c r="AF19" s="334">
        <f t="shared" si="0"/>
        <v>137.37</v>
      </c>
      <c r="AG19" s="331"/>
      <c r="AH19" s="334">
        <v>6.46</v>
      </c>
      <c r="AI19" s="334"/>
      <c r="AJ19" s="334">
        <v>6.46</v>
      </c>
      <c r="AK19" s="334">
        <v>6.46</v>
      </c>
      <c r="AL19" s="334"/>
      <c r="AM19" s="334"/>
      <c r="AN19" s="334"/>
      <c r="AO19" s="334">
        <v>6.46</v>
      </c>
      <c r="AP19" s="334"/>
      <c r="AQ19" s="334">
        <v>6.46</v>
      </c>
      <c r="AR19" s="334"/>
      <c r="AS19" s="334"/>
      <c r="AT19" s="331"/>
      <c r="AU19" s="331"/>
      <c r="AV19" s="334">
        <f t="shared" si="6"/>
        <v>32.299999999999997</v>
      </c>
      <c r="AW19" s="334">
        <v>11.74</v>
      </c>
      <c r="AX19" s="331"/>
      <c r="AY19" s="331"/>
      <c r="AZ19" s="331"/>
      <c r="BA19" s="331"/>
      <c r="BB19" s="334">
        <f t="shared" si="7"/>
        <v>11.74</v>
      </c>
      <c r="BC19" s="331"/>
      <c r="BD19" s="331"/>
      <c r="BE19" s="334"/>
      <c r="BF19" s="334">
        <f t="shared" si="1"/>
        <v>0</v>
      </c>
      <c r="BG19" s="331"/>
      <c r="BH19" s="331"/>
      <c r="BI19" s="331"/>
      <c r="BJ19" s="331"/>
      <c r="BK19" s="331"/>
      <c r="BL19" s="331"/>
      <c r="BM19" s="331"/>
      <c r="BN19" s="334">
        <f>2*BN14</f>
        <v>2.94</v>
      </c>
      <c r="BO19" s="334">
        <v>0.3</v>
      </c>
      <c r="BP19" s="334">
        <v>0.3</v>
      </c>
      <c r="BQ19" s="327"/>
      <c r="BR19" s="334">
        <f t="shared" si="2"/>
        <v>3.5399999999999996</v>
      </c>
      <c r="BS19" s="377"/>
      <c r="BT19" s="377"/>
      <c r="BU19" s="377"/>
      <c r="BV19" s="377"/>
      <c r="BW19" s="377"/>
      <c r="BX19" s="377">
        <f t="shared" si="3"/>
        <v>0</v>
      </c>
      <c r="BY19" s="377">
        <f>'8-κ-15-17'!AO19</f>
        <v>0</v>
      </c>
      <c r="BZ19" s="335">
        <f t="shared" si="8"/>
        <v>275.43</v>
      </c>
      <c r="CA19" s="335">
        <f t="shared" si="5"/>
        <v>4.46</v>
      </c>
      <c r="CB19" s="451"/>
    </row>
    <row r="20" spans="1:80" s="5" customFormat="1">
      <c r="A20" s="434">
        <f>'1-συμβολαια'!A20</f>
        <v>4613</v>
      </c>
      <c r="B20" s="472" t="str">
        <f>'1-συμβολαια'!C20</f>
        <v>γονική</v>
      </c>
      <c r="C20" s="508">
        <f>'5-αντίγρ'!AN20</f>
        <v>93.769999999999982</v>
      </c>
      <c r="D20" s="508">
        <f>'5-αντίγρ'!AM20</f>
        <v>2.48</v>
      </c>
      <c r="E20" s="377">
        <f>'6-μεταγρ'!Q20</f>
        <v>11.74</v>
      </c>
      <c r="F20" s="377">
        <f>'6-μεταγρ'!O20</f>
        <v>1.98</v>
      </c>
      <c r="G20" s="377">
        <f>'6-μεταγρ'!R20</f>
        <v>0</v>
      </c>
      <c r="H20" s="377">
        <f>'7-προςΔΟΥ'!Q20</f>
        <v>35.19</v>
      </c>
      <c r="I20" s="332">
        <f>'7-προςΔΟΥ'!K20</f>
        <v>0</v>
      </c>
      <c r="J20" s="281"/>
      <c r="K20" s="334"/>
      <c r="L20" s="334">
        <v>14.97</v>
      </c>
      <c r="M20" s="334">
        <v>14.97</v>
      </c>
      <c r="N20" s="334"/>
      <c r="O20" s="334"/>
      <c r="P20" s="334"/>
      <c r="Q20" s="334"/>
      <c r="R20" s="334">
        <v>14.97</v>
      </c>
      <c r="S20" s="334"/>
      <c r="T20" s="334">
        <v>14.97</v>
      </c>
      <c r="U20" s="334"/>
      <c r="V20" s="334"/>
      <c r="W20" s="334"/>
      <c r="X20" s="334"/>
      <c r="Y20" s="334"/>
      <c r="Z20" s="334"/>
      <c r="AA20" s="334"/>
      <c r="AB20" s="334"/>
      <c r="AC20" s="331"/>
      <c r="AD20" s="331"/>
      <c r="AE20" s="331"/>
      <c r="AF20" s="334">
        <f t="shared" si="0"/>
        <v>59.88</v>
      </c>
      <c r="AG20" s="331"/>
      <c r="AH20" s="334">
        <v>3.23</v>
      </c>
      <c r="AI20" s="334"/>
      <c r="AJ20" s="334">
        <v>3.23</v>
      </c>
      <c r="AK20" s="334">
        <v>3.23</v>
      </c>
      <c r="AL20" s="334"/>
      <c r="AM20" s="334"/>
      <c r="AN20" s="334"/>
      <c r="AO20" s="334">
        <v>3.23</v>
      </c>
      <c r="AP20" s="334"/>
      <c r="AQ20" s="334">
        <v>3.23</v>
      </c>
      <c r="AR20" s="334">
        <v>3.23</v>
      </c>
      <c r="AS20" s="334"/>
      <c r="AT20" s="331"/>
      <c r="AU20" s="331"/>
      <c r="AV20" s="334">
        <f t="shared" si="6"/>
        <v>19.38</v>
      </c>
      <c r="AW20" s="334">
        <v>5.87</v>
      </c>
      <c r="AX20" s="284"/>
      <c r="AY20" s="284"/>
      <c r="AZ20" s="284"/>
      <c r="BA20" s="284"/>
      <c r="BB20" s="334">
        <f t="shared" si="7"/>
        <v>5.87</v>
      </c>
      <c r="BC20" s="331"/>
      <c r="BD20" s="284"/>
      <c r="BE20" s="334"/>
      <c r="BF20" s="334">
        <f t="shared" si="1"/>
        <v>0</v>
      </c>
      <c r="BG20" s="331"/>
      <c r="BH20" s="331"/>
      <c r="BI20" s="331"/>
      <c r="BJ20" s="331"/>
      <c r="BK20" s="331"/>
      <c r="BL20" s="331"/>
      <c r="BM20" s="331"/>
      <c r="BN20" s="334">
        <v>2.94</v>
      </c>
      <c r="BO20" s="334">
        <v>0.3</v>
      </c>
      <c r="BP20" s="334">
        <v>0.3</v>
      </c>
      <c r="BQ20" s="327"/>
      <c r="BR20" s="334">
        <f t="shared" si="2"/>
        <v>3.5399999999999996</v>
      </c>
      <c r="BS20" s="377"/>
      <c r="BT20" s="377"/>
      <c r="BU20" s="377"/>
      <c r="BV20" s="377"/>
      <c r="BW20" s="377"/>
      <c r="BX20" s="377">
        <f t="shared" si="3"/>
        <v>0</v>
      </c>
      <c r="BY20" s="377">
        <f>'8-κ-15-17'!AO20</f>
        <v>0</v>
      </c>
      <c r="BZ20" s="335">
        <f t="shared" si="8"/>
        <v>229.36999999999998</v>
      </c>
      <c r="CA20" s="335">
        <f t="shared" si="5"/>
        <v>4.46</v>
      </c>
      <c r="CB20" s="289"/>
    </row>
    <row r="21" spans="1:80" s="5" customFormat="1">
      <c r="A21" s="434">
        <f>'1-συμβολαια'!A21</f>
        <v>4614</v>
      </c>
      <c r="B21" s="472" t="str">
        <f>'1-συμβολαια'!C21</f>
        <v>διαθήκη</v>
      </c>
      <c r="C21" s="508">
        <f>'5-αντίγρ'!AN21</f>
        <v>0</v>
      </c>
      <c r="D21" s="508">
        <f>'5-αντίγρ'!AM21</f>
        <v>0</v>
      </c>
      <c r="E21" s="377">
        <f>'6-μεταγρ'!Q21</f>
        <v>0</v>
      </c>
      <c r="F21" s="377">
        <f>'6-μεταγρ'!O21</f>
        <v>0</v>
      </c>
      <c r="G21" s="377">
        <f>'6-μεταγρ'!R21</f>
        <v>0</v>
      </c>
      <c r="H21" s="377">
        <f>'7-προςΔΟΥ'!Q21</f>
        <v>0</v>
      </c>
      <c r="I21" s="332">
        <f>'7-προςΔΟΥ'!K21</f>
        <v>0</v>
      </c>
      <c r="J21" s="281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  <c r="V21" s="334"/>
      <c r="W21" s="334"/>
      <c r="X21" s="334"/>
      <c r="Y21" s="334"/>
      <c r="Z21" s="334"/>
      <c r="AA21" s="334"/>
      <c r="AB21" s="334"/>
      <c r="AC21" s="331"/>
      <c r="AD21" s="331"/>
      <c r="AE21" s="331"/>
      <c r="AF21" s="334"/>
      <c r="AG21" s="331"/>
      <c r="AH21" s="334"/>
      <c r="AI21" s="334"/>
      <c r="AJ21" s="334"/>
      <c r="AK21" s="334"/>
      <c r="AL21" s="334"/>
      <c r="AM21" s="334"/>
      <c r="AN21" s="334"/>
      <c r="AO21" s="334"/>
      <c r="AP21" s="334"/>
      <c r="AQ21" s="334"/>
      <c r="AR21" s="334"/>
      <c r="AS21" s="334"/>
      <c r="AT21" s="331"/>
      <c r="AU21" s="331"/>
      <c r="AV21" s="334"/>
      <c r="AW21" s="334"/>
      <c r="AX21" s="331"/>
      <c r="AY21" s="331"/>
      <c r="AZ21" s="331"/>
      <c r="BA21" s="331"/>
      <c r="BB21" s="334"/>
      <c r="BC21" s="331"/>
      <c r="BD21" s="331"/>
      <c r="BE21" s="334"/>
      <c r="BF21" s="334"/>
      <c r="BG21" s="331"/>
      <c r="BH21" s="331"/>
      <c r="BI21" s="331"/>
      <c r="BJ21" s="331"/>
      <c r="BK21" s="331"/>
      <c r="BL21" s="331"/>
      <c r="BM21" s="331"/>
      <c r="BN21" s="334"/>
      <c r="BO21" s="334"/>
      <c r="BP21" s="334">
        <v>0.3</v>
      </c>
      <c r="BQ21" s="327"/>
      <c r="BR21" s="334">
        <f t="shared" si="2"/>
        <v>0.3</v>
      </c>
      <c r="BS21" s="377"/>
      <c r="BT21" s="377"/>
      <c r="BU21" s="377"/>
      <c r="BV21" s="377"/>
      <c r="BW21" s="377"/>
      <c r="BX21" s="377">
        <f t="shared" si="3"/>
        <v>0</v>
      </c>
      <c r="BY21" s="377">
        <f>'8-κ-15-17'!AO21</f>
        <v>0</v>
      </c>
      <c r="BZ21" s="335">
        <f t="shared" si="8"/>
        <v>0.3</v>
      </c>
      <c r="CA21" s="335">
        <f t="shared" si="5"/>
        <v>0</v>
      </c>
      <c r="CB21" s="451"/>
    </row>
    <row r="22" spans="1:80" s="5" customFormat="1">
      <c r="A22" s="473">
        <f>'1-συμβολαια'!A22</f>
        <v>4615</v>
      </c>
      <c r="B22" s="472" t="str">
        <f>'1-συμβολαια'!C22</f>
        <v>δωρεά</v>
      </c>
      <c r="C22" s="508">
        <f>'5-αντίγρ'!AN22</f>
        <v>68.59</v>
      </c>
      <c r="D22" s="508">
        <f>'5-αντίγρ'!AM22</f>
        <v>2.98</v>
      </c>
      <c r="E22" s="377">
        <f>'6-μεταγρ'!Q22</f>
        <v>11.74</v>
      </c>
      <c r="F22" s="377">
        <f>'6-μεταγρ'!O22</f>
        <v>1.98</v>
      </c>
      <c r="G22" s="377">
        <f>'6-μεταγρ'!R22</f>
        <v>0</v>
      </c>
      <c r="H22" s="377">
        <f>'7-προςΔΟΥ'!Q22</f>
        <v>23.46</v>
      </c>
      <c r="I22" s="332">
        <f>'7-προςΔΟΥ'!K22</f>
        <v>0</v>
      </c>
      <c r="J22" s="281"/>
      <c r="K22" s="334">
        <v>14.97</v>
      </c>
      <c r="L22" s="334">
        <v>14.97</v>
      </c>
      <c r="M22" s="334">
        <v>14.97</v>
      </c>
      <c r="N22" s="334"/>
      <c r="O22" s="334"/>
      <c r="P22" s="334"/>
      <c r="Q22" s="334"/>
      <c r="R22" s="334">
        <v>14.97</v>
      </c>
      <c r="S22" s="334"/>
      <c r="T22" s="334">
        <v>14.97</v>
      </c>
      <c r="U22" s="334"/>
      <c r="V22" s="334">
        <v>14.97</v>
      </c>
      <c r="W22" s="334"/>
      <c r="X22" s="334"/>
      <c r="Y22" s="334"/>
      <c r="Z22" s="334"/>
      <c r="AA22" s="334"/>
      <c r="AB22" s="334"/>
      <c r="AC22" s="331"/>
      <c r="AD22" s="331"/>
      <c r="AE22" s="331"/>
      <c r="AF22" s="334">
        <f t="shared" si="0"/>
        <v>89.820000000000007</v>
      </c>
      <c r="AG22" s="331"/>
      <c r="AH22" s="334">
        <v>6.46</v>
      </c>
      <c r="AI22" s="334"/>
      <c r="AJ22" s="334">
        <v>6.46</v>
      </c>
      <c r="AK22" s="334">
        <v>3.23</v>
      </c>
      <c r="AL22" s="334"/>
      <c r="AM22" s="334"/>
      <c r="AN22" s="334"/>
      <c r="AO22" s="334">
        <v>3.23</v>
      </c>
      <c r="AP22" s="334">
        <v>3.23</v>
      </c>
      <c r="AQ22" s="334">
        <v>3.23</v>
      </c>
      <c r="AR22" s="334"/>
      <c r="AS22" s="334"/>
      <c r="AT22" s="331"/>
      <c r="AU22" s="331"/>
      <c r="AV22" s="334">
        <f t="shared" si="6"/>
        <v>25.84</v>
      </c>
      <c r="AW22" s="334">
        <v>11.74</v>
      </c>
      <c r="AX22" s="331"/>
      <c r="AY22" s="331"/>
      <c r="AZ22" s="331"/>
      <c r="BA22" s="331"/>
      <c r="BB22" s="334">
        <f t="shared" si="7"/>
        <v>11.74</v>
      </c>
      <c r="BC22" s="331"/>
      <c r="BD22" s="331"/>
      <c r="BE22" s="334"/>
      <c r="BF22" s="334">
        <f t="shared" si="1"/>
        <v>0</v>
      </c>
      <c r="BG22" s="331"/>
      <c r="BH22" s="331"/>
      <c r="BI22" s="331"/>
      <c r="BJ22" s="331"/>
      <c r="BK22" s="331"/>
      <c r="BL22" s="331"/>
      <c r="BM22" s="331"/>
      <c r="BN22" s="334">
        <v>2.94</v>
      </c>
      <c r="BO22" s="334">
        <v>0.3</v>
      </c>
      <c r="BP22" s="334">
        <v>0.45</v>
      </c>
      <c r="BQ22" s="327"/>
      <c r="BR22" s="334">
        <f t="shared" si="2"/>
        <v>3.69</v>
      </c>
      <c r="BS22" s="377"/>
      <c r="BT22" s="377"/>
      <c r="BU22" s="377"/>
      <c r="BV22" s="377"/>
      <c r="BW22" s="377"/>
      <c r="BX22" s="377">
        <f t="shared" si="3"/>
        <v>0</v>
      </c>
      <c r="BY22" s="377">
        <f>'8-κ-15-17'!AO22</f>
        <v>0</v>
      </c>
      <c r="BZ22" s="335">
        <f t="shared" si="8"/>
        <v>234.88000000000002</v>
      </c>
      <c r="CA22" s="335">
        <f t="shared" si="5"/>
        <v>4.96</v>
      </c>
      <c r="CB22" s="451"/>
    </row>
    <row r="23" spans="1:80" s="5" customFormat="1">
      <c r="A23" s="473">
        <f>'1-συμβολαια'!A23</f>
        <v>0</v>
      </c>
      <c r="B23" s="472" t="str">
        <f>'1-συμβολαια'!C23</f>
        <v>ΧΡΗΣΙΚΤΗΣΙΑ οικοπέδου &amp; οικίας = 1935 πατρός ΔΩΡΕΑ άτυπη</v>
      </c>
      <c r="C23" s="508">
        <f>'5-αντίγρ'!AN23</f>
        <v>0</v>
      </c>
      <c r="D23" s="508">
        <f>'5-αντίγρ'!AM23</f>
        <v>0</v>
      </c>
      <c r="E23" s="377">
        <f>'6-μεταγρ'!Q23</f>
        <v>0</v>
      </c>
      <c r="F23" s="377">
        <f>'6-μεταγρ'!O23</f>
        <v>0</v>
      </c>
      <c r="G23" s="377">
        <f>'6-μεταγρ'!R23</f>
        <v>0</v>
      </c>
      <c r="H23" s="377">
        <f>'7-προςΔΟΥ'!Q23</f>
        <v>0</v>
      </c>
      <c r="I23" s="332">
        <f>'7-προςΔΟΥ'!K23</f>
        <v>0</v>
      </c>
      <c r="J23" s="281"/>
      <c r="K23" s="334"/>
      <c r="L23" s="334"/>
      <c r="M23" s="334"/>
      <c r="N23" s="334"/>
      <c r="O23" s="334"/>
      <c r="P23" s="334"/>
      <c r="Q23" s="334"/>
      <c r="R23" s="334"/>
      <c r="S23" s="334"/>
      <c r="T23" s="334"/>
      <c r="U23" s="334"/>
      <c r="V23" s="334"/>
      <c r="W23" s="334"/>
      <c r="X23" s="334"/>
      <c r="Y23" s="334"/>
      <c r="Z23" s="334"/>
      <c r="AA23" s="334"/>
      <c r="AB23" s="334"/>
      <c r="AC23" s="331"/>
      <c r="AD23" s="331"/>
      <c r="AE23" s="331"/>
      <c r="AF23" s="334"/>
      <c r="AG23" s="331"/>
      <c r="AH23" s="334"/>
      <c r="AI23" s="334"/>
      <c r="AJ23" s="334"/>
      <c r="AK23" s="334"/>
      <c r="AL23" s="334"/>
      <c r="AM23" s="334"/>
      <c r="AN23" s="334"/>
      <c r="AO23" s="334"/>
      <c r="AP23" s="334"/>
      <c r="AQ23" s="334"/>
      <c r="AR23" s="334"/>
      <c r="AS23" s="334"/>
      <c r="AT23" s="331"/>
      <c r="AU23" s="331"/>
      <c r="AV23" s="334"/>
      <c r="AW23" s="334"/>
      <c r="AX23" s="331"/>
      <c r="AY23" s="331"/>
      <c r="AZ23" s="331"/>
      <c r="BA23" s="331"/>
      <c r="BB23" s="334"/>
      <c r="BC23" s="331"/>
      <c r="BD23" s="331"/>
      <c r="BE23" s="334"/>
      <c r="BF23" s="334"/>
      <c r="BG23" s="331"/>
      <c r="BH23" s="331"/>
      <c r="BI23" s="331"/>
      <c r="BJ23" s="331"/>
      <c r="BK23" s="331"/>
      <c r="BL23" s="331"/>
      <c r="BM23" s="331"/>
      <c r="BN23" s="334"/>
      <c r="BO23" s="334"/>
      <c r="BP23" s="334"/>
      <c r="BQ23" s="327"/>
      <c r="BR23" s="334"/>
      <c r="BS23" s="377"/>
      <c r="BT23" s="377"/>
      <c r="BU23" s="377"/>
      <c r="BV23" s="377"/>
      <c r="BW23" s="377"/>
      <c r="BX23" s="377"/>
      <c r="BY23" s="377"/>
      <c r="BZ23" s="335"/>
      <c r="CA23" s="335"/>
      <c r="CB23" s="451"/>
    </row>
    <row r="24" spans="1:80" s="5" customFormat="1">
      <c r="A24" s="547">
        <f>'1-συμβολαια'!A24</f>
        <v>4616</v>
      </c>
      <c r="B24" s="472" t="str">
        <f>'1-συμβολαια'!C24</f>
        <v>δωρεά</v>
      </c>
      <c r="C24" s="508">
        <f>'5-αντίγρ'!AN24</f>
        <v>75.259999999999991</v>
      </c>
      <c r="D24" s="508">
        <f>'5-αντίγρ'!AM24</f>
        <v>2.48</v>
      </c>
      <c r="E24" s="377">
        <f>'6-μεταγρ'!Q24</f>
        <v>11.74</v>
      </c>
      <c r="F24" s="377">
        <f>'6-μεταγρ'!O24</f>
        <v>1.98</v>
      </c>
      <c r="G24" s="377">
        <f>'6-μεταγρ'!R24</f>
        <v>0</v>
      </c>
      <c r="H24" s="377">
        <f>'7-προςΔΟΥ'!Q24</f>
        <v>29.32</v>
      </c>
      <c r="I24" s="332">
        <f>'7-προςΔΟΥ'!K24</f>
        <v>0</v>
      </c>
      <c r="J24" s="332"/>
      <c r="K24" s="334">
        <v>14.97</v>
      </c>
      <c r="L24" s="334">
        <v>14.97</v>
      </c>
      <c r="M24" s="334">
        <v>14.97</v>
      </c>
      <c r="N24" s="334"/>
      <c r="O24" s="334"/>
      <c r="P24" s="334"/>
      <c r="Q24" s="334"/>
      <c r="R24" s="334">
        <v>14.97</v>
      </c>
      <c r="S24" s="334"/>
      <c r="T24" s="334">
        <v>14.97</v>
      </c>
      <c r="U24" s="334"/>
      <c r="V24" s="334">
        <v>14.97</v>
      </c>
      <c r="W24" s="334"/>
      <c r="X24" s="334"/>
      <c r="Y24" s="334"/>
      <c r="Z24" s="334"/>
      <c r="AA24" s="334"/>
      <c r="AB24" s="334"/>
      <c r="AC24" s="331"/>
      <c r="AD24" s="331"/>
      <c r="AE24" s="331"/>
      <c r="AF24" s="334">
        <f t="shared" si="0"/>
        <v>89.820000000000007</v>
      </c>
      <c r="AG24" s="331"/>
      <c r="AH24" s="334">
        <v>3.23</v>
      </c>
      <c r="AI24" s="334"/>
      <c r="AJ24" s="334">
        <v>3.23</v>
      </c>
      <c r="AK24" s="334">
        <v>3.23</v>
      </c>
      <c r="AL24" s="334"/>
      <c r="AM24" s="334"/>
      <c r="AN24" s="334"/>
      <c r="AO24" s="334">
        <v>3.23</v>
      </c>
      <c r="AP24" s="334">
        <v>3.23</v>
      </c>
      <c r="AQ24" s="334">
        <v>3.23</v>
      </c>
      <c r="AR24" s="334"/>
      <c r="AS24" s="334"/>
      <c r="AT24" s="331"/>
      <c r="AU24" s="331"/>
      <c r="AV24" s="334">
        <f t="shared" si="6"/>
        <v>19.38</v>
      </c>
      <c r="AW24" s="334">
        <v>5.87</v>
      </c>
      <c r="AX24" s="331"/>
      <c r="AY24" s="331"/>
      <c r="AZ24" s="331"/>
      <c r="BA24" s="331"/>
      <c r="BB24" s="334">
        <f t="shared" si="7"/>
        <v>5.87</v>
      </c>
      <c r="BC24" s="331"/>
      <c r="BD24" s="331"/>
      <c r="BE24" s="334"/>
      <c r="BF24" s="334">
        <f t="shared" si="1"/>
        <v>0</v>
      </c>
      <c r="BG24" s="331"/>
      <c r="BH24" s="331"/>
      <c r="BI24" s="331"/>
      <c r="BJ24" s="331"/>
      <c r="BK24" s="331"/>
      <c r="BL24" s="331"/>
      <c r="BM24" s="331"/>
      <c r="BN24" s="334">
        <v>2.94</v>
      </c>
      <c r="BO24" s="334">
        <v>0.3</v>
      </c>
      <c r="BP24" s="334">
        <v>0.3</v>
      </c>
      <c r="BQ24" s="327"/>
      <c r="BR24" s="334">
        <f t="shared" si="2"/>
        <v>3.5399999999999996</v>
      </c>
      <c r="BS24" s="377"/>
      <c r="BT24" s="377"/>
      <c r="BU24" s="377"/>
      <c r="BV24" s="377"/>
      <c r="BW24" s="377"/>
      <c r="BX24" s="377">
        <f t="shared" si="3"/>
        <v>0</v>
      </c>
      <c r="BY24" s="377">
        <f>'8-κ-15-17'!AO24</f>
        <v>0</v>
      </c>
      <c r="BZ24" s="335">
        <f t="shared" si="8"/>
        <v>234.92999999999998</v>
      </c>
      <c r="CA24" s="335">
        <f t="shared" si="5"/>
        <v>4.46</v>
      </c>
      <c r="CB24" s="451"/>
    </row>
    <row r="25" spans="1:80" s="5" customFormat="1">
      <c r="A25" s="547">
        <f>'1-συμβολαια'!A25</f>
        <v>0</v>
      </c>
      <c r="B25" s="472" t="str">
        <f>'1-συμβολαια'!C25</f>
        <v>ΧΡΗΣΙΚΤΗΣΙΑ αγροτεμαχίου = 1925 πατρός ΔΩΡΕΑ άτυπη</v>
      </c>
      <c r="C25" s="508">
        <f>'5-αντίγρ'!AN25</f>
        <v>0</v>
      </c>
      <c r="D25" s="508">
        <f>'5-αντίγρ'!AM25</f>
        <v>0</v>
      </c>
      <c r="E25" s="377">
        <f>'6-μεταγρ'!Q25</f>
        <v>0</v>
      </c>
      <c r="F25" s="377">
        <f>'6-μεταγρ'!O25</f>
        <v>0</v>
      </c>
      <c r="G25" s="377">
        <f>'6-μεταγρ'!R25</f>
        <v>0</v>
      </c>
      <c r="H25" s="377">
        <f>'7-προςΔΟΥ'!Q25</f>
        <v>0</v>
      </c>
      <c r="I25" s="332">
        <f>'7-προςΔΟΥ'!K25</f>
        <v>0</v>
      </c>
      <c r="J25" s="281"/>
      <c r="K25" s="334"/>
      <c r="L25" s="334"/>
      <c r="M25" s="334"/>
      <c r="N25" s="334"/>
      <c r="O25" s="334"/>
      <c r="P25" s="334"/>
      <c r="Q25" s="334"/>
      <c r="R25" s="334"/>
      <c r="S25" s="334"/>
      <c r="T25" s="334"/>
      <c r="U25" s="334"/>
      <c r="V25" s="334"/>
      <c r="W25" s="334"/>
      <c r="X25" s="334"/>
      <c r="Y25" s="334"/>
      <c r="Z25" s="334"/>
      <c r="AA25" s="334"/>
      <c r="AB25" s="334"/>
      <c r="AC25" s="331"/>
      <c r="AD25" s="331"/>
      <c r="AE25" s="331"/>
      <c r="AF25" s="334"/>
      <c r="AG25" s="331"/>
      <c r="AH25" s="334"/>
      <c r="AI25" s="334"/>
      <c r="AJ25" s="334"/>
      <c r="AK25" s="334"/>
      <c r="AL25" s="334"/>
      <c r="AM25" s="334"/>
      <c r="AN25" s="334"/>
      <c r="AO25" s="334"/>
      <c r="AP25" s="334"/>
      <c r="AQ25" s="334"/>
      <c r="AR25" s="334"/>
      <c r="AS25" s="334"/>
      <c r="AT25" s="331"/>
      <c r="AU25" s="331"/>
      <c r="AV25" s="334"/>
      <c r="AW25" s="334"/>
      <c r="AX25" s="331"/>
      <c r="AY25" s="331"/>
      <c r="AZ25" s="331"/>
      <c r="BA25" s="331"/>
      <c r="BB25" s="334"/>
      <c r="BC25" s="331"/>
      <c r="BD25" s="331"/>
      <c r="BE25" s="334"/>
      <c r="BF25" s="334"/>
      <c r="BG25" s="331"/>
      <c r="BH25" s="331"/>
      <c r="BI25" s="331"/>
      <c r="BJ25" s="331"/>
      <c r="BK25" s="331"/>
      <c r="BL25" s="331"/>
      <c r="BM25" s="331"/>
      <c r="BN25" s="334"/>
      <c r="BO25" s="334"/>
      <c r="BP25" s="334"/>
      <c r="BQ25" s="327"/>
      <c r="BR25" s="334"/>
      <c r="BS25" s="377"/>
      <c r="BT25" s="377"/>
      <c r="BU25" s="377"/>
      <c r="BV25" s="377"/>
      <c r="BW25" s="377"/>
      <c r="BX25" s="377"/>
      <c r="BY25" s="377"/>
      <c r="BZ25" s="335"/>
      <c r="CA25" s="335"/>
      <c r="CB25" s="451"/>
    </row>
    <row r="26" spans="1:80" s="5" customFormat="1">
      <c r="A26" s="547">
        <f>'1-συμβολαια'!A26</f>
        <v>0</v>
      </c>
      <c r="B26" s="472" t="str">
        <f>'1-συμβολαια'!C26</f>
        <v>ΧΡΗΣΙΚΤΗΣΙΑ αγροτεμαχίου (νυν οικόπεδο) = 1975 ΑΝΑΔΑΣΜΟΣ</v>
      </c>
      <c r="C26" s="508">
        <f>'5-αντίγρ'!AN26</f>
        <v>0</v>
      </c>
      <c r="D26" s="508">
        <f>'5-αντίγρ'!AM26</f>
        <v>0</v>
      </c>
      <c r="E26" s="377">
        <f>'6-μεταγρ'!Q26</f>
        <v>0</v>
      </c>
      <c r="F26" s="377">
        <f>'6-μεταγρ'!O26</f>
        <v>0</v>
      </c>
      <c r="G26" s="377">
        <f>'6-μεταγρ'!R26</f>
        <v>0</v>
      </c>
      <c r="H26" s="377">
        <f>'7-προςΔΟΥ'!Q26</f>
        <v>0</v>
      </c>
      <c r="I26" s="332">
        <f>'7-προςΔΟΥ'!K26</f>
        <v>0</v>
      </c>
      <c r="J26" s="281"/>
      <c r="K26" s="334"/>
      <c r="L26" s="334"/>
      <c r="M26" s="334"/>
      <c r="N26" s="334"/>
      <c r="O26" s="334"/>
      <c r="P26" s="334"/>
      <c r="Q26" s="334"/>
      <c r="R26" s="334"/>
      <c r="S26" s="334"/>
      <c r="T26" s="334"/>
      <c r="U26" s="334"/>
      <c r="V26" s="334"/>
      <c r="W26" s="334"/>
      <c r="X26" s="334"/>
      <c r="Y26" s="334"/>
      <c r="Z26" s="334"/>
      <c r="AA26" s="334"/>
      <c r="AB26" s="334"/>
      <c r="AC26" s="331"/>
      <c r="AD26" s="331"/>
      <c r="AE26" s="331"/>
      <c r="AF26" s="334"/>
      <c r="AG26" s="331"/>
      <c r="AH26" s="334"/>
      <c r="AI26" s="334"/>
      <c r="AJ26" s="334"/>
      <c r="AK26" s="334"/>
      <c r="AL26" s="334"/>
      <c r="AM26" s="334"/>
      <c r="AN26" s="334"/>
      <c r="AO26" s="334"/>
      <c r="AP26" s="334"/>
      <c r="AQ26" s="334"/>
      <c r="AR26" s="334"/>
      <c r="AS26" s="334"/>
      <c r="AT26" s="331"/>
      <c r="AU26" s="331"/>
      <c r="AV26" s="334"/>
      <c r="AW26" s="334"/>
      <c r="AX26" s="331"/>
      <c r="AY26" s="331"/>
      <c r="AZ26" s="331"/>
      <c r="BA26" s="331"/>
      <c r="BB26" s="334"/>
      <c r="BC26" s="331"/>
      <c r="BD26" s="331"/>
      <c r="BE26" s="334"/>
      <c r="BF26" s="334"/>
      <c r="BG26" s="331"/>
      <c r="BH26" s="331"/>
      <c r="BI26" s="331"/>
      <c r="BJ26" s="331"/>
      <c r="BK26" s="331"/>
      <c r="BL26" s="331"/>
      <c r="BM26" s="331"/>
      <c r="BN26" s="334"/>
      <c r="BO26" s="334"/>
      <c r="BP26" s="334"/>
      <c r="BQ26" s="327"/>
      <c r="BR26" s="334"/>
      <c r="BS26" s="377"/>
      <c r="BT26" s="377"/>
      <c r="BU26" s="377"/>
      <c r="BV26" s="377"/>
      <c r="BW26" s="377"/>
      <c r="BX26" s="377"/>
      <c r="BY26" s="377"/>
      <c r="BZ26" s="335"/>
      <c r="CA26" s="335"/>
      <c r="CB26" s="451"/>
    </row>
    <row r="27" spans="1:80" s="5" customFormat="1">
      <c r="A27" s="473">
        <f>'1-συμβολαια'!A27</f>
        <v>4617</v>
      </c>
      <c r="B27" s="472" t="str">
        <f>'1-συμβολαια'!C27</f>
        <v>προσύμφωνο μεταβιβάσεως ποσοστών οικοπέδου</v>
      </c>
      <c r="C27" s="508">
        <f>'5-αντίγρ'!AN27</f>
        <v>23.790000000000003</v>
      </c>
      <c r="D27" s="508">
        <f>'5-αντίγρ'!AM27</f>
        <v>0</v>
      </c>
      <c r="E27" s="377">
        <f>'6-μεταγρ'!Q27</f>
        <v>0</v>
      </c>
      <c r="F27" s="377">
        <f>'6-μεταγρ'!O27</f>
        <v>0</v>
      </c>
      <c r="G27" s="377">
        <f>'6-μεταγρ'!R27</f>
        <v>0</v>
      </c>
      <c r="H27" s="377">
        <f>'7-προςΔΟΥ'!Q27</f>
        <v>0</v>
      </c>
      <c r="I27" s="332">
        <f>'7-προςΔΟΥ'!K27</f>
        <v>0</v>
      </c>
      <c r="J27" s="281"/>
      <c r="K27" s="334"/>
      <c r="L27" s="334"/>
      <c r="M27" s="334"/>
      <c r="N27" s="334"/>
      <c r="O27" s="334"/>
      <c r="P27" s="334"/>
      <c r="Q27" s="334"/>
      <c r="R27" s="334"/>
      <c r="S27" s="334"/>
      <c r="T27" s="334"/>
      <c r="U27" s="334"/>
      <c r="V27" s="334"/>
      <c r="W27" s="334"/>
      <c r="X27" s="334"/>
      <c r="Y27" s="334"/>
      <c r="Z27" s="334"/>
      <c r="AA27" s="334"/>
      <c r="AB27" s="334"/>
      <c r="AC27" s="331"/>
      <c r="AD27" s="331"/>
      <c r="AE27" s="331"/>
      <c r="AF27" s="334"/>
      <c r="AG27" s="331"/>
      <c r="AH27" s="334"/>
      <c r="AI27" s="334"/>
      <c r="AJ27" s="334"/>
      <c r="AK27" s="334"/>
      <c r="AL27" s="334"/>
      <c r="AM27" s="334"/>
      <c r="AN27" s="334"/>
      <c r="AO27" s="334"/>
      <c r="AP27" s="334"/>
      <c r="AQ27" s="334"/>
      <c r="AR27" s="334"/>
      <c r="AS27" s="334"/>
      <c r="AT27" s="331"/>
      <c r="AU27" s="331"/>
      <c r="AV27" s="334"/>
      <c r="AW27" s="334"/>
      <c r="AX27" s="331"/>
      <c r="AY27" s="331"/>
      <c r="AZ27" s="331"/>
      <c r="BA27" s="331"/>
      <c r="BB27" s="334"/>
      <c r="BC27" s="331"/>
      <c r="BD27" s="331"/>
      <c r="BE27" s="334"/>
      <c r="BF27" s="334"/>
      <c r="BG27" s="331"/>
      <c r="BH27" s="331"/>
      <c r="BI27" s="331"/>
      <c r="BJ27" s="331"/>
      <c r="BK27" s="331"/>
      <c r="BL27" s="331"/>
      <c r="BM27" s="331"/>
      <c r="BN27" s="334"/>
      <c r="BO27" s="334"/>
      <c r="BP27" s="334"/>
      <c r="BQ27" s="327"/>
      <c r="BR27" s="334"/>
      <c r="BS27" s="377"/>
      <c r="BT27" s="377"/>
      <c r="BU27" s="377"/>
      <c r="BV27" s="377"/>
      <c r="BW27" s="377"/>
      <c r="BX27" s="377"/>
      <c r="BY27" s="377"/>
      <c r="BZ27" s="335"/>
      <c r="CA27" s="335"/>
      <c r="CB27" s="451"/>
    </row>
    <row r="28" spans="1:80" s="5" customFormat="1">
      <c r="A28" s="473">
        <f>'1-συμβολαια'!A28</f>
        <v>0</v>
      </c>
      <c r="B28" s="472" t="str">
        <f>'1-συμβολαια'!C28</f>
        <v>εργολαβικό</v>
      </c>
      <c r="C28" s="508">
        <f>'5-αντίγρ'!AN28</f>
        <v>0</v>
      </c>
      <c r="D28" s="508">
        <f>'5-αντίγρ'!AM28</f>
        <v>0</v>
      </c>
      <c r="E28" s="377">
        <f>'6-μεταγρ'!Q28</f>
        <v>0</v>
      </c>
      <c r="F28" s="377">
        <f>'6-μεταγρ'!O28</f>
        <v>0</v>
      </c>
      <c r="G28" s="377">
        <f>'6-μεταγρ'!R28</f>
        <v>0</v>
      </c>
      <c r="H28" s="377">
        <f>'7-προςΔΟΥ'!Q28</f>
        <v>0</v>
      </c>
      <c r="I28" s="332">
        <f>'7-προςΔΟΥ'!K28</f>
        <v>0</v>
      </c>
      <c r="J28" s="281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1"/>
      <c r="AD28" s="331"/>
      <c r="AE28" s="331"/>
      <c r="AF28" s="334">
        <f t="shared" si="0"/>
        <v>0</v>
      </c>
      <c r="AG28" s="331"/>
      <c r="AH28" s="334"/>
      <c r="AI28" s="334"/>
      <c r="AJ28" s="334"/>
      <c r="AK28" s="334"/>
      <c r="AL28" s="334"/>
      <c r="AM28" s="334"/>
      <c r="AN28" s="334">
        <v>6.46</v>
      </c>
      <c r="AO28" s="334"/>
      <c r="AP28" s="334"/>
      <c r="AQ28" s="334"/>
      <c r="AR28" s="334">
        <v>6.46</v>
      </c>
      <c r="AS28" s="334"/>
      <c r="AT28" s="331"/>
      <c r="AU28" s="331"/>
      <c r="AV28" s="334">
        <f t="shared" si="6"/>
        <v>12.92</v>
      </c>
      <c r="AW28" s="334"/>
      <c r="AX28" s="331"/>
      <c r="AY28" s="331"/>
      <c r="AZ28" s="331"/>
      <c r="BA28" s="331"/>
      <c r="BB28" s="334">
        <f t="shared" si="7"/>
        <v>0</v>
      </c>
      <c r="BC28" s="331"/>
      <c r="BD28" s="331"/>
      <c r="BE28" s="334"/>
      <c r="BF28" s="334">
        <f t="shared" si="1"/>
        <v>0</v>
      </c>
      <c r="BG28" s="331"/>
      <c r="BH28" s="331"/>
      <c r="BI28" s="331"/>
      <c r="BJ28" s="331"/>
      <c r="BK28" s="331"/>
      <c r="BL28" s="331"/>
      <c r="BM28" s="331"/>
      <c r="BN28" s="334">
        <f>5*1.47</f>
        <v>7.35</v>
      </c>
      <c r="BO28" s="334"/>
      <c r="BP28" s="334">
        <v>0.3</v>
      </c>
      <c r="BQ28" s="327"/>
      <c r="BR28" s="334">
        <f t="shared" si="2"/>
        <v>7.6499999999999995</v>
      </c>
      <c r="BS28" s="377"/>
      <c r="BT28" s="377"/>
      <c r="BU28" s="377"/>
      <c r="BV28" s="377"/>
      <c r="BW28" s="377"/>
      <c r="BX28" s="377">
        <f t="shared" si="3"/>
        <v>0</v>
      </c>
      <c r="BY28" s="377">
        <f>'8-κ-15-17'!AO28</f>
        <v>0</v>
      </c>
      <c r="BZ28" s="335">
        <f t="shared" si="8"/>
        <v>20.57</v>
      </c>
      <c r="CA28" s="335">
        <f t="shared" si="5"/>
        <v>0</v>
      </c>
      <c r="CB28" s="451"/>
    </row>
    <row r="29" spans="1:80" s="5" customFormat="1">
      <c r="A29" s="434">
        <f>'1-συμβολαια'!A29</f>
        <v>4618</v>
      </c>
      <c r="B29" s="472" t="str">
        <f>'1-συμβολαια'!C29</f>
        <v>πληρεξούσιο</v>
      </c>
      <c r="C29" s="508">
        <f>'5-αντίγρ'!AN29</f>
        <v>6.46</v>
      </c>
      <c r="D29" s="508">
        <f>'5-αντίγρ'!AM29</f>
        <v>4.92</v>
      </c>
      <c r="E29" s="377">
        <f>'6-μεταγρ'!Q29</f>
        <v>0</v>
      </c>
      <c r="F29" s="377">
        <f>'6-μεταγρ'!O29</f>
        <v>0</v>
      </c>
      <c r="G29" s="377">
        <f>'6-μεταγρ'!R29</f>
        <v>0</v>
      </c>
      <c r="H29" s="377">
        <f>'7-προςΔΟΥ'!Q29</f>
        <v>0</v>
      </c>
      <c r="I29" s="332">
        <f>'7-προςΔΟΥ'!K29</f>
        <v>0</v>
      </c>
      <c r="J29" s="281"/>
      <c r="K29" s="334"/>
      <c r="L29" s="334"/>
      <c r="M29" s="334"/>
      <c r="N29" s="334"/>
      <c r="O29" s="334"/>
      <c r="P29" s="334"/>
      <c r="Q29" s="334"/>
      <c r="R29" s="334"/>
      <c r="S29" s="334"/>
      <c r="T29" s="334"/>
      <c r="U29" s="334"/>
      <c r="V29" s="334"/>
      <c r="W29" s="334"/>
      <c r="X29" s="334"/>
      <c r="Y29" s="334"/>
      <c r="Z29" s="334"/>
      <c r="AA29" s="334"/>
      <c r="AB29" s="334"/>
      <c r="AC29" s="331"/>
      <c r="AD29" s="331"/>
      <c r="AE29" s="331"/>
      <c r="AF29" s="334">
        <f t="shared" si="0"/>
        <v>0</v>
      </c>
      <c r="AG29" s="331"/>
      <c r="AH29" s="334"/>
      <c r="AI29" s="334"/>
      <c r="AJ29" s="334"/>
      <c r="AK29" s="334"/>
      <c r="AL29" s="334"/>
      <c r="AM29" s="334"/>
      <c r="AN29" s="334"/>
      <c r="AO29" s="334"/>
      <c r="AP29" s="334"/>
      <c r="AQ29" s="334"/>
      <c r="AR29" s="334"/>
      <c r="AS29" s="334"/>
      <c r="AT29" s="331"/>
      <c r="AU29" s="331"/>
      <c r="AV29" s="334">
        <f t="shared" si="6"/>
        <v>0</v>
      </c>
      <c r="AW29" s="334"/>
      <c r="AX29" s="331"/>
      <c r="AY29" s="331"/>
      <c r="AZ29" s="331"/>
      <c r="BA29" s="331"/>
      <c r="BB29" s="334">
        <f t="shared" si="7"/>
        <v>0</v>
      </c>
      <c r="BC29" s="331"/>
      <c r="BD29" s="331"/>
      <c r="BE29" s="334"/>
      <c r="BF29" s="334">
        <f t="shared" si="1"/>
        <v>0</v>
      </c>
      <c r="BG29" s="331"/>
      <c r="BH29" s="331"/>
      <c r="BI29" s="331"/>
      <c r="BJ29" s="331"/>
      <c r="BK29" s="331"/>
      <c r="BL29" s="331"/>
      <c r="BM29" s="331"/>
      <c r="BN29" s="334"/>
      <c r="BO29" s="334"/>
      <c r="BP29" s="334">
        <v>0.3</v>
      </c>
      <c r="BQ29" s="327"/>
      <c r="BR29" s="334">
        <f t="shared" si="2"/>
        <v>0.3</v>
      </c>
      <c r="BS29" s="377"/>
      <c r="BT29" s="377"/>
      <c r="BU29" s="377"/>
      <c r="BV29" s="377"/>
      <c r="BW29" s="377"/>
      <c r="BX29" s="377">
        <f t="shared" si="3"/>
        <v>0</v>
      </c>
      <c r="BY29" s="377">
        <f>'8-κ-15-17'!AO29</f>
        <v>0</v>
      </c>
      <c r="BZ29" s="335">
        <f t="shared" si="8"/>
        <v>6.76</v>
      </c>
      <c r="CA29" s="335">
        <f t="shared" si="5"/>
        <v>4.92</v>
      </c>
      <c r="CB29" s="451"/>
    </row>
    <row r="30" spans="1:80" s="5" customFormat="1">
      <c r="A30" s="473">
        <f>'1-συμβολαια'!A30</f>
        <v>4619</v>
      </c>
      <c r="B30" s="472" t="str">
        <f>'1-συμβολαια'!C30</f>
        <v>αγοραπωλησίας ΠΡΟΣΥΜΦΩΝΟ τίμημα = αρραβών =</v>
      </c>
      <c r="C30" s="508">
        <f>'5-αντίγρ'!AN30</f>
        <v>32.01</v>
      </c>
      <c r="D30" s="508">
        <f>'5-αντίγρ'!AM30</f>
        <v>1.98</v>
      </c>
      <c r="E30" s="377">
        <f>'6-μεταγρ'!Q30</f>
        <v>0</v>
      </c>
      <c r="F30" s="377">
        <f>'6-μεταγρ'!O30</f>
        <v>0</v>
      </c>
      <c r="G30" s="377">
        <f>'6-μεταγρ'!R30</f>
        <v>0</v>
      </c>
      <c r="H30" s="377">
        <f>'7-προςΔΟΥ'!Q30</f>
        <v>0</v>
      </c>
      <c r="I30" s="332">
        <f>'7-προςΔΟΥ'!K30</f>
        <v>0</v>
      </c>
      <c r="J30" s="281"/>
      <c r="K30" s="334"/>
      <c r="L30" s="334"/>
      <c r="M30" s="334"/>
      <c r="N30" s="334"/>
      <c r="O30" s="334"/>
      <c r="P30" s="334"/>
      <c r="Q30" s="334"/>
      <c r="R30" s="334"/>
      <c r="S30" s="334"/>
      <c r="T30" s="334"/>
      <c r="U30" s="334"/>
      <c r="V30" s="334"/>
      <c r="W30" s="334"/>
      <c r="X30" s="334"/>
      <c r="Y30" s="334"/>
      <c r="Z30" s="334"/>
      <c r="AA30" s="334"/>
      <c r="AB30" s="334"/>
      <c r="AC30" s="331"/>
      <c r="AD30" s="331"/>
      <c r="AE30" s="331"/>
      <c r="AF30" s="334">
        <f t="shared" si="0"/>
        <v>0</v>
      </c>
      <c r="AG30" s="331"/>
      <c r="AH30" s="334"/>
      <c r="AI30" s="334"/>
      <c r="AJ30" s="334">
        <f>2*3.23</f>
        <v>6.46</v>
      </c>
      <c r="AK30" s="334"/>
      <c r="AL30" s="334"/>
      <c r="AM30" s="334"/>
      <c r="AN30" s="334">
        <f>2*3.23</f>
        <v>6.46</v>
      </c>
      <c r="AO30" s="334"/>
      <c r="AP30" s="334"/>
      <c r="AQ30" s="334"/>
      <c r="AR30" s="334"/>
      <c r="AS30" s="334"/>
      <c r="AT30" s="331"/>
      <c r="AU30" s="331"/>
      <c r="AV30" s="334">
        <f t="shared" si="6"/>
        <v>12.92</v>
      </c>
      <c r="AW30" s="334"/>
      <c r="AX30" s="331"/>
      <c r="AY30" s="331"/>
      <c r="AZ30" s="331"/>
      <c r="BA30" s="331"/>
      <c r="BB30" s="334">
        <f t="shared" si="7"/>
        <v>0</v>
      </c>
      <c r="BC30" s="331"/>
      <c r="BD30" s="331"/>
      <c r="BE30" s="334"/>
      <c r="BF30" s="334">
        <f t="shared" si="1"/>
        <v>0</v>
      </c>
      <c r="BG30" s="331"/>
      <c r="BH30" s="331"/>
      <c r="BI30" s="331"/>
      <c r="BJ30" s="331"/>
      <c r="BK30" s="331"/>
      <c r="BL30" s="331"/>
      <c r="BM30" s="331"/>
      <c r="BN30" s="334">
        <v>2.94</v>
      </c>
      <c r="BO30" s="334"/>
      <c r="BP30" s="334">
        <v>0.3</v>
      </c>
      <c r="BQ30" s="327"/>
      <c r="BR30" s="334">
        <f t="shared" si="2"/>
        <v>3.2399999999999998</v>
      </c>
      <c r="BS30" s="377"/>
      <c r="BT30" s="377"/>
      <c r="BU30" s="377"/>
      <c r="BV30" s="377"/>
      <c r="BW30" s="377"/>
      <c r="BX30" s="377">
        <f t="shared" si="3"/>
        <v>0</v>
      </c>
      <c r="BY30" s="377">
        <f>'8-κ-15-17'!AO30</f>
        <v>0</v>
      </c>
      <c r="BZ30" s="335">
        <f t="shared" si="8"/>
        <v>48.17</v>
      </c>
      <c r="CA30" s="335">
        <f t="shared" si="5"/>
        <v>1.98</v>
      </c>
      <c r="CB30" s="451"/>
    </row>
    <row r="31" spans="1:80" s="5" customFormat="1">
      <c r="A31" s="473">
        <f>'1-συμβολαια'!A31</f>
        <v>0</v>
      </c>
      <c r="B31" s="472" t="str">
        <f>'1-συμβολαια'!C31</f>
        <v>ΧΡΗΣΙΚΤΗΣΙΑ αγροτεμαχίου = 1975 πατρός ΔΩΡΕΑ άτυπη</v>
      </c>
      <c r="C31" s="508">
        <f>'5-αντίγρ'!AN31</f>
        <v>0</v>
      </c>
      <c r="D31" s="508">
        <f>'5-αντίγρ'!AM31</f>
        <v>0</v>
      </c>
      <c r="E31" s="377">
        <f>'6-μεταγρ'!Q31</f>
        <v>0</v>
      </c>
      <c r="F31" s="377">
        <f>'6-μεταγρ'!O31</f>
        <v>0</v>
      </c>
      <c r="G31" s="377">
        <f>'6-μεταγρ'!R31</f>
        <v>0</v>
      </c>
      <c r="H31" s="377">
        <f>'7-προςΔΟΥ'!Q31</f>
        <v>0</v>
      </c>
      <c r="I31" s="332">
        <f>'7-προςΔΟΥ'!K31</f>
        <v>0</v>
      </c>
      <c r="J31" s="281"/>
      <c r="K31" s="334"/>
      <c r="L31" s="334"/>
      <c r="M31" s="334"/>
      <c r="N31" s="334"/>
      <c r="O31" s="334"/>
      <c r="P31" s="334"/>
      <c r="Q31" s="334"/>
      <c r="R31" s="334"/>
      <c r="S31" s="334"/>
      <c r="T31" s="334"/>
      <c r="U31" s="334"/>
      <c r="V31" s="334"/>
      <c r="W31" s="334"/>
      <c r="X31" s="334"/>
      <c r="Y31" s="334"/>
      <c r="Z31" s="334"/>
      <c r="AA31" s="334"/>
      <c r="AB31" s="334"/>
      <c r="AC31" s="331"/>
      <c r="AD31" s="331"/>
      <c r="AE31" s="331"/>
      <c r="AF31" s="334"/>
      <c r="AG31" s="331"/>
      <c r="AH31" s="334"/>
      <c r="AI31" s="334"/>
      <c r="AJ31" s="334"/>
      <c r="AK31" s="334"/>
      <c r="AL31" s="334"/>
      <c r="AM31" s="334"/>
      <c r="AN31" s="334"/>
      <c r="AO31" s="334"/>
      <c r="AP31" s="334"/>
      <c r="AQ31" s="334"/>
      <c r="AR31" s="334"/>
      <c r="AS31" s="334"/>
      <c r="AT31" s="331"/>
      <c r="AU31" s="331"/>
      <c r="AV31" s="334"/>
      <c r="AW31" s="334"/>
      <c r="AX31" s="331"/>
      <c r="AY31" s="331"/>
      <c r="AZ31" s="331"/>
      <c r="BA31" s="331"/>
      <c r="BB31" s="334"/>
      <c r="BC31" s="331"/>
      <c r="BD31" s="331"/>
      <c r="BE31" s="334"/>
      <c r="BF31" s="334"/>
      <c r="BG31" s="331"/>
      <c r="BH31" s="331"/>
      <c r="BI31" s="331"/>
      <c r="BJ31" s="331"/>
      <c r="BK31" s="331"/>
      <c r="BL31" s="331"/>
      <c r="BM31" s="331"/>
      <c r="BN31" s="334"/>
      <c r="BO31" s="334"/>
      <c r="BP31" s="334"/>
      <c r="BQ31" s="327"/>
      <c r="BR31" s="334"/>
      <c r="BS31" s="377"/>
      <c r="BT31" s="377"/>
      <c r="BU31" s="377"/>
      <c r="BV31" s="377"/>
      <c r="BW31" s="377"/>
      <c r="BX31" s="377">
        <f t="shared" si="3"/>
        <v>0</v>
      </c>
      <c r="BY31" s="377">
        <f>'8-κ-15-17'!AO31</f>
        <v>0</v>
      </c>
      <c r="BZ31" s="335">
        <f t="shared" si="8"/>
        <v>0</v>
      </c>
      <c r="CA31" s="335">
        <f t="shared" si="5"/>
        <v>0</v>
      </c>
      <c r="CB31" s="451"/>
    </row>
    <row r="32" spans="1:80" s="5" customFormat="1">
      <c r="A32" s="562">
        <f>'1-συμβολαια'!A32</f>
        <v>4620</v>
      </c>
      <c r="B32" s="472" t="str">
        <f>'1-συμβολαια'!C32</f>
        <v>γονική</v>
      </c>
      <c r="C32" s="508">
        <f>'5-αντίγρ'!AN32</f>
        <v>88.179999999999993</v>
      </c>
      <c r="D32" s="508">
        <f>'5-αντίγρ'!AM32</f>
        <v>2.48</v>
      </c>
      <c r="E32" s="377">
        <f>'6-μεταγρ'!Q32</f>
        <v>11.74</v>
      </c>
      <c r="F32" s="377">
        <f>'6-μεταγρ'!O32</f>
        <v>1.98</v>
      </c>
      <c r="G32" s="377">
        <f>'6-μεταγρ'!R32</f>
        <v>0</v>
      </c>
      <c r="H32" s="377">
        <f>'7-προςΔΟΥ'!Q32</f>
        <v>29.32</v>
      </c>
      <c r="I32" s="332">
        <f>'7-προςΔΟΥ'!K32</f>
        <v>0</v>
      </c>
      <c r="J32" s="281"/>
      <c r="K32" s="334">
        <v>14.97</v>
      </c>
      <c r="L32" s="334">
        <v>14.97</v>
      </c>
      <c r="M32" s="334">
        <v>14.97</v>
      </c>
      <c r="N32" s="334"/>
      <c r="O32" s="334"/>
      <c r="P32" s="334"/>
      <c r="Q32" s="334">
        <v>14.97</v>
      </c>
      <c r="R32" s="334">
        <v>14.97</v>
      </c>
      <c r="S32" s="334"/>
      <c r="T32" s="334">
        <v>14.97</v>
      </c>
      <c r="U32" s="334">
        <v>14.97</v>
      </c>
      <c r="V32" s="334">
        <v>14.97</v>
      </c>
      <c r="W32" s="334"/>
      <c r="X32" s="334"/>
      <c r="Y32" s="334"/>
      <c r="Z32" s="334"/>
      <c r="AA32" s="334"/>
      <c r="AB32" s="334"/>
      <c r="AC32" s="331"/>
      <c r="AD32" s="331"/>
      <c r="AE32" s="331"/>
      <c r="AF32" s="334">
        <f t="shared" si="0"/>
        <v>119.76</v>
      </c>
      <c r="AG32" s="331"/>
      <c r="AH32" s="334">
        <v>3.23</v>
      </c>
      <c r="AI32" s="334"/>
      <c r="AJ32" s="334">
        <f>2*3.23</f>
        <v>6.46</v>
      </c>
      <c r="AK32" s="334">
        <v>3.23</v>
      </c>
      <c r="AL32" s="334"/>
      <c r="AM32" s="334"/>
      <c r="AN32" s="334"/>
      <c r="AO32" s="334">
        <v>3.23</v>
      </c>
      <c r="AP32" s="334">
        <v>3.23</v>
      </c>
      <c r="AQ32" s="334">
        <v>3.23</v>
      </c>
      <c r="AR32" s="334"/>
      <c r="AS32" s="334"/>
      <c r="AT32" s="331"/>
      <c r="AU32" s="331"/>
      <c r="AV32" s="334">
        <f t="shared" si="6"/>
        <v>22.61</v>
      </c>
      <c r="AW32" s="334">
        <v>5.87</v>
      </c>
      <c r="AX32" s="331"/>
      <c r="AY32" s="331"/>
      <c r="AZ32" s="331"/>
      <c r="BA32" s="331"/>
      <c r="BB32" s="334">
        <f t="shared" si="7"/>
        <v>5.87</v>
      </c>
      <c r="BC32" s="331"/>
      <c r="BD32" s="331"/>
      <c r="BE32" s="334"/>
      <c r="BF32" s="334">
        <f t="shared" si="1"/>
        <v>0</v>
      </c>
      <c r="BG32" s="331"/>
      <c r="BH32" s="331"/>
      <c r="BI32" s="331"/>
      <c r="BJ32" s="331"/>
      <c r="BK32" s="331"/>
      <c r="BL32" s="331"/>
      <c r="BM32" s="331"/>
      <c r="BN32" s="334">
        <v>2.94</v>
      </c>
      <c r="BO32" s="334">
        <v>0.3</v>
      </c>
      <c r="BP32" s="334">
        <v>0.3</v>
      </c>
      <c r="BQ32" s="327"/>
      <c r="BR32" s="334">
        <f t="shared" si="2"/>
        <v>3.5399999999999996</v>
      </c>
      <c r="BS32" s="377"/>
      <c r="BT32" s="377"/>
      <c r="BU32" s="377"/>
      <c r="BV32" s="377"/>
      <c r="BW32" s="377"/>
      <c r="BX32" s="377">
        <f t="shared" si="3"/>
        <v>0</v>
      </c>
      <c r="BY32" s="377">
        <f>'8-κ-15-17'!AO32</f>
        <v>0</v>
      </c>
      <c r="BZ32" s="335">
        <f t="shared" si="8"/>
        <v>281.02000000000004</v>
      </c>
      <c r="CA32" s="335">
        <f t="shared" si="5"/>
        <v>4.46</v>
      </c>
      <c r="CB32" s="451"/>
    </row>
    <row r="33" spans="1:80" s="5" customFormat="1">
      <c r="A33" s="547">
        <f>'1-συμβολαια'!A33</f>
        <v>0</v>
      </c>
      <c r="B33" s="472" t="str">
        <f>'1-συμβολαια'!C33</f>
        <v>κάθετος ΣΥΣΤΑΣΗ</v>
      </c>
      <c r="C33" s="508">
        <f>'5-αντίγρ'!AN33</f>
        <v>6.25</v>
      </c>
      <c r="D33" s="508">
        <f>'5-αντίγρ'!AM33</f>
        <v>0.5</v>
      </c>
      <c r="E33" s="377">
        <f>'6-μεταγρ'!Q33</f>
        <v>0</v>
      </c>
      <c r="F33" s="377">
        <f>'6-μεταγρ'!O33</f>
        <v>0</v>
      </c>
      <c r="G33" s="377">
        <f>'6-μεταγρ'!R33</f>
        <v>0</v>
      </c>
      <c r="H33" s="377">
        <f>'7-προςΔΟΥ'!Q33</f>
        <v>0</v>
      </c>
      <c r="I33" s="332">
        <f>'7-προςΔΟΥ'!K33</f>
        <v>0</v>
      </c>
      <c r="J33" s="281"/>
      <c r="K33" s="334"/>
      <c r="L33" s="334"/>
      <c r="M33" s="334"/>
      <c r="N33" s="334"/>
      <c r="O33" s="334"/>
      <c r="P33" s="334"/>
      <c r="Q33" s="334"/>
      <c r="R33" s="334"/>
      <c r="S33" s="334"/>
      <c r="T33" s="334"/>
      <c r="U33" s="334"/>
      <c r="V33" s="334"/>
      <c r="W33" s="334"/>
      <c r="X33" s="334"/>
      <c r="Y33" s="334"/>
      <c r="Z33" s="334"/>
      <c r="AA33" s="334"/>
      <c r="AB33" s="334"/>
      <c r="AC33" s="331"/>
      <c r="AD33" s="331"/>
      <c r="AE33" s="331"/>
      <c r="AF33" s="334"/>
      <c r="AG33" s="331"/>
      <c r="AH33" s="334"/>
      <c r="AI33" s="334"/>
      <c r="AJ33" s="334"/>
      <c r="AK33" s="334"/>
      <c r="AL33" s="334"/>
      <c r="AM33" s="334"/>
      <c r="AN33" s="334"/>
      <c r="AO33" s="334"/>
      <c r="AP33" s="334"/>
      <c r="AQ33" s="334"/>
      <c r="AR33" s="334"/>
      <c r="AS33" s="334"/>
      <c r="AT33" s="331"/>
      <c r="AU33" s="331"/>
      <c r="AV33" s="334"/>
      <c r="AW33" s="334"/>
      <c r="AX33" s="331"/>
      <c r="AY33" s="331"/>
      <c r="AZ33" s="331"/>
      <c r="BA33" s="331"/>
      <c r="BB33" s="334"/>
      <c r="BC33" s="331"/>
      <c r="BD33" s="331"/>
      <c r="BE33" s="334"/>
      <c r="BF33" s="334"/>
      <c r="BG33" s="331"/>
      <c r="BH33" s="331"/>
      <c r="BI33" s="331"/>
      <c r="BJ33" s="331"/>
      <c r="BK33" s="331"/>
      <c r="BL33" s="331"/>
      <c r="BM33" s="331"/>
      <c r="BN33" s="334"/>
      <c r="BO33" s="334"/>
      <c r="BP33" s="334"/>
      <c r="BQ33" s="327"/>
      <c r="BR33" s="334"/>
      <c r="BS33" s="377"/>
      <c r="BT33" s="377"/>
      <c r="BU33" s="377"/>
      <c r="BV33" s="377"/>
      <c r="BW33" s="377"/>
      <c r="BX33" s="377">
        <f t="shared" si="3"/>
        <v>0</v>
      </c>
      <c r="BY33" s="377">
        <f>'8-κ-15-17'!AO33</f>
        <v>0</v>
      </c>
      <c r="BZ33" s="335">
        <f t="shared" si="8"/>
        <v>6.25</v>
      </c>
      <c r="CA33" s="335">
        <f t="shared" si="5"/>
        <v>0.5</v>
      </c>
      <c r="CB33" s="451"/>
    </row>
    <row r="34" spans="1:80" s="5" customFormat="1">
      <c r="A34" s="547">
        <f>'1-συμβολαια'!A34</f>
        <v>0</v>
      </c>
      <c r="B34" s="472" t="str">
        <f>'1-συμβολαια'!C34</f>
        <v>ΧΡΗΣΙΚΤΗΣΙΑ αγροτεμαχίου (νυν οικόπεδο) = 19?? ΑΝΑΔΑΣΜΟΣ</v>
      </c>
      <c r="C34" s="508">
        <f>'5-αντίγρ'!AN34</f>
        <v>0</v>
      </c>
      <c r="D34" s="508">
        <f>'5-αντίγρ'!AM34</f>
        <v>0</v>
      </c>
      <c r="E34" s="377">
        <f>'6-μεταγρ'!Q34</f>
        <v>0</v>
      </c>
      <c r="F34" s="377">
        <f>'6-μεταγρ'!O34</f>
        <v>0</v>
      </c>
      <c r="G34" s="377">
        <f>'6-μεταγρ'!R34</f>
        <v>0</v>
      </c>
      <c r="H34" s="377">
        <f>'7-προςΔΟΥ'!Q34</f>
        <v>0</v>
      </c>
      <c r="I34" s="332">
        <f>'7-προςΔΟΥ'!K34</f>
        <v>0</v>
      </c>
      <c r="J34" s="281"/>
      <c r="K34" s="334"/>
      <c r="L34" s="334"/>
      <c r="M34" s="334"/>
      <c r="N34" s="334"/>
      <c r="O34" s="334"/>
      <c r="P34" s="334"/>
      <c r="Q34" s="334"/>
      <c r="R34" s="334"/>
      <c r="S34" s="334"/>
      <c r="T34" s="334"/>
      <c r="U34" s="334"/>
      <c r="V34" s="334"/>
      <c r="W34" s="334"/>
      <c r="X34" s="334"/>
      <c r="Y34" s="334"/>
      <c r="Z34" s="334"/>
      <c r="AA34" s="334"/>
      <c r="AB34" s="334"/>
      <c r="AC34" s="331"/>
      <c r="AD34" s="331"/>
      <c r="AE34" s="331"/>
      <c r="AF34" s="334"/>
      <c r="AG34" s="331"/>
      <c r="AH34" s="334"/>
      <c r="AI34" s="334"/>
      <c r="AJ34" s="334"/>
      <c r="AK34" s="334"/>
      <c r="AL34" s="334"/>
      <c r="AM34" s="334"/>
      <c r="AN34" s="334"/>
      <c r="AO34" s="334"/>
      <c r="AP34" s="334"/>
      <c r="AQ34" s="334"/>
      <c r="AR34" s="334"/>
      <c r="AS34" s="334"/>
      <c r="AT34" s="331"/>
      <c r="AU34" s="331"/>
      <c r="AV34" s="334"/>
      <c r="AW34" s="334"/>
      <c r="AX34" s="331"/>
      <c r="AY34" s="331"/>
      <c r="AZ34" s="331"/>
      <c r="BA34" s="331"/>
      <c r="BB34" s="334"/>
      <c r="BC34" s="331"/>
      <c r="BD34" s="331"/>
      <c r="BE34" s="334"/>
      <c r="BF34" s="334"/>
      <c r="BG34" s="331"/>
      <c r="BH34" s="331"/>
      <c r="BI34" s="331"/>
      <c r="BJ34" s="331"/>
      <c r="BK34" s="331"/>
      <c r="BL34" s="331"/>
      <c r="BM34" s="331"/>
      <c r="BN34" s="334"/>
      <c r="BO34" s="334"/>
      <c r="BP34" s="334"/>
      <c r="BQ34" s="327"/>
      <c r="BR34" s="334"/>
      <c r="BS34" s="377"/>
      <c r="BT34" s="377"/>
      <c r="BU34" s="377"/>
      <c r="BV34" s="377"/>
      <c r="BW34" s="377"/>
      <c r="BX34" s="377">
        <f t="shared" si="3"/>
        <v>0</v>
      </c>
      <c r="BY34" s="377">
        <f>'8-κ-15-17'!AO34</f>
        <v>0</v>
      </c>
      <c r="BZ34" s="335">
        <f t="shared" si="8"/>
        <v>0</v>
      </c>
      <c r="CA34" s="335">
        <f t="shared" si="5"/>
        <v>0</v>
      </c>
      <c r="CB34" s="451"/>
    </row>
    <row r="35" spans="1:80" s="5" customFormat="1">
      <c r="A35" s="562">
        <f>'1-συμβολαια'!A35</f>
        <v>4621</v>
      </c>
      <c r="B35" s="472" t="str">
        <f>'1-συμβολαια'!C35</f>
        <v>γονική</v>
      </c>
      <c r="C35" s="508">
        <f>'5-αντίγρ'!AN35</f>
        <v>73.789999999999992</v>
      </c>
      <c r="D35" s="508">
        <f>'5-αντίγρ'!AM35</f>
        <v>2.48</v>
      </c>
      <c r="E35" s="377">
        <f>'6-μεταγρ'!Q35</f>
        <v>11.74</v>
      </c>
      <c r="F35" s="377">
        <f>'6-μεταγρ'!O35</f>
        <v>1.98</v>
      </c>
      <c r="G35" s="377">
        <f>'6-μεταγρ'!R35</f>
        <v>0</v>
      </c>
      <c r="H35" s="377">
        <f>'7-προςΔΟΥ'!Q35</f>
        <v>29.32</v>
      </c>
      <c r="I35" s="332">
        <f>'7-προςΔΟΥ'!K35</f>
        <v>0</v>
      </c>
      <c r="J35" s="281"/>
      <c r="K35" s="334">
        <v>14.97</v>
      </c>
      <c r="L35" s="334">
        <v>14.97</v>
      </c>
      <c r="M35" s="334">
        <v>14.97</v>
      </c>
      <c r="N35" s="334"/>
      <c r="O35" s="334"/>
      <c r="P35" s="334"/>
      <c r="Q35" s="334">
        <v>14.97</v>
      </c>
      <c r="R35" s="334">
        <v>14.97</v>
      </c>
      <c r="S35" s="334"/>
      <c r="T35" s="334">
        <v>14.97</v>
      </c>
      <c r="U35" s="334">
        <v>14.97</v>
      </c>
      <c r="V35" s="334">
        <v>14.97</v>
      </c>
      <c r="W35" s="334"/>
      <c r="X35" s="334"/>
      <c r="Y35" s="334"/>
      <c r="Z35" s="334"/>
      <c r="AA35" s="334"/>
      <c r="AB35" s="334"/>
      <c r="AC35" s="331"/>
      <c r="AD35" s="331"/>
      <c r="AE35" s="331"/>
      <c r="AF35" s="334">
        <f t="shared" si="0"/>
        <v>119.76</v>
      </c>
      <c r="AG35" s="331"/>
      <c r="AH35" s="334">
        <v>3.23</v>
      </c>
      <c r="AI35" s="334"/>
      <c r="AJ35" s="334">
        <f>2*3.23</f>
        <v>6.46</v>
      </c>
      <c r="AK35" s="334">
        <v>3.23</v>
      </c>
      <c r="AL35" s="334"/>
      <c r="AM35" s="334"/>
      <c r="AN35" s="334"/>
      <c r="AO35" s="334">
        <v>3.23</v>
      </c>
      <c r="AP35" s="334">
        <v>3.23</v>
      </c>
      <c r="AQ35" s="334">
        <v>3.23</v>
      </c>
      <c r="AR35" s="334"/>
      <c r="AS35" s="334"/>
      <c r="AT35" s="331"/>
      <c r="AU35" s="331"/>
      <c r="AV35" s="334">
        <f t="shared" si="6"/>
        <v>22.61</v>
      </c>
      <c r="AW35" s="334">
        <v>5.87</v>
      </c>
      <c r="AX35" s="331"/>
      <c r="AY35" s="331"/>
      <c r="AZ35" s="331"/>
      <c r="BA35" s="331"/>
      <c r="BB35" s="334">
        <f t="shared" si="7"/>
        <v>5.87</v>
      </c>
      <c r="BC35" s="331"/>
      <c r="BD35" s="331"/>
      <c r="BE35" s="334"/>
      <c r="BF35" s="334">
        <f t="shared" si="1"/>
        <v>0</v>
      </c>
      <c r="BG35" s="331"/>
      <c r="BH35" s="331"/>
      <c r="BI35" s="331"/>
      <c r="BJ35" s="331"/>
      <c r="BK35" s="331"/>
      <c r="BL35" s="331"/>
      <c r="BM35" s="331"/>
      <c r="BN35" s="334">
        <v>2.94</v>
      </c>
      <c r="BO35" s="334">
        <v>0.3</v>
      </c>
      <c r="BP35" s="334">
        <v>0.3</v>
      </c>
      <c r="BQ35" s="327"/>
      <c r="BR35" s="334">
        <f t="shared" si="2"/>
        <v>3.5399999999999996</v>
      </c>
      <c r="BS35" s="377"/>
      <c r="BT35" s="377"/>
      <c r="BU35" s="377"/>
      <c r="BV35" s="377"/>
      <c r="BW35" s="377"/>
      <c r="BX35" s="377">
        <f t="shared" si="3"/>
        <v>0</v>
      </c>
      <c r="BY35" s="377">
        <f>'8-κ-15-17'!AO35</f>
        <v>0</v>
      </c>
      <c r="BZ35" s="335">
        <f t="shared" si="8"/>
        <v>266.63000000000005</v>
      </c>
      <c r="CA35" s="335">
        <f t="shared" si="5"/>
        <v>4.46</v>
      </c>
      <c r="CB35" s="451"/>
    </row>
    <row r="36" spans="1:80" s="5" customFormat="1">
      <c r="A36" s="473">
        <f>'1-συμβολαια'!A36</f>
        <v>0</v>
      </c>
      <c r="B36" s="472" t="str">
        <f>'1-συμβολαια'!C36</f>
        <v>οριζόντιος ΣΥΣΤΑΣΗ</v>
      </c>
      <c r="C36" s="508">
        <f>'5-αντίγρ'!AN36</f>
        <v>6.25</v>
      </c>
      <c r="D36" s="508">
        <f>'5-αντίγρ'!AM36</f>
        <v>0.5</v>
      </c>
      <c r="E36" s="377">
        <f>'6-μεταγρ'!Q36</f>
        <v>0</v>
      </c>
      <c r="F36" s="377">
        <f>'6-μεταγρ'!O36</f>
        <v>0</v>
      </c>
      <c r="G36" s="377">
        <f>'6-μεταγρ'!R36</f>
        <v>0</v>
      </c>
      <c r="H36" s="377">
        <f>'7-προςΔΟΥ'!Q36</f>
        <v>0</v>
      </c>
      <c r="I36" s="332">
        <f>'7-προςΔΟΥ'!K36</f>
        <v>0</v>
      </c>
      <c r="J36" s="281"/>
      <c r="K36" s="334"/>
      <c r="L36" s="334"/>
      <c r="M36" s="334"/>
      <c r="N36" s="334"/>
      <c r="O36" s="334"/>
      <c r="P36" s="334"/>
      <c r="Q36" s="334"/>
      <c r="R36" s="334"/>
      <c r="S36" s="334"/>
      <c r="T36" s="334"/>
      <c r="U36" s="334"/>
      <c r="V36" s="334"/>
      <c r="W36" s="334"/>
      <c r="X36" s="334"/>
      <c r="Y36" s="334"/>
      <c r="Z36" s="334"/>
      <c r="AA36" s="334"/>
      <c r="AB36" s="334"/>
      <c r="AC36" s="331"/>
      <c r="AD36" s="331"/>
      <c r="AE36" s="331"/>
      <c r="AF36" s="334"/>
      <c r="AG36" s="331"/>
      <c r="AH36" s="334"/>
      <c r="AI36" s="334"/>
      <c r="AJ36" s="334"/>
      <c r="AK36" s="334"/>
      <c r="AL36" s="334"/>
      <c r="AM36" s="334"/>
      <c r="AN36" s="334"/>
      <c r="AO36" s="334"/>
      <c r="AP36" s="334"/>
      <c r="AQ36" s="334"/>
      <c r="AR36" s="334"/>
      <c r="AS36" s="334"/>
      <c r="AT36" s="331"/>
      <c r="AU36" s="331"/>
      <c r="AV36" s="334"/>
      <c r="AW36" s="334"/>
      <c r="AX36" s="331"/>
      <c r="AY36" s="331"/>
      <c r="AZ36" s="331"/>
      <c r="BA36" s="331"/>
      <c r="BB36" s="334"/>
      <c r="BC36" s="331"/>
      <c r="BD36" s="331"/>
      <c r="BE36" s="334"/>
      <c r="BF36" s="334"/>
      <c r="BG36" s="331"/>
      <c r="BH36" s="331"/>
      <c r="BI36" s="331"/>
      <c r="BJ36" s="331"/>
      <c r="BK36" s="331"/>
      <c r="BL36" s="331"/>
      <c r="BM36" s="331"/>
      <c r="BN36" s="334"/>
      <c r="BO36" s="334"/>
      <c r="BP36" s="334"/>
      <c r="BQ36" s="327"/>
      <c r="BR36" s="334"/>
      <c r="BS36" s="377"/>
      <c r="BT36" s="377"/>
      <c r="BU36" s="377"/>
      <c r="BV36" s="377"/>
      <c r="BW36" s="377"/>
      <c r="BX36" s="377">
        <f t="shared" si="3"/>
        <v>0</v>
      </c>
      <c r="BY36" s="377">
        <f>'8-κ-15-17'!AO36</f>
        <v>0</v>
      </c>
      <c r="BZ36" s="335">
        <f t="shared" si="8"/>
        <v>6.25</v>
      </c>
      <c r="CA36" s="335">
        <f t="shared" si="5"/>
        <v>0.5</v>
      </c>
      <c r="CB36" s="451"/>
    </row>
    <row r="37" spans="1:80" s="5" customFormat="1">
      <c r="A37" s="434">
        <f>'1-συμβολαια'!A37</f>
        <v>4622</v>
      </c>
      <c r="B37" s="472" t="str">
        <f>'1-συμβολαια'!C37</f>
        <v>πληρεξούσιο</v>
      </c>
      <c r="C37" s="508">
        <f>'5-αντίγρ'!AN37</f>
        <v>0</v>
      </c>
      <c r="D37" s="508">
        <f>'5-αντίγρ'!AM37</f>
        <v>0</v>
      </c>
      <c r="E37" s="377">
        <f>'6-μεταγρ'!Q37</f>
        <v>0</v>
      </c>
      <c r="F37" s="377">
        <f>'6-μεταγρ'!O37</f>
        <v>0</v>
      </c>
      <c r="G37" s="377">
        <f>'6-μεταγρ'!R37</f>
        <v>0</v>
      </c>
      <c r="H37" s="377">
        <f>'7-προςΔΟΥ'!Q37</f>
        <v>0</v>
      </c>
      <c r="I37" s="332">
        <f>'7-προςΔΟΥ'!K37</f>
        <v>0</v>
      </c>
      <c r="J37" s="281"/>
      <c r="K37" s="334"/>
      <c r="L37" s="334"/>
      <c r="M37" s="334"/>
      <c r="N37" s="334"/>
      <c r="O37" s="334"/>
      <c r="P37" s="334"/>
      <c r="Q37" s="334"/>
      <c r="R37" s="334"/>
      <c r="S37" s="334"/>
      <c r="T37" s="334"/>
      <c r="U37" s="334"/>
      <c r="V37" s="334"/>
      <c r="W37" s="334"/>
      <c r="X37" s="334"/>
      <c r="Y37" s="334"/>
      <c r="Z37" s="334"/>
      <c r="AA37" s="334"/>
      <c r="AB37" s="334"/>
      <c r="AC37" s="331"/>
      <c r="AD37" s="331"/>
      <c r="AE37" s="331"/>
      <c r="AF37" s="334">
        <f t="shared" si="0"/>
        <v>0</v>
      </c>
      <c r="AG37" s="331"/>
      <c r="AH37" s="334"/>
      <c r="AI37" s="334"/>
      <c r="AJ37" s="334"/>
      <c r="AK37" s="334"/>
      <c r="AL37" s="334"/>
      <c r="AM37" s="334"/>
      <c r="AN37" s="334"/>
      <c r="AO37" s="334"/>
      <c r="AP37" s="334"/>
      <c r="AQ37" s="334"/>
      <c r="AR37" s="334"/>
      <c r="AS37" s="334"/>
      <c r="AT37" s="331"/>
      <c r="AU37" s="331"/>
      <c r="AV37" s="334">
        <f t="shared" si="6"/>
        <v>0</v>
      </c>
      <c r="AW37" s="334"/>
      <c r="AX37" s="331"/>
      <c r="AY37" s="331"/>
      <c r="AZ37" s="331"/>
      <c r="BA37" s="331"/>
      <c r="BB37" s="334">
        <f t="shared" si="7"/>
        <v>0</v>
      </c>
      <c r="BC37" s="331"/>
      <c r="BD37" s="331"/>
      <c r="BE37" s="334"/>
      <c r="BF37" s="334">
        <f t="shared" si="1"/>
        <v>0</v>
      </c>
      <c r="BG37" s="331"/>
      <c r="BH37" s="331"/>
      <c r="BI37" s="331"/>
      <c r="BJ37" s="331"/>
      <c r="BK37" s="331"/>
      <c r="BL37" s="331"/>
      <c r="BM37" s="331"/>
      <c r="BN37" s="334"/>
      <c r="BO37" s="334"/>
      <c r="BP37" s="334">
        <v>0.3</v>
      </c>
      <c r="BQ37" s="327"/>
      <c r="BR37" s="334">
        <f t="shared" si="2"/>
        <v>0.3</v>
      </c>
      <c r="BS37" s="377"/>
      <c r="BT37" s="377"/>
      <c r="BU37" s="377"/>
      <c r="BV37" s="377"/>
      <c r="BW37" s="377"/>
      <c r="BX37" s="377">
        <f t="shared" si="3"/>
        <v>0</v>
      </c>
      <c r="BY37" s="377">
        <f>'8-κ-15-17'!AO37</f>
        <v>0</v>
      </c>
      <c r="BZ37" s="335">
        <f t="shared" si="8"/>
        <v>0.3</v>
      </c>
      <c r="CA37" s="335">
        <f t="shared" si="5"/>
        <v>0</v>
      </c>
      <c r="CB37" s="451"/>
    </row>
    <row r="38" spans="1:80" s="5" customFormat="1">
      <c r="A38" s="434">
        <f>'1-συμβολαια'!A38</f>
        <v>4623</v>
      </c>
      <c r="B38" s="472" t="str">
        <f>'1-συμβολαια'!C38</f>
        <v>πληρεξούσιο</v>
      </c>
      <c r="C38" s="508">
        <f>'5-αντίγρ'!AN38</f>
        <v>0</v>
      </c>
      <c r="D38" s="508">
        <f>'5-αντίγρ'!AM38</f>
        <v>0</v>
      </c>
      <c r="E38" s="377">
        <f>'6-μεταγρ'!Q38</f>
        <v>0</v>
      </c>
      <c r="F38" s="377">
        <f>'6-μεταγρ'!O38</f>
        <v>0</v>
      </c>
      <c r="G38" s="377">
        <f>'6-μεταγρ'!R38</f>
        <v>0</v>
      </c>
      <c r="H38" s="377">
        <f>'7-προςΔΟΥ'!Q38</f>
        <v>0</v>
      </c>
      <c r="I38" s="332">
        <f>'7-προςΔΟΥ'!K38</f>
        <v>0</v>
      </c>
      <c r="J38" s="281"/>
      <c r="K38" s="334"/>
      <c r="L38" s="334"/>
      <c r="M38" s="334"/>
      <c r="N38" s="334"/>
      <c r="O38" s="334"/>
      <c r="P38" s="334"/>
      <c r="Q38" s="334"/>
      <c r="R38" s="334"/>
      <c r="S38" s="334"/>
      <c r="T38" s="334"/>
      <c r="U38" s="334"/>
      <c r="V38" s="334"/>
      <c r="W38" s="334"/>
      <c r="X38" s="334"/>
      <c r="Y38" s="334"/>
      <c r="Z38" s="334"/>
      <c r="AA38" s="334"/>
      <c r="AB38" s="334"/>
      <c r="AC38" s="331"/>
      <c r="AD38" s="331"/>
      <c r="AE38" s="331"/>
      <c r="AF38" s="334">
        <f t="shared" si="0"/>
        <v>0</v>
      </c>
      <c r="AG38" s="331"/>
      <c r="AH38" s="334"/>
      <c r="AI38" s="334"/>
      <c r="AJ38" s="334"/>
      <c r="AK38" s="334"/>
      <c r="AL38" s="334"/>
      <c r="AM38" s="334"/>
      <c r="AN38" s="334"/>
      <c r="AO38" s="334"/>
      <c r="AP38" s="334"/>
      <c r="AQ38" s="334"/>
      <c r="AR38" s="334"/>
      <c r="AS38" s="334"/>
      <c r="AT38" s="331"/>
      <c r="AU38" s="331"/>
      <c r="AV38" s="334">
        <f t="shared" si="6"/>
        <v>0</v>
      </c>
      <c r="AW38" s="334"/>
      <c r="AX38" s="331"/>
      <c r="AY38" s="331"/>
      <c r="AZ38" s="331"/>
      <c r="BA38" s="331"/>
      <c r="BB38" s="334">
        <f t="shared" si="7"/>
        <v>0</v>
      </c>
      <c r="BC38" s="331"/>
      <c r="BD38" s="331"/>
      <c r="BE38" s="334"/>
      <c r="BF38" s="334">
        <f t="shared" si="1"/>
        <v>0</v>
      </c>
      <c r="BG38" s="331"/>
      <c r="BH38" s="331"/>
      <c r="BI38" s="331"/>
      <c r="BJ38" s="331"/>
      <c r="BK38" s="331"/>
      <c r="BL38" s="331"/>
      <c r="BM38" s="331"/>
      <c r="BN38" s="334"/>
      <c r="BO38" s="334"/>
      <c r="BP38" s="334">
        <v>0.6</v>
      </c>
      <c r="BQ38" s="327"/>
      <c r="BR38" s="334">
        <f t="shared" si="2"/>
        <v>0.6</v>
      </c>
      <c r="BS38" s="377"/>
      <c r="BT38" s="377"/>
      <c r="BU38" s="377"/>
      <c r="BV38" s="377"/>
      <c r="BW38" s="377"/>
      <c r="BX38" s="377">
        <f t="shared" si="3"/>
        <v>0</v>
      </c>
      <c r="BY38" s="377">
        <f>'8-κ-15-17'!AO38</f>
        <v>0</v>
      </c>
      <c r="BZ38" s="335">
        <f t="shared" si="8"/>
        <v>0.6</v>
      </c>
      <c r="CA38" s="335">
        <f t="shared" si="5"/>
        <v>0</v>
      </c>
      <c r="CB38" s="451"/>
    </row>
    <row r="39" spans="1:80" s="5" customFormat="1">
      <c r="A39" s="473">
        <f>'1-συμβολαια'!A39</f>
        <v>4624</v>
      </c>
      <c r="B39" s="472" t="str">
        <f>'1-συμβολαια'!C39</f>
        <v>*γονική ΨΙΛΗΣ ΚΥΡΙΟΤΗΤΑΣ</v>
      </c>
      <c r="C39" s="508">
        <f>'5-αντίγρ'!AN39</f>
        <v>75.259999999999991</v>
      </c>
      <c r="D39" s="508">
        <f>'5-αντίγρ'!AM39</f>
        <v>2.48</v>
      </c>
      <c r="E39" s="377">
        <f>'6-μεταγρ'!Q39</f>
        <v>11.74</v>
      </c>
      <c r="F39" s="377">
        <f>'6-μεταγρ'!O39</f>
        <v>1.98</v>
      </c>
      <c r="G39" s="377">
        <f>'6-μεταγρ'!R39</f>
        <v>0</v>
      </c>
      <c r="H39" s="377">
        <f>'7-προςΔΟΥ'!Q39</f>
        <v>17.600000000000001</v>
      </c>
      <c r="I39" s="332">
        <f>'7-προςΔΟΥ'!K39</f>
        <v>0</v>
      </c>
      <c r="J39" s="281"/>
      <c r="K39" s="334">
        <v>14.97</v>
      </c>
      <c r="L39" s="334">
        <v>14.97</v>
      </c>
      <c r="M39" s="334">
        <v>14.97</v>
      </c>
      <c r="N39" s="334"/>
      <c r="O39" s="334"/>
      <c r="P39" s="334"/>
      <c r="Q39" s="334"/>
      <c r="R39" s="334"/>
      <c r="S39" s="334"/>
      <c r="T39" s="334"/>
      <c r="U39" s="334"/>
      <c r="V39" s="334">
        <v>14.97</v>
      </c>
      <c r="W39" s="334"/>
      <c r="X39" s="334"/>
      <c r="Y39" s="334"/>
      <c r="Z39" s="334"/>
      <c r="AA39" s="334"/>
      <c r="AB39" s="334"/>
      <c r="AC39" s="331"/>
      <c r="AD39" s="331"/>
      <c r="AE39" s="331"/>
      <c r="AF39" s="334">
        <f t="shared" si="0"/>
        <v>59.88</v>
      </c>
      <c r="AG39" s="331"/>
      <c r="AH39" s="334">
        <v>3.23</v>
      </c>
      <c r="AI39" s="334">
        <v>3.23</v>
      </c>
      <c r="AJ39" s="334">
        <f>2*3.23</f>
        <v>6.46</v>
      </c>
      <c r="AK39" s="334"/>
      <c r="AL39" s="334"/>
      <c r="AM39" s="334"/>
      <c r="AN39" s="334"/>
      <c r="AO39" s="334">
        <v>3.23</v>
      </c>
      <c r="AP39" s="334">
        <v>3.23</v>
      </c>
      <c r="AQ39" s="334"/>
      <c r="AR39" s="334"/>
      <c r="AS39" s="334"/>
      <c r="AT39" s="331"/>
      <c r="AU39" s="331"/>
      <c r="AV39" s="334">
        <f t="shared" si="6"/>
        <v>19.38</v>
      </c>
      <c r="AW39" s="334">
        <v>5.87</v>
      </c>
      <c r="AX39" s="331"/>
      <c r="AY39" s="331"/>
      <c r="AZ39" s="331"/>
      <c r="BA39" s="331"/>
      <c r="BB39" s="334">
        <f t="shared" si="7"/>
        <v>5.87</v>
      </c>
      <c r="BC39" s="331"/>
      <c r="BD39" s="331"/>
      <c r="BE39" s="334"/>
      <c r="BF39" s="334">
        <f t="shared" si="1"/>
        <v>0</v>
      </c>
      <c r="BG39" s="331"/>
      <c r="BH39" s="331"/>
      <c r="BI39" s="331"/>
      <c r="BJ39" s="331"/>
      <c r="BK39" s="331"/>
      <c r="BL39" s="331"/>
      <c r="BM39" s="331"/>
      <c r="BN39" s="334">
        <f>3*2.94</f>
        <v>8.82</v>
      </c>
      <c r="BO39" s="334">
        <v>0.3</v>
      </c>
      <c r="BP39" s="334">
        <v>0.3</v>
      </c>
      <c r="BQ39" s="327"/>
      <c r="BR39" s="334">
        <f t="shared" si="2"/>
        <v>9.4200000000000017</v>
      </c>
      <c r="BS39" s="377"/>
      <c r="BT39" s="377"/>
      <c r="BU39" s="377"/>
      <c r="BV39" s="377"/>
      <c r="BW39" s="377"/>
      <c r="BX39" s="377">
        <f t="shared" si="3"/>
        <v>0</v>
      </c>
      <c r="BY39" s="377">
        <f>'8-κ-15-17'!AO39</f>
        <v>0</v>
      </c>
      <c r="BZ39" s="335">
        <f t="shared" si="8"/>
        <v>199.14999999999998</v>
      </c>
      <c r="CA39" s="335">
        <f t="shared" si="5"/>
        <v>4.46</v>
      </c>
      <c r="CB39" s="451"/>
    </row>
    <row r="40" spans="1:80" s="5" customFormat="1">
      <c r="A40" s="473">
        <f>'1-συμβολαια'!A40</f>
        <v>0</v>
      </c>
      <c r="B40" s="472" t="str">
        <f>'1-συμβολαια'!C40</f>
        <v>ΧΡΗΣΙΚΤΗΣΙΑ οικοπέδου = 1949 πατρός ΔΩΡΕΑ άτυπη</v>
      </c>
      <c r="C40" s="508">
        <f>'5-αντίγρ'!AN40</f>
        <v>0</v>
      </c>
      <c r="D40" s="508">
        <f>'5-αντίγρ'!AM40</f>
        <v>0</v>
      </c>
      <c r="E40" s="377">
        <f>'6-μεταγρ'!Q40</f>
        <v>0</v>
      </c>
      <c r="F40" s="377">
        <f>'6-μεταγρ'!O40</f>
        <v>0</v>
      </c>
      <c r="G40" s="377">
        <f>'6-μεταγρ'!R40</f>
        <v>0</v>
      </c>
      <c r="H40" s="377">
        <f>'7-προςΔΟΥ'!Q40</f>
        <v>5.86</v>
      </c>
      <c r="I40" s="332">
        <f>'7-προςΔΟΥ'!K40</f>
        <v>0</v>
      </c>
      <c r="J40" s="281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4"/>
      <c r="V40" s="334"/>
      <c r="W40" s="334"/>
      <c r="X40" s="334"/>
      <c r="Y40" s="334"/>
      <c r="Z40" s="334"/>
      <c r="AA40" s="334"/>
      <c r="AB40" s="334"/>
      <c r="AC40" s="331"/>
      <c r="AD40" s="331"/>
      <c r="AE40" s="331"/>
      <c r="AF40" s="334">
        <f t="shared" si="0"/>
        <v>0</v>
      </c>
      <c r="AG40" s="331"/>
      <c r="AH40" s="334"/>
      <c r="AI40" s="334"/>
      <c r="AJ40" s="334"/>
      <c r="AK40" s="334"/>
      <c r="AL40" s="334"/>
      <c r="AM40" s="334"/>
      <c r="AN40" s="334"/>
      <c r="AO40" s="334"/>
      <c r="AP40" s="334"/>
      <c r="AQ40" s="334"/>
      <c r="AR40" s="334"/>
      <c r="AS40" s="334"/>
      <c r="AT40" s="331"/>
      <c r="AU40" s="331"/>
      <c r="AV40" s="334">
        <f t="shared" si="6"/>
        <v>0</v>
      </c>
      <c r="AW40" s="334"/>
      <c r="AX40" s="331"/>
      <c r="AY40" s="331"/>
      <c r="AZ40" s="331"/>
      <c r="BA40" s="331"/>
      <c r="BB40" s="334">
        <f t="shared" si="7"/>
        <v>0</v>
      </c>
      <c r="BC40" s="331"/>
      <c r="BD40" s="331"/>
      <c r="BE40" s="334"/>
      <c r="BF40" s="334">
        <f t="shared" si="1"/>
        <v>0</v>
      </c>
      <c r="BG40" s="331"/>
      <c r="BH40" s="331"/>
      <c r="BI40" s="331"/>
      <c r="BJ40" s="331"/>
      <c r="BK40" s="331"/>
      <c r="BL40" s="331"/>
      <c r="BM40" s="331"/>
      <c r="BN40" s="334"/>
      <c r="BO40" s="334"/>
      <c r="BP40" s="334"/>
      <c r="BQ40" s="327"/>
      <c r="BR40" s="334">
        <f t="shared" si="2"/>
        <v>0</v>
      </c>
      <c r="BS40" s="377"/>
      <c r="BT40" s="377"/>
      <c r="BU40" s="377"/>
      <c r="BV40" s="377"/>
      <c r="BW40" s="377"/>
      <c r="BX40" s="377">
        <f t="shared" si="3"/>
        <v>0</v>
      </c>
      <c r="BY40" s="377">
        <f>'8-κ-15-17'!AO40</f>
        <v>0</v>
      </c>
      <c r="BZ40" s="335">
        <f t="shared" si="8"/>
        <v>5.86</v>
      </c>
      <c r="CA40" s="335">
        <f t="shared" si="5"/>
        <v>0</v>
      </c>
      <c r="CB40" s="451"/>
    </row>
    <row r="41" spans="1:80" s="5" customFormat="1">
      <c r="A41" s="473">
        <f>'1-συμβολαια'!A41</f>
        <v>0</v>
      </c>
      <c r="B41" s="472" t="str">
        <f>'1-συμβολαια'!C41</f>
        <v>ΧΡΗΣΙΚΤΗΣΙΑ αγροτεμαχίων = 1963 αγοραπωλησίας ΒΑΣΕΙ προσυμφώνου ΜΗ εκτελεσθέντος</v>
      </c>
      <c r="C41" s="508">
        <f>'5-αντίγρ'!AN41</f>
        <v>0</v>
      </c>
      <c r="D41" s="508">
        <f>'5-αντίγρ'!AM41</f>
        <v>0</v>
      </c>
      <c r="E41" s="377">
        <f>'6-μεταγρ'!Q41</f>
        <v>0</v>
      </c>
      <c r="F41" s="377">
        <f>'6-μεταγρ'!O41</f>
        <v>0</v>
      </c>
      <c r="G41" s="377">
        <f>'6-μεταγρ'!R41</f>
        <v>0</v>
      </c>
      <c r="H41" s="377">
        <f>'7-προςΔΟΥ'!Q41</f>
        <v>5.86</v>
      </c>
      <c r="I41" s="332">
        <f>'7-προςΔΟΥ'!K41</f>
        <v>0</v>
      </c>
      <c r="J41" s="281"/>
      <c r="K41" s="334"/>
      <c r="L41" s="334"/>
      <c r="M41" s="334"/>
      <c r="N41" s="334"/>
      <c r="O41" s="334"/>
      <c r="P41" s="334"/>
      <c r="Q41" s="334"/>
      <c r="R41" s="334"/>
      <c r="S41" s="334"/>
      <c r="T41" s="334"/>
      <c r="U41" s="334"/>
      <c r="V41" s="334"/>
      <c r="W41" s="334"/>
      <c r="X41" s="334"/>
      <c r="Y41" s="334"/>
      <c r="Z41" s="334"/>
      <c r="AA41" s="334"/>
      <c r="AB41" s="334"/>
      <c r="AC41" s="331"/>
      <c r="AD41" s="331"/>
      <c r="AE41" s="331"/>
      <c r="AF41" s="334">
        <f t="shared" si="0"/>
        <v>0</v>
      </c>
      <c r="AG41" s="331"/>
      <c r="AH41" s="334"/>
      <c r="AI41" s="334"/>
      <c r="AJ41" s="334"/>
      <c r="AK41" s="334"/>
      <c r="AL41" s="334"/>
      <c r="AM41" s="334"/>
      <c r="AN41" s="334"/>
      <c r="AO41" s="334"/>
      <c r="AP41" s="334"/>
      <c r="AQ41" s="334"/>
      <c r="AR41" s="334"/>
      <c r="AS41" s="334"/>
      <c r="AT41" s="331"/>
      <c r="AU41" s="331"/>
      <c r="AV41" s="334">
        <f t="shared" si="6"/>
        <v>0</v>
      </c>
      <c r="AW41" s="334"/>
      <c r="AX41" s="331"/>
      <c r="AY41" s="331"/>
      <c r="AZ41" s="331"/>
      <c r="BA41" s="331"/>
      <c r="BB41" s="334">
        <f t="shared" si="7"/>
        <v>0</v>
      </c>
      <c r="BC41" s="331"/>
      <c r="BD41" s="331"/>
      <c r="BE41" s="334"/>
      <c r="BF41" s="334">
        <f t="shared" si="1"/>
        <v>0</v>
      </c>
      <c r="BG41" s="331"/>
      <c r="BH41" s="331"/>
      <c r="BI41" s="331"/>
      <c r="BJ41" s="331"/>
      <c r="BK41" s="331"/>
      <c r="BL41" s="331"/>
      <c r="BM41" s="331"/>
      <c r="BN41" s="334"/>
      <c r="BO41" s="334"/>
      <c r="BP41" s="334"/>
      <c r="BQ41" s="327"/>
      <c r="BR41" s="334">
        <f t="shared" si="2"/>
        <v>0</v>
      </c>
      <c r="BS41" s="377"/>
      <c r="BT41" s="377"/>
      <c r="BU41" s="377"/>
      <c r="BV41" s="377"/>
      <c r="BW41" s="377"/>
      <c r="BX41" s="377">
        <f t="shared" si="3"/>
        <v>0</v>
      </c>
      <c r="BY41" s="377">
        <f>'8-κ-15-17'!AO41</f>
        <v>0</v>
      </c>
      <c r="BZ41" s="335">
        <f t="shared" si="8"/>
        <v>5.86</v>
      </c>
      <c r="CA41" s="335">
        <f t="shared" si="5"/>
        <v>0</v>
      </c>
      <c r="CB41" s="451"/>
    </row>
    <row r="42" spans="1:80" s="5" customFormat="1">
      <c r="A42" s="547">
        <f>'1-συμβολαια'!A42</f>
        <v>4625</v>
      </c>
      <c r="B42" s="472" t="str">
        <f>'1-συμβολαια'!C42</f>
        <v>*γονική ΨΙΛΗΣ ΚΥΡΙΟΤΗΤΑΣ</v>
      </c>
      <c r="C42" s="508">
        <f>'5-αντίγρ'!AN42</f>
        <v>62.339999999999996</v>
      </c>
      <c r="D42" s="508">
        <f>'5-αντίγρ'!AM42</f>
        <v>2.48</v>
      </c>
      <c r="E42" s="377">
        <f>'6-μεταγρ'!Q42</f>
        <v>11.74</v>
      </c>
      <c r="F42" s="377">
        <f>'6-μεταγρ'!O42</f>
        <v>1.98</v>
      </c>
      <c r="G42" s="377">
        <f>'6-μεταγρ'!R42</f>
        <v>0</v>
      </c>
      <c r="H42" s="377">
        <f>'7-προςΔΟΥ'!Q42</f>
        <v>17.600000000000001</v>
      </c>
      <c r="I42" s="332">
        <f>'7-προςΔΟΥ'!K42</f>
        <v>0</v>
      </c>
      <c r="J42" s="281"/>
      <c r="K42" s="334">
        <v>14.97</v>
      </c>
      <c r="L42" s="334">
        <v>14.97</v>
      </c>
      <c r="M42" s="334">
        <v>14.97</v>
      </c>
      <c r="N42" s="334"/>
      <c r="O42" s="334"/>
      <c r="P42" s="334"/>
      <c r="Q42" s="334"/>
      <c r="R42" s="334"/>
      <c r="S42" s="334"/>
      <c r="T42" s="334"/>
      <c r="U42" s="334"/>
      <c r="V42" s="334">
        <v>14.97</v>
      </c>
      <c r="W42" s="334"/>
      <c r="X42" s="334"/>
      <c r="Y42" s="334"/>
      <c r="Z42" s="334"/>
      <c r="AA42" s="334"/>
      <c r="AB42" s="334"/>
      <c r="AC42" s="331"/>
      <c r="AD42" s="331"/>
      <c r="AE42" s="331"/>
      <c r="AF42" s="334">
        <f t="shared" si="0"/>
        <v>59.88</v>
      </c>
      <c r="AG42" s="331"/>
      <c r="AH42" s="334">
        <v>3.23</v>
      </c>
      <c r="AI42" s="334">
        <v>3.23</v>
      </c>
      <c r="AJ42" s="334">
        <f>2*3.23</f>
        <v>6.46</v>
      </c>
      <c r="AK42" s="334"/>
      <c r="AL42" s="334"/>
      <c r="AM42" s="334"/>
      <c r="AN42" s="334"/>
      <c r="AO42" s="334">
        <v>3.23</v>
      </c>
      <c r="AP42" s="334">
        <v>3.23</v>
      </c>
      <c r="AQ42" s="334"/>
      <c r="AR42" s="334"/>
      <c r="AS42" s="334"/>
      <c r="AT42" s="331"/>
      <c r="AU42" s="331"/>
      <c r="AV42" s="334">
        <f t="shared" si="6"/>
        <v>19.38</v>
      </c>
      <c r="AW42" s="334">
        <v>5.87</v>
      </c>
      <c r="AX42" s="331"/>
      <c r="AY42" s="331"/>
      <c r="AZ42" s="331"/>
      <c r="BA42" s="331"/>
      <c r="BB42" s="334">
        <f t="shared" si="7"/>
        <v>5.87</v>
      </c>
      <c r="BC42" s="331"/>
      <c r="BD42" s="331"/>
      <c r="BE42" s="334"/>
      <c r="BF42" s="334">
        <f t="shared" si="1"/>
        <v>0</v>
      </c>
      <c r="BG42" s="331"/>
      <c r="BH42" s="331"/>
      <c r="BI42" s="331"/>
      <c r="BJ42" s="331"/>
      <c r="BK42" s="331"/>
      <c r="BL42" s="331"/>
      <c r="BM42" s="331"/>
      <c r="BN42" s="334">
        <f>3*2.94</f>
        <v>8.82</v>
      </c>
      <c r="BO42" s="334">
        <v>0.3</v>
      </c>
      <c r="BP42" s="334">
        <v>0.3</v>
      </c>
      <c r="BQ42" s="327"/>
      <c r="BR42" s="334">
        <f t="shared" si="2"/>
        <v>9.4200000000000017</v>
      </c>
      <c r="BS42" s="377"/>
      <c r="BT42" s="377"/>
      <c r="BU42" s="377"/>
      <c r="BV42" s="377"/>
      <c r="BW42" s="377"/>
      <c r="BX42" s="377">
        <f t="shared" si="3"/>
        <v>0</v>
      </c>
      <c r="BY42" s="377">
        <f>'8-κ-15-17'!AO42</f>
        <v>0</v>
      </c>
      <c r="BZ42" s="335">
        <f t="shared" si="8"/>
        <v>186.23000000000002</v>
      </c>
      <c r="CA42" s="335">
        <f t="shared" si="5"/>
        <v>4.46</v>
      </c>
      <c r="CB42" s="451"/>
    </row>
    <row r="43" spans="1:80" s="5" customFormat="1">
      <c r="A43" s="547">
        <f>'1-συμβολαια'!A43</f>
        <v>0</v>
      </c>
      <c r="B43" s="472" t="str">
        <f>'1-συμβολαια'!C43</f>
        <v>ΧΡΗΣΙΚΤΗΣΙΑ αγροτεμαχίου = 19?? πατρός ΔΩΡΕΑ άτυπη</v>
      </c>
      <c r="C43" s="508">
        <f>'5-αντίγρ'!AN43</f>
        <v>0</v>
      </c>
      <c r="D43" s="508">
        <f>'5-αντίγρ'!AM43</f>
        <v>0</v>
      </c>
      <c r="E43" s="377">
        <f>'6-μεταγρ'!Q43</f>
        <v>0</v>
      </c>
      <c r="F43" s="377">
        <f>'6-μεταγρ'!O43</f>
        <v>0</v>
      </c>
      <c r="G43" s="377">
        <f>'6-μεταγρ'!R43</f>
        <v>0</v>
      </c>
      <c r="H43" s="377">
        <f>'7-προςΔΟΥ'!Q43</f>
        <v>5.86</v>
      </c>
      <c r="I43" s="332">
        <f>'7-προςΔΟΥ'!K43</f>
        <v>0</v>
      </c>
      <c r="J43" s="281"/>
      <c r="K43" s="334"/>
      <c r="L43" s="334"/>
      <c r="M43" s="334"/>
      <c r="N43" s="334"/>
      <c r="O43" s="334"/>
      <c r="P43" s="334"/>
      <c r="Q43" s="334"/>
      <c r="R43" s="334"/>
      <c r="S43" s="334"/>
      <c r="T43" s="334"/>
      <c r="U43" s="334"/>
      <c r="V43" s="334"/>
      <c r="W43" s="334"/>
      <c r="X43" s="334"/>
      <c r="Y43" s="334"/>
      <c r="Z43" s="334"/>
      <c r="AA43" s="334"/>
      <c r="AB43" s="334"/>
      <c r="AC43" s="331"/>
      <c r="AD43" s="331"/>
      <c r="AE43" s="331"/>
      <c r="AF43" s="334"/>
      <c r="AG43" s="331"/>
      <c r="AH43" s="334"/>
      <c r="AI43" s="334"/>
      <c r="AJ43" s="334"/>
      <c r="AK43" s="334"/>
      <c r="AL43" s="334"/>
      <c r="AM43" s="334"/>
      <c r="AN43" s="334"/>
      <c r="AO43" s="334"/>
      <c r="AP43" s="334"/>
      <c r="AQ43" s="334"/>
      <c r="AR43" s="334"/>
      <c r="AS43" s="334"/>
      <c r="AT43" s="331"/>
      <c r="AU43" s="331"/>
      <c r="AV43" s="334"/>
      <c r="AW43" s="334"/>
      <c r="AX43" s="331"/>
      <c r="AY43" s="331"/>
      <c r="AZ43" s="331"/>
      <c r="BA43" s="331"/>
      <c r="BB43" s="334"/>
      <c r="BC43" s="331"/>
      <c r="BD43" s="331"/>
      <c r="BE43" s="334"/>
      <c r="BF43" s="334"/>
      <c r="BG43" s="331"/>
      <c r="BH43" s="331"/>
      <c r="BI43" s="331"/>
      <c r="BJ43" s="331"/>
      <c r="BK43" s="331"/>
      <c r="BL43" s="331"/>
      <c r="BM43" s="331"/>
      <c r="BN43" s="334"/>
      <c r="BO43" s="334"/>
      <c r="BP43" s="334"/>
      <c r="BQ43" s="327"/>
      <c r="BR43" s="334">
        <f t="shared" si="2"/>
        <v>0</v>
      </c>
      <c r="BS43" s="377"/>
      <c r="BT43" s="377"/>
      <c r="BU43" s="377"/>
      <c r="BV43" s="377"/>
      <c r="BW43" s="377"/>
      <c r="BX43" s="377">
        <f t="shared" si="3"/>
        <v>0</v>
      </c>
      <c r="BY43" s="377">
        <f>'8-κ-15-17'!AO43</f>
        <v>0</v>
      </c>
      <c r="BZ43" s="335">
        <f t="shared" si="8"/>
        <v>5.86</v>
      </c>
      <c r="CA43" s="335">
        <f t="shared" si="5"/>
        <v>0</v>
      </c>
      <c r="CB43" s="451"/>
    </row>
    <row r="44" spans="1:80" s="5" customFormat="1">
      <c r="A44" s="473">
        <f>'1-συμβολαια'!A44</f>
        <v>4626</v>
      </c>
      <c r="B44" s="472" t="str">
        <f>'1-συμβολαια'!C44</f>
        <v>*γονική ΨΙΛΗΣ ΚΥΡΙΟΤΗΤΑΣ</v>
      </c>
      <c r="C44" s="508">
        <f>'5-αντίγρ'!AN44</f>
        <v>75.259999999999991</v>
      </c>
      <c r="D44" s="508">
        <f>'5-αντίγρ'!AM44</f>
        <v>2.48</v>
      </c>
      <c r="E44" s="377">
        <f>'6-μεταγρ'!Q44</f>
        <v>11.74</v>
      </c>
      <c r="F44" s="377">
        <f>'6-μεταγρ'!O44</f>
        <v>1.98</v>
      </c>
      <c r="G44" s="377">
        <f>'6-μεταγρ'!R44</f>
        <v>0</v>
      </c>
      <c r="H44" s="377">
        <f>'7-προςΔΟΥ'!Q44</f>
        <v>35.18</v>
      </c>
      <c r="I44" s="332">
        <f>'7-προςΔΟΥ'!K44</f>
        <v>0</v>
      </c>
      <c r="J44" s="281"/>
      <c r="K44" s="334">
        <v>14.97</v>
      </c>
      <c r="L44" s="334">
        <v>14.97</v>
      </c>
      <c r="M44" s="334">
        <v>14.97</v>
      </c>
      <c r="N44" s="334"/>
      <c r="O44" s="334"/>
      <c r="P44" s="334"/>
      <c r="Q44" s="334"/>
      <c r="R44" s="334"/>
      <c r="S44" s="334"/>
      <c r="T44" s="334"/>
      <c r="U44" s="334"/>
      <c r="V44" s="334">
        <v>14.97</v>
      </c>
      <c r="W44" s="334"/>
      <c r="X44" s="334"/>
      <c r="Y44" s="334"/>
      <c r="Z44" s="334"/>
      <c r="AA44" s="334"/>
      <c r="AB44" s="334"/>
      <c r="AC44" s="331"/>
      <c r="AD44" s="331"/>
      <c r="AE44" s="331"/>
      <c r="AF44" s="334">
        <f t="shared" si="0"/>
        <v>59.88</v>
      </c>
      <c r="AG44" s="331"/>
      <c r="AH44" s="334">
        <v>3.23</v>
      </c>
      <c r="AI44" s="334">
        <v>3.23</v>
      </c>
      <c r="AJ44" s="334">
        <f>2*3.23</f>
        <v>6.46</v>
      </c>
      <c r="AK44" s="334"/>
      <c r="AL44" s="334"/>
      <c r="AM44" s="334"/>
      <c r="AN44" s="334"/>
      <c r="AO44" s="334">
        <v>3.23</v>
      </c>
      <c r="AP44" s="334">
        <v>3.23</v>
      </c>
      <c r="AQ44" s="334"/>
      <c r="AR44" s="334"/>
      <c r="AS44" s="334"/>
      <c r="AT44" s="331"/>
      <c r="AU44" s="331"/>
      <c r="AV44" s="334">
        <f t="shared" si="6"/>
        <v>19.38</v>
      </c>
      <c r="AW44" s="334">
        <v>5.87</v>
      </c>
      <c r="AX44" s="331"/>
      <c r="AY44" s="331"/>
      <c r="AZ44" s="331"/>
      <c r="BA44" s="331"/>
      <c r="BB44" s="334">
        <f t="shared" si="7"/>
        <v>5.87</v>
      </c>
      <c r="BC44" s="331"/>
      <c r="BD44" s="331"/>
      <c r="BE44" s="334"/>
      <c r="BF44" s="334">
        <f t="shared" si="1"/>
        <v>0</v>
      </c>
      <c r="BG44" s="331"/>
      <c r="BH44" s="331"/>
      <c r="BI44" s="331"/>
      <c r="BJ44" s="331"/>
      <c r="BK44" s="331"/>
      <c r="BL44" s="331"/>
      <c r="BM44" s="331"/>
      <c r="BN44" s="334">
        <v>8.82</v>
      </c>
      <c r="BO44" s="334">
        <v>0.3</v>
      </c>
      <c r="BP44" s="334">
        <v>0.3</v>
      </c>
      <c r="BQ44" s="327"/>
      <c r="BR44" s="334">
        <f t="shared" si="2"/>
        <v>9.4200000000000017</v>
      </c>
      <c r="BS44" s="377">
        <f>2*3.23</f>
        <v>6.46</v>
      </c>
      <c r="BT44" s="377">
        <f>4*3.23</f>
        <v>12.92</v>
      </c>
      <c r="BU44" s="377">
        <f>2*16.15</f>
        <v>32.299999999999997</v>
      </c>
      <c r="BV44" s="377">
        <f>8*3.23</f>
        <v>25.84</v>
      </c>
      <c r="BW44" s="377">
        <v>4.6500000000000004</v>
      </c>
      <c r="BX44" s="377">
        <f t="shared" si="3"/>
        <v>82.17</v>
      </c>
      <c r="BY44" s="377">
        <f>'8-κ-15-17'!AO44</f>
        <v>0</v>
      </c>
      <c r="BZ44" s="335">
        <f t="shared" si="8"/>
        <v>294.24999999999994</v>
      </c>
      <c r="CA44" s="335">
        <f t="shared" si="5"/>
        <v>9.11</v>
      </c>
      <c r="CB44" s="451"/>
    </row>
    <row r="45" spans="1:80" s="5" customFormat="1">
      <c r="A45" s="473">
        <f>'1-συμβολαια'!A45</f>
        <v>0</v>
      </c>
      <c r="B45" s="472" t="str">
        <f>'1-συμβολαια'!C45</f>
        <v>ΧΡΗΣΙΚΤΗΣΙΑ αγροτεμαχίου = 1979 ΑΝΑΔΑΣΜΟΣ</v>
      </c>
      <c r="C45" s="508">
        <f>'5-αντίγρ'!AN45</f>
        <v>0</v>
      </c>
      <c r="D45" s="508">
        <f>'5-αντίγρ'!AM45</f>
        <v>0</v>
      </c>
      <c r="E45" s="377">
        <f>'6-μεταγρ'!Q45</f>
        <v>0</v>
      </c>
      <c r="F45" s="377">
        <f>'6-μεταγρ'!O45</f>
        <v>0</v>
      </c>
      <c r="G45" s="377">
        <f>'6-μεταγρ'!R45</f>
        <v>0</v>
      </c>
      <c r="H45" s="377">
        <f>'7-προςΔΟΥ'!Q45</f>
        <v>0</v>
      </c>
      <c r="I45" s="332">
        <f>'7-προςΔΟΥ'!K45</f>
        <v>0</v>
      </c>
      <c r="J45" s="281"/>
      <c r="K45" s="334"/>
      <c r="L45" s="334"/>
      <c r="M45" s="334"/>
      <c r="N45" s="334"/>
      <c r="O45" s="334"/>
      <c r="P45" s="334"/>
      <c r="Q45" s="334"/>
      <c r="R45" s="334"/>
      <c r="S45" s="334"/>
      <c r="T45" s="334"/>
      <c r="U45" s="334"/>
      <c r="V45" s="334"/>
      <c r="W45" s="334"/>
      <c r="X45" s="334"/>
      <c r="Y45" s="334"/>
      <c r="Z45" s="334"/>
      <c r="AA45" s="334"/>
      <c r="AB45" s="334"/>
      <c r="AC45" s="331"/>
      <c r="AD45" s="331"/>
      <c r="AE45" s="331"/>
      <c r="AF45" s="334"/>
      <c r="AG45" s="331"/>
      <c r="AH45" s="334"/>
      <c r="AI45" s="334"/>
      <c r="AJ45" s="334"/>
      <c r="AK45" s="334"/>
      <c r="AL45" s="334"/>
      <c r="AM45" s="334"/>
      <c r="AN45" s="334"/>
      <c r="AO45" s="334"/>
      <c r="AP45" s="334"/>
      <c r="AQ45" s="334"/>
      <c r="AR45" s="334"/>
      <c r="AS45" s="334"/>
      <c r="AT45" s="331"/>
      <c r="AU45" s="331"/>
      <c r="AV45" s="334"/>
      <c r="AW45" s="334"/>
      <c r="AX45" s="331"/>
      <c r="AY45" s="331"/>
      <c r="AZ45" s="331"/>
      <c r="BA45" s="331"/>
      <c r="BB45" s="334"/>
      <c r="BC45" s="331"/>
      <c r="BD45" s="331"/>
      <c r="BE45" s="334"/>
      <c r="BF45" s="334"/>
      <c r="BG45" s="331"/>
      <c r="BH45" s="331"/>
      <c r="BI45" s="331"/>
      <c r="BJ45" s="331"/>
      <c r="BK45" s="331"/>
      <c r="BL45" s="331"/>
      <c r="BM45" s="331"/>
      <c r="BN45" s="334"/>
      <c r="BO45" s="334"/>
      <c r="BP45" s="334"/>
      <c r="BQ45" s="327"/>
      <c r="BR45" s="334">
        <f t="shared" si="2"/>
        <v>0</v>
      </c>
      <c r="BS45" s="377"/>
      <c r="BT45" s="377"/>
      <c r="BU45" s="377"/>
      <c r="BV45" s="377"/>
      <c r="BW45" s="377"/>
      <c r="BX45" s="377">
        <f t="shared" si="3"/>
        <v>0</v>
      </c>
      <c r="BY45" s="377">
        <f>'8-κ-15-17'!AO45</f>
        <v>0</v>
      </c>
      <c r="BZ45" s="335">
        <f t="shared" si="8"/>
        <v>0</v>
      </c>
      <c r="CA45" s="335">
        <f t="shared" si="5"/>
        <v>0</v>
      </c>
      <c r="CB45" s="451"/>
    </row>
    <row r="46" spans="1:80" s="5" customFormat="1">
      <c r="A46" s="473">
        <f>'1-συμβολαια'!A46</f>
        <v>0</v>
      </c>
      <c r="B46" s="472" t="str">
        <f>'1-συμβολαια'!C46</f>
        <v>ΧΡΗΣΙΚΤΗΣΙΑ αγροτεμαχίων = 1957 τακοΑναστασιο ΑΓΟΡΑΠΩΛΗΣΙΑ άτυπη</v>
      </c>
      <c r="C46" s="508">
        <f>'5-αντίγρ'!AN46</f>
        <v>0</v>
      </c>
      <c r="D46" s="508">
        <f>'5-αντίγρ'!AM46</f>
        <v>0</v>
      </c>
      <c r="E46" s="377">
        <f>'6-μεταγρ'!Q46</f>
        <v>0</v>
      </c>
      <c r="F46" s="377">
        <f>'6-μεταγρ'!O46</f>
        <v>0</v>
      </c>
      <c r="G46" s="377">
        <f>'6-μεταγρ'!R46</f>
        <v>0</v>
      </c>
      <c r="H46" s="377">
        <f>'7-προςΔΟΥ'!Q46</f>
        <v>5.86</v>
      </c>
      <c r="I46" s="332">
        <f>'7-προςΔΟΥ'!K46</f>
        <v>0</v>
      </c>
      <c r="J46" s="281"/>
      <c r="K46" s="334"/>
      <c r="L46" s="334"/>
      <c r="M46" s="334"/>
      <c r="N46" s="334"/>
      <c r="O46" s="334"/>
      <c r="P46" s="334"/>
      <c r="Q46" s="334"/>
      <c r="R46" s="334"/>
      <c r="S46" s="334"/>
      <c r="T46" s="334"/>
      <c r="U46" s="334"/>
      <c r="V46" s="334"/>
      <c r="W46" s="334"/>
      <c r="X46" s="334"/>
      <c r="Y46" s="334"/>
      <c r="Z46" s="334"/>
      <c r="AA46" s="334"/>
      <c r="AB46" s="334"/>
      <c r="AC46" s="331"/>
      <c r="AD46" s="331"/>
      <c r="AE46" s="331"/>
      <c r="AF46" s="334"/>
      <c r="AG46" s="331"/>
      <c r="AH46" s="334"/>
      <c r="AI46" s="334"/>
      <c r="AJ46" s="334"/>
      <c r="AK46" s="334"/>
      <c r="AL46" s="334"/>
      <c r="AM46" s="334"/>
      <c r="AN46" s="334"/>
      <c r="AO46" s="334"/>
      <c r="AP46" s="334"/>
      <c r="AQ46" s="334"/>
      <c r="AR46" s="334"/>
      <c r="AS46" s="334"/>
      <c r="AT46" s="331"/>
      <c r="AU46" s="331"/>
      <c r="AV46" s="334"/>
      <c r="AW46" s="334"/>
      <c r="AX46" s="331"/>
      <c r="AY46" s="331"/>
      <c r="AZ46" s="331"/>
      <c r="BA46" s="331"/>
      <c r="BB46" s="334"/>
      <c r="BC46" s="331"/>
      <c r="BD46" s="331"/>
      <c r="BE46" s="334"/>
      <c r="BF46" s="334"/>
      <c r="BG46" s="331"/>
      <c r="BH46" s="331"/>
      <c r="BI46" s="331"/>
      <c r="BJ46" s="331"/>
      <c r="BK46" s="331"/>
      <c r="BL46" s="331"/>
      <c r="BM46" s="331"/>
      <c r="BN46" s="334"/>
      <c r="BO46" s="334"/>
      <c r="BP46" s="334"/>
      <c r="BQ46" s="327"/>
      <c r="BR46" s="334">
        <f t="shared" si="2"/>
        <v>0</v>
      </c>
      <c r="BS46" s="377"/>
      <c r="BT46" s="377"/>
      <c r="BU46" s="377"/>
      <c r="BV46" s="377"/>
      <c r="BW46" s="377"/>
      <c r="BX46" s="377">
        <f t="shared" si="3"/>
        <v>0</v>
      </c>
      <c r="BY46" s="377">
        <f>'8-κ-15-17'!AO46</f>
        <v>0</v>
      </c>
      <c r="BZ46" s="335">
        <f t="shared" si="8"/>
        <v>5.86</v>
      </c>
      <c r="CA46" s="335">
        <f t="shared" si="5"/>
        <v>0</v>
      </c>
      <c r="CB46" s="451"/>
    </row>
    <row r="47" spans="1:80" s="5" customFormat="1">
      <c r="A47" s="547">
        <f>'1-συμβολαια'!A47</f>
        <v>4627</v>
      </c>
      <c r="B47" s="472" t="str">
        <f>'1-συμβολαια'!C47</f>
        <v>*δωρεά ΑΙΤΙΑ θανάτου</v>
      </c>
      <c r="C47" s="508">
        <f>'5-αντίγρ'!AN47</f>
        <v>62.05</v>
      </c>
      <c r="D47" s="508">
        <f>'5-αντίγρ'!AM47</f>
        <v>2.48</v>
      </c>
      <c r="E47" s="377">
        <f>'6-μεταγρ'!Q47</f>
        <v>11.74</v>
      </c>
      <c r="F47" s="377">
        <f>'6-μεταγρ'!O47</f>
        <v>1.98</v>
      </c>
      <c r="G47" s="377">
        <f>'6-μεταγρ'!R47</f>
        <v>0</v>
      </c>
      <c r="H47" s="377">
        <f>'7-προςΔΟΥ'!Q47</f>
        <v>17.7</v>
      </c>
      <c r="I47" s="332">
        <f>'7-προςΔΟΥ'!K47</f>
        <v>0</v>
      </c>
      <c r="J47" s="281"/>
      <c r="K47" s="334"/>
      <c r="L47" s="334"/>
      <c r="M47" s="334"/>
      <c r="N47" s="334"/>
      <c r="O47" s="334"/>
      <c r="P47" s="334"/>
      <c r="Q47" s="334"/>
      <c r="R47" s="334"/>
      <c r="S47" s="334"/>
      <c r="T47" s="334"/>
      <c r="U47" s="334"/>
      <c r="V47" s="334"/>
      <c r="W47" s="334"/>
      <c r="X47" s="334"/>
      <c r="Y47" s="334"/>
      <c r="Z47" s="334"/>
      <c r="AA47" s="334">
        <v>39.03</v>
      </c>
      <c r="AB47" s="334">
        <v>1.98</v>
      </c>
      <c r="AC47" s="331"/>
      <c r="AD47" s="331"/>
      <c r="AE47" s="331"/>
      <c r="AF47" s="334">
        <f t="shared" si="0"/>
        <v>41.01</v>
      </c>
      <c r="AG47" s="331"/>
      <c r="AH47" s="334"/>
      <c r="AI47" s="334"/>
      <c r="AJ47" s="334"/>
      <c r="AK47" s="334"/>
      <c r="AL47" s="334"/>
      <c r="AM47" s="334"/>
      <c r="AN47" s="334"/>
      <c r="AO47" s="334"/>
      <c r="AP47" s="334"/>
      <c r="AQ47" s="334"/>
      <c r="AR47" s="334"/>
      <c r="AS47" s="334"/>
      <c r="AT47" s="331"/>
      <c r="AU47" s="331"/>
      <c r="AV47" s="334">
        <f t="shared" si="6"/>
        <v>0</v>
      </c>
      <c r="AW47" s="334"/>
      <c r="AX47" s="331"/>
      <c r="AY47" s="331"/>
      <c r="AZ47" s="331"/>
      <c r="BA47" s="331"/>
      <c r="BB47" s="334">
        <f t="shared" si="7"/>
        <v>0</v>
      </c>
      <c r="BC47" s="331"/>
      <c r="BD47" s="331"/>
      <c r="BE47" s="334"/>
      <c r="BF47" s="334">
        <f t="shared" si="1"/>
        <v>0</v>
      </c>
      <c r="BG47" s="331"/>
      <c r="BH47" s="331"/>
      <c r="BI47" s="331"/>
      <c r="BJ47" s="331"/>
      <c r="BK47" s="331"/>
      <c r="BL47" s="331"/>
      <c r="BM47" s="331"/>
      <c r="BN47" s="334"/>
      <c r="BO47" s="334"/>
      <c r="BP47" s="334">
        <v>0.3</v>
      </c>
      <c r="BQ47" s="327"/>
      <c r="BR47" s="334">
        <f t="shared" si="2"/>
        <v>0.3</v>
      </c>
      <c r="BS47" s="377"/>
      <c r="BT47" s="377"/>
      <c r="BU47" s="377"/>
      <c r="BV47" s="377"/>
      <c r="BW47" s="377"/>
      <c r="BX47" s="377">
        <f t="shared" si="3"/>
        <v>0</v>
      </c>
      <c r="BY47" s="377">
        <f>'8-κ-15-17'!AO47</f>
        <v>0</v>
      </c>
      <c r="BZ47" s="335">
        <f t="shared" si="8"/>
        <v>132.80000000000001</v>
      </c>
      <c r="CA47" s="335">
        <f t="shared" si="5"/>
        <v>4.46</v>
      </c>
      <c r="CB47" s="451"/>
    </row>
    <row r="48" spans="1:80" s="5" customFormat="1">
      <c r="A48" s="547">
        <f>'1-συμβολαια'!A48</f>
        <v>0</v>
      </c>
      <c r="B48" s="472" t="str">
        <f>'1-συμβολαια'!C48</f>
        <v>ΧΡΗΣΙΚΤΗΣΙΑ αγροτεμαχίου [νυν οικόπεδο ΜΕ οικοδομή] ] = 1970 ΑΝΑΔΑΣΜΟΣ</v>
      </c>
      <c r="C48" s="508">
        <f>'5-αντίγρ'!AN48</f>
        <v>0</v>
      </c>
      <c r="D48" s="508">
        <f>'5-αντίγρ'!AM48</f>
        <v>0</v>
      </c>
      <c r="E48" s="377">
        <f>'6-μεταγρ'!Q48</f>
        <v>0</v>
      </c>
      <c r="F48" s="377">
        <f>'6-μεταγρ'!O48</f>
        <v>0</v>
      </c>
      <c r="G48" s="377">
        <f>'6-μεταγρ'!R48</f>
        <v>0</v>
      </c>
      <c r="H48" s="377">
        <f>'7-προςΔΟΥ'!Q48</f>
        <v>0</v>
      </c>
      <c r="I48" s="332">
        <f>'7-προςΔΟΥ'!K48</f>
        <v>0</v>
      </c>
      <c r="J48" s="281"/>
      <c r="K48" s="334"/>
      <c r="L48" s="334"/>
      <c r="M48" s="334"/>
      <c r="N48" s="334"/>
      <c r="O48" s="334"/>
      <c r="P48" s="334"/>
      <c r="Q48" s="334"/>
      <c r="R48" s="334"/>
      <c r="S48" s="334"/>
      <c r="T48" s="334"/>
      <c r="U48" s="334"/>
      <c r="V48" s="334"/>
      <c r="W48" s="334"/>
      <c r="X48" s="334"/>
      <c r="Y48" s="334"/>
      <c r="Z48" s="334"/>
      <c r="AA48" s="334"/>
      <c r="AB48" s="334"/>
      <c r="AC48" s="331"/>
      <c r="AD48" s="331"/>
      <c r="AE48" s="331"/>
      <c r="AF48" s="334"/>
      <c r="AG48" s="331"/>
      <c r="AH48" s="334"/>
      <c r="AI48" s="334"/>
      <c r="AJ48" s="334"/>
      <c r="AK48" s="334"/>
      <c r="AL48" s="334"/>
      <c r="AM48" s="334"/>
      <c r="AN48" s="334"/>
      <c r="AO48" s="334"/>
      <c r="AP48" s="334"/>
      <c r="AQ48" s="334"/>
      <c r="AR48" s="334"/>
      <c r="AS48" s="334"/>
      <c r="AT48" s="331"/>
      <c r="AU48" s="331"/>
      <c r="AV48" s="334"/>
      <c r="AW48" s="334"/>
      <c r="AX48" s="331"/>
      <c r="AY48" s="331"/>
      <c r="AZ48" s="331"/>
      <c r="BA48" s="331"/>
      <c r="BB48" s="334"/>
      <c r="BC48" s="331"/>
      <c r="BD48" s="331"/>
      <c r="BE48" s="334"/>
      <c r="BF48" s="334"/>
      <c r="BG48" s="331"/>
      <c r="BH48" s="331"/>
      <c r="BI48" s="331"/>
      <c r="BJ48" s="331"/>
      <c r="BK48" s="331"/>
      <c r="BL48" s="331"/>
      <c r="BM48" s="331"/>
      <c r="BN48" s="334"/>
      <c r="BO48" s="334"/>
      <c r="BP48" s="334"/>
      <c r="BQ48" s="327"/>
      <c r="BR48" s="334">
        <f t="shared" si="2"/>
        <v>0</v>
      </c>
      <c r="BS48" s="377"/>
      <c r="BT48" s="377"/>
      <c r="BU48" s="377"/>
      <c r="BV48" s="377"/>
      <c r="BW48" s="377"/>
      <c r="BX48" s="377">
        <f t="shared" si="3"/>
        <v>0</v>
      </c>
      <c r="BY48" s="377">
        <f>'8-κ-15-17'!AO48</f>
        <v>0</v>
      </c>
      <c r="BZ48" s="335">
        <f t="shared" si="8"/>
        <v>0</v>
      </c>
      <c r="CA48" s="335">
        <f t="shared" si="5"/>
        <v>0</v>
      </c>
      <c r="CB48" s="451"/>
    </row>
    <row r="49" spans="1:80" s="5" customFormat="1">
      <c r="A49" s="547">
        <f>'1-συμβολαια'!A49</f>
        <v>0</v>
      </c>
      <c r="B49" s="472" t="str">
        <f>'1-συμβολαια'!C49</f>
        <v>*γονικής 1262  ΕΠΙΚΑΡΠΙΑ …  ΔΩΡΕΑ αιτία θανάτου</v>
      </c>
      <c r="C49" s="508">
        <f>'5-αντίγρ'!AN49</f>
        <v>62.05</v>
      </c>
      <c r="D49" s="508">
        <f>'5-αντίγρ'!AM49</f>
        <v>2.48</v>
      </c>
      <c r="E49" s="377">
        <f>'6-μεταγρ'!Q49</f>
        <v>0</v>
      </c>
      <c r="F49" s="377">
        <f>'6-μεταγρ'!O49</f>
        <v>0</v>
      </c>
      <c r="G49" s="377">
        <f>'6-μεταγρ'!R49</f>
        <v>0</v>
      </c>
      <c r="H49" s="377">
        <f>'7-προςΔΟΥ'!Q49</f>
        <v>29.799999999999997</v>
      </c>
      <c r="I49" s="332">
        <f>'7-προςΔΟΥ'!K49</f>
        <v>0</v>
      </c>
      <c r="J49" s="281"/>
      <c r="K49" s="334">
        <v>14.97</v>
      </c>
      <c r="L49" s="334">
        <v>14.97</v>
      </c>
      <c r="M49" s="334">
        <v>14.97</v>
      </c>
      <c r="N49" s="334"/>
      <c r="O49" s="334"/>
      <c r="P49" s="334"/>
      <c r="Q49" s="334"/>
      <c r="R49" s="334"/>
      <c r="S49" s="334"/>
      <c r="T49" s="334">
        <v>14.97</v>
      </c>
      <c r="U49" s="334"/>
      <c r="V49" s="334">
        <v>14.97</v>
      </c>
      <c r="W49" s="334"/>
      <c r="X49" s="334"/>
      <c r="Y49" s="334"/>
      <c r="Z49" s="334"/>
      <c r="AA49" s="334"/>
      <c r="AB49" s="334"/>
      <c r="AC49" s="331"/>
      <c r="AD49" s="331"/>
      <c r="AE49" s="331"/>
      <c r="AF49" s="334">
        <f t="shared" si="0"/>
        <v>74.850000000000009</v>
      </c>
      <c r="AG49" s="331"/>
      <c r="AH49" s="334">
        <v>3.23</v>
      </c>
      <c r="AI49" s="334"/>
      <c r="AJ49" s="334">
        <f>3*3.23</f>
        <v>9.69</v>
      </c>
      <c r="AK49" s="334"/>
      <c r="AL49" s="334"/>
      <c r="AM49" s="334"/>
      <c r="AN49" s="334"/>
      <c r="AO49" s="334">
        <v>3.23</v>
      </c>
      <c r="AP49" s="334">
        <v>3.23</v>
      </c>
      <c r="AQ49" s="334">
        <v>3.23</v>
      </c>
      <c r="AR49" s="334"/>
      <c r="AS49" s="334"/>
      <c r="AT49" s="331"/>
      <c r="AU49" s="331"/>
      <c r="AV49" s="334">
        <f t="shared" si="6"/>
        <v>22.61</v>
      </c>
      <c r="AW49" s="334">
        <v>5.87</v>
      </c>
      <c r="AX49" s="331"/>
      <c r="AY49" s="331"/>
      <c r="AZ49" s="331"/>
      <c r="BA49" s="331"/>
      <c r="BB49" s="334">
        <f t="shared" si="7"/>
        <v>5.87</v>
      </c>
      <c r="BC49" s="331"/>
      <c r="BD49" s="331"/>
      <c r="BE49" s="334"/>
      <c r="BF49" s="334">
        <f t="shared" si="1"/>
        <v>0</v>
      </c>
      <c r="BG49" s="331"/>
      <c r="BH49" s="331"/>
      <c r="BI49" s="331"/>
      <c r="BJ49" s="331"/>
      <c r="BK49" s="331"/>
      <c r="BL49" s="331"/>
      <c r="BM49" s="331"/>
      <c r="BN49" s="334"/>
      <c r="BO49" s="334">
        <v>0.3</v>
      </c>
      <c r="BP49" s="334">
        <v>0.45</v>
      </c>
      <c r="BQ49" s="327"/>
      <c r="BR49" s="334">
        <f t="shared" si="2"/>
        <v>0.75</v>
      </c>
      <c r="BS49" s="377"/>
      <c r="BT49" s="377"/>
      <c r="BU49" s="377"/>
      <c r="BV49" s="377"/>
      <c r="BW49" s="377"/>
      <c r="BX49" s="377">
        <f t="shared" si="3"/>
        <v>0</v>
      </c>
      <c r="BY49" s="377">
        <f>'8-κ-15-17'!AO49</f>
        <v>0</v>
      </c>
      <c r="BZ49" s="335">
        <f t="shared" si="8"/>
        <v>195.93</v>
      </c>
      <c r="CA49" s="335">
        <f t="shared" si="5"/>
        <v>2.48</v>
      </c>
      <c r="CB49" s="451"/>
    </row>
    <row r="50" spans="1:80" s="5" customFormat="1">
      <c r="A50" s="434">
        <f>'1-συμβολαια'!A50</f>
        <v>4628</v>
      </c>
      <c r="B50" s="472" t="str">
        <f>'1-συμβολαια'!C50</f>
        <v>πληρεξούσιο</v>
      </c>
      <c r="C50" s="508">
        <f>'5-αντίγρ'!AN50</f>
        <v>0</v>
      </c>
      <c r="D50" s="508">
        <f>'5-αντίγρ'!AM50</f>
        <v>0</v>
      </c>
      <c r="E50" s="377">
        <f>'6-μεταγρ'!Q50</f>
        <v>0</v>
      </c>
      <c r="F50" s="377">
        <f>'6-μεταγρ'!O50</f>
        <v>0</v>
      </c>
      <c r="G50" s="377">
        <f>'6-μεταγρ'!R50</f>
        <v>0</v>
      </c>
      <c r="H50" s="377">
        <f>'7-προςΔΟΥ'!Q50</f>
        <v>0</v>
      </c>
      <c r="I50" s="332">
        <f>'7-προςΔΟΥ'!K50</f>
        <v>0</v>
      </c>
      <c r="J50" s="281"/>
      <c r="K50" s="334"/>
      <c r="L50" s="334"/>
      <c r="M50" s="334"/>
      <c r="N50" s="334"/>
      <c r="O50" s="334"/>
      <c r="P50" s="334"/>
      <c r="Q50" s="334"/>
      <c r="R50" s="334"/>
      <c r="S50" s="334"/>
      <c r="T50" s="334"/>
      <c r="U50" s="334"/>
      <c r="V50" s="334"/>
      <c r="W50" s="334"/>
      <c r="X50" s="334"/>
      <c r="Y50" s="334"/>
      <c r="Z50" s="334"/>
      <c r="AA50" s="334"/>
      <c r="AB50" s="334"/>
      <c r="AC50" s="331"/>
      <c r="AD50" s="331"/>
      <c r="AE50" s="331"/>
      <c r="AF50" s="334"/>
      <c r="AG50" s="331"/>
      <c r="AH50" s="334"/>
      <c r="AI50" s="334"/>
      <c r="AJ50" s="334"/>
      <c r="AK50" s="334"/>
      <c r="AL50" s="334"/>
      <c r="AM50" s="334"/>
      <c r="AN50" s="334"/>
      <c r="AO50" s="334"/>
      <c r="AP50" s="334"/>
      <c r="AQ50" s="334"/>
      <c r="AR50" s="334"/>
      <c r="AS50" s="334"/>
      <c r="AT50" s="331"/>
      <c r="AU50" s="331"/>
      <c r="AV50" s="334"/>
      <c r="AW50" s="334"/>
      <c r="AX50" s="331"/>
      <c r="AY50" s="331"/>
      <c r="AZ50" s="331"/>
      <c r="BA50" s="331"/>
      <c r="BB50" s="334"/>
      <c r="BC50" s="331"/>
      <c r="BD50" s="331"/>
      <c r="BE50" s="334"/>
      <c r="BF50" s="334"/>
      <c r="BG50" s="331"/>
      <c r="BH50" s="331"/>
      <c r="BI50" s="331"/>
      <c r="BJ50" s="331"/>
      <c r="BK50" s="331"/>
      <c r="BL50" s="331"/>
      <c r="BM50" s="331"/>
      <c r="BN50" s="334"/>
      <c r="BO50" s="334"/>
      <c r="BP50" s="334">
        <v>0.3</v>
      </c>
      <c r="BQ50" s="327"/>
      <c r="BR50" s="334">
        <f t="shared" si="2"/>
        <v>0.3</v>
      </c>
      <c r="BS50" s="377"/>
      <c r="BT50" s="377"/>
      <c r="BU50" s="377"/>
      <c r="BV50" s="377"/>
      <c r="BW50" s="377"/>
      <c r="BX50" s="377">
        <f t="shared" si="3"/>
        <v>0</v>
      </c>
      <c r="BY50" s="377">
        <f>'8-κ-15-17'!AO50</f>
        <v>0</v>
      </c>
      <c r="BZ50" s="335">
        <f t="shared" si="8"/>
        <v>0.3</v>
      </c>
      <c r="CA50" s="335">
        <f t="shared" si="5"/>
        <v>0</v>
      </c>
      <c r="CB50" s="451"/>
    </row>
    <row r="51" spans="1:80" s="5" customFormat="1">
      <c r="A51" s="473">
        <f>'1-συμβολαια'!A51</f>
        <v>4629</v>
      </c>
      <c r="B51" s="472" t="str">
        <f>'1-συμβολαια'!C51</f>
        <v>κληρονομιάς ΑΠΟΔΟΧΗ</v>
      </c>
      <c r="C51" s="508">
        <f>'5-αντίγρ'!AN51</f>
        <v>129.08999999999997</v>
      </c>
      <c r="D51" s="508">
        <f>'5-αντίγρ'!AM51</f>
        <v>2.98</v>
      </c>
      <c r="E51" s="377">
        <f>'6-μεταγρ'!Q51</f>
        <v>11.74</v>
      </c>
      <c r="F51" s="377">
        <f>'6-μεταγρ'!O51</f>
        <v>1.98</v>
      </c>
      <c r="G51" s="377">
        <f>'6-μεταγρ'!R51</f>
        <v>0</v>
      </c>
      <c r="H51" s="377">
        <f>'7-προςΔΟΥ'!Q51</f>
        <v>41.440000000000005</v>
      </c>
      <c r="I51" s="332">
        <f>'7-προςΔΟΥ'!K51</f>
        <v>0</v>
      </c>
      <c r="J51" s="332"/>
      <c r="K51" s="334">
        <v>14.97</v>
      </c>
      <c r="L51" s="334">
        <v>14.97</v>
      </c>
      <c r="M51" s="334">
        <v>14.97</v>
      </c>
      <c r="N51" s="334">
        <v>14.97</v>
      </c>
      <c r="O51" s="334">
        <v>14.97</v>
      </c>
      <c r="P51" s="334">
        <v>14.97</v>
      </c>
      <c r="Q51" s="334">
        <v>14.97</v>
      </c>
      <c r="R51" s="334"/>
      <c r="S51" s="334">
        <v>14.97</v>
      </c>
      <c r="T51" s="334">
        <v>14.97</v>
      </c>
      <c r="U51" s="334">
        <v>14.97</v>
      </c>
      <c r="V51" s="334">
        <v>14.97</v>
      </c>
      <c r="W51" s="334"/>
      <c r="X51" s="334">
        <f>2*32.58</f>
        <v>65.16</v>
      </c>
      <c r="Y51" s="334">
        <v>14.97</v>
      </c>
      <c r="Z51" s="334">
        <f>3*1.98</f>
        <v>5.9399999999999995</v>
      </c>
      <c r="AA51" s="334"/>
      <c r="AB51" s="334"/>
      <c r="AC51" s="331"/>
      <c r="AD51" s="331"/>
      <c r="AE51" s="331"/>
      <c r="AF51" s="334">
        <f t="shared" si="0"/>
        <v>250.74</v>
      </c>
      <c r="AG51" s="331"/>
      <c r="AH51" s="334">
        <f>3*3.23</f>
        <v>9.69</v>
      </c>
      <c r="AI51" s="334">
        <f>2*3.23</f>
        <v>6.46</v>
      </c>
      <c r="AJ51" s="334">
        <f>2*3.23</f>
        <v>6.46</v>
      </c>
      <c r="AK51" s="334"/>
      <c r="AL51" s="334"/>
      <c r="AM51" s="334"/>
      <c r="AN51" s="334"/>
      <c r="AO51" s="334">
        <f>2*3.23</f>
        <v>6.46</v>
      </c>
      <c r="AP51" s="334">
        <f>2*3.23</f>
        <v>6.46</v>
      </c>
      <c r="AQ51" s="334">
        <f>2*3.23</f>
        <v>6.46</v>
      </c>
      <c r="AR51" s="334"/>
      <c r="AS51" s="334"/>
      <c r="AT51" s="331"/>
      <c r="AU51" s="331"/>
      <c r="AV51" s="334">
        <f t="shared" si="6"/>
        <v>41.99</v>
      </c>
      <c r="AW51" s="334">
        <f>2*5.87</f>
        <v>11.74</v>
      </c>
      <c r="AX51" s="331"/>
      <c r="AY51" s="331"/>
      <c r="AZ51" s="331"/>
      <c r="BA51" s="331"/>
      <c r="BB51" s="334">
        <f t="shared" si="7"/>
        <v>11.74</v>
      </c>
      <c r="BC51" s="331"/>
      <c r="BD51" s="331"/>
      <c r="BE51" s="334"/>
      <c r="BF51" s="334">
        <f t="shared" si="1"/>
        <v>0</v>
      </c>
      <c r="BG51" s="331"/>
      <c r="BH51" s="331"/>
      <c r="BI51" s="331"/>
      <c r="BJ51" s="331"/>
      <c r="BK51" s="331"/>
      <c r="BL51" s="331"/>
      <c r="BM51" s="331"/>
      <c r="BN51" s="334">
        <f>3*2.94</f>
        <v>8.82</v>
      </c>
      <c r="BO51" s="334">
        <v>0.3</v>
      </c>
      <c r="BP51" s="334">
        <v>0.3</v>
      </c>
      <c r="BQ51" s="327"/>
      <c r="BR51" s="334">
        <f t="shared" si="2"/>
        <v>9.4200000000000017</v>
      </c>
      <c r="BS51" s="377"/>
      <c r="BT51" s="377"/>
      <c r="BU51" s="377"/>
      <c r="BV51" s="377"/>
      <c r="BW51" s="377"/>
      <c r="BX51" s="377">
        <f t="shared" si="3"/>
        <v>0</v>
      </c>
      <c r="BY51" s="377">
        <f>'8-κ-15-17'!AO51</f>
        <v>0</v>
      </c>
      <c r="BZ51" s="335">
        <f t="shared" si="8"/>
        <v>496.16</v>
      </c>
      <c r="CA51" s="335">
        <f t="shared" si="5"/>
        <v>4.96</v>
      </c>
      <c r="CB51" s="451"/>
    </row>
    <row r="52" spans="1:80" s="5" customFormat="1">
      <c r="A52" s="473">
        <f>'1-συμβολαια'!A52</f>
        <v>0</v>
      </c>
      <c r="B52" s="472" t="str">
        <f>'1-συμβολαια'!C52</f>
        <v>ΧΡΗΣΙΚΤΗΣΙΑ αγροτεμαχίου = 1980 πατρός ΚΛΗΡΟΝΟΜΙΑ άτυπη</v>
      </c>
      <c r="C52" s="508">
        <f>'5-αντίγρ'!AN52</f>
        <v>0</v>
      </c>
      <c r="D52" s="508">
        <f>'5-αντίγρ'!AM52</f>
        <v>0</v>
      </c>
      <c r="E52" s="377">
        <f>'6-μεταγρ'!Q52</f>
        <v>0</v>
      </c>
      <c r="F52" s="377">
        <f>'6-μεταγρ'!O52</f>
        <v>0</v>
      </c>
      <c r="G52" s="377">
        <f>'6-μεταγρ'!R52</f>
        <v>0</v>
      </c>
      <c r="H52" s="377">
        <f>'7-προςΔΟΥ'!Q52</f>
        <v>5.86</v>
      </c>
      <c r="I52" s="332">
        <f>'7-προςΔΟΥ'!K52</f>
        <v>0</v>
      </c>
      <c r="J52" s="332"/>
      <c r="K52" s="334"/>
      <c r="L52" s="334"/>
      <c r="M52" s="334"/>
      <c r="N52" s="334"/>
      <c r="O52" s="334"/>
      <c r="P52" s="334"/>
      <c r="Q52" s="334"/>
      <c r="R52" s="334"/>
      <c r="S52" s="334"/>
      <c r="T52" s="334"/>
      <c r="U52" s="334"/>
      <c r="V52" s="334"/>
      <c r="W52" s="334"/>
      <c r="X52" s="334"/>
      <c r="Y52" s="334"/>
      <c r="Z52" s="334"/>
      <c r="AA52" s="334"/>
      <c r="AB52" s="334"/>
      <c r="AC52" s="331"/>
      <c r="AD52" s="331"/>
      <c r="AE52" s="331"/>
      <c r="AF52" s="334"/>
      <c r="AG52" s="331"/>
      <c r="AH52" s="334"/>
      <c r="AI52" s="334"/>
      <c r="AJ52" s="334"/>
      <c r="AK52" s="334"/>
      <c r="AL52" s="334"/>
      <c r="AM52" s="334"/>
      <c r="AN52" s="334"/>
      <c r="AO52" s="334"/>
      <c r="AP52" s="334"/>
      <c r="AQ52" s="334"/>
      <c r="AR52" s="334"/>
      <c r="AS52" s="334"/>
      <c r="AT52" s="331"/>
      <c r="AU52" s="331"/>
      <c r="AV52" s="334"/>
      <c r="AW52" s="334"/>
      <c r="AX52" s="331"/>
      <c r="AY52" s="331"/>
      <c r="AZ52" s="331"/>
      <c r="BA52" s="331"/>
      <c r="BB52" s="334"/>
      <c r="BC52" s="331"/>
      <c r="BD52" s="331"/>
      <c r="BE52" s="334"/>
      <c r="BF52" s="334"/>
      <c r="BG52" s="331"/>
      <c r="BH52" s="331"/>
      <c r="BI52" s="331"/>
      <c r="BJ52" s="331"/>
      <c r="BK52" s="331"/>
      <c r="BL52" s="331"/>
      <c r="BM52" s="331"/>
      <c r="BN52" s="334"/>
      <c r="BO52" s="334"/>
      <c r="BP52" s="334"/>
      <c r="BQ52" s="327"/>
      <c r="BR52" s="334"/>
      <c r="BS52" s="377"/>
      <c r="BT52" s="377"/>
      <c r="BU52" s="377"/>
      <c r="BV52" s="377"/>
      <c r="BW52" s="377"/>
      <c r="BX52" s="377">
        <f t="shared" si="3"/>
        <v>0</v>
      </c>
      <c r="BY52" s="377">
        <f>'8-κ-15-17'!AO52</f>
        <v>0</v>
      </c>
      <c r="BZ52" s="335">
        <f t="shared" si="8"/>
        <v>5.86</v>
      </c>
      <c r="CA52" s="335">
        <f t="shared" si="5"/>
        <v>0</v>
      </c>
      <c r="CB52" s="451"/>
    </row>
    <row r="53" spans="1:80" s="5" customFormat="1">
      <c r="A53" s="473">
        <f>'1-συμβολαια'!A53</f>
        <v>0</v>
      </c>
      <c r="B53" s="472" t="str">
        <f>'1-συμβολαια'!C53</f>
        <v>ΧΡΗΣΙΚΤΗΣΙΑ αγροτεμαχίου = 1980 ΔΙΑΝΟΜΗ άτυπη</v>
      </c>
      <c r="C53" s="508">
        <f>'5-αντίγρ'!AN53</f>
        <v>0</v>
      </c>
      <c r="D53" s="508">
        <f>'5-αντίγρ'!AM53</f>
        <v>0</v>
      </c>
      <c r="E53" s="377">
        <f>'6-μεταγρ'!Q53</f>
        <v>0</v>
      </c>
      <c r="F53" s="377">
        <f>'6-μεταγρ'!O53</f>
        <v>0</v>
      </c>
      <c r="G53" s="377">
        <f>'6-μεταγρ'!R53</f>
        <v>0</v>
      </c>
      <c r="H53" s="377">
        <f>'7-προςΔΟΥ'!Q53</f>
        <v>5.86</v>
      </c>
      <c r="I53" s="332">
        <f>'7-προςΔΟΥ'!K53</f>
        <v>0</v>
      </c>
      <c r="J53" s="332"/>
      <c r="K53" s="334"/>
      <c r="L53" s="334"/>
      <c r="M53" s="334"/>
      <c r="N53" s="334"/>
      <c r="O53" s="334"/>
      <c r="P53" s="334"/>
      <c r="Q53" s="334"/>
      <c r="R53" s="334"/>
      <c r="S53" s="334"/>
      <c r="T53" s="334"/>
      <c r="U53" s="334"/>
      <c r="V53" s="334"/>
      <c r="W53" s="334"/>
      <c r="X53" s="334"/>
      <c r="Y53" s="334"/>
      <c r="Z53" s="334"/>
      <c r="AA53" s="334"/>
      <c r="AB53" s="334"/>
      <c r="AC53" s="331"/>
      <c r="AD53" s="331"/>
      <c r="AE53" s="331"/>
      <c r="AF53" s="334"/>
      <c r="AG53" s="331"/>
      <c r="AH53" s="334"/>
      <c r="AI53" s="334"/>
      <c r="AJ53" s="334"/>
      <c r="AK53" s="334"/>
      <c r="AL53" s="334"/>
      <c r="AM53" s="334"/>
      <c r="AN53" s="334"/>
      <c r="AO53" s="334"/>
      <c r="AP53" s="334"/>
      <c r="AQ53" s="334"/>
      <c r="AR53" s="334"/>
      <c r="AS53" s="334"/>
      <c r="AT53" s="331"/>
      <c r="AU53" s="331"/>
      <c r="AV53" s="334"/>
      <c r="AW53" s="334"/>
      <c r="AX53" s="331"/>
      <c r="AY53" s="331"/>
      <c r="AZ53" s="331"/>
      <c r="BA53" s="331"/>
      <c r="BB53" s="334"/>
      <c r="BC53" s="331"/>
      <c r="BD53" s="331"/>
      <c r="BE53" s="334"/>
      <c r="BF53" s="334"/>
      <c r="BG53" s="331"/>
      <c r="BH53" s="331"/>
      <c r="BI53" s="331"/>
      <c r="BJ53" s="331"/>
      <c r="BK53" s="331"/>
      <c r="BL53" s="331"/>
      <c r="BM53" s="331"/>
      <c r="BN53" s="334"/>
      <c r="BO53" s="334"/>
      <c r="BP53" s="334"/>
      <c r="BQ53" s="327"/>
      <c r="BR53" s="334"/>
      <c r="BS53" s="377"/>
      <c r="BT53" s="377"/>
      <c r="BU53" s="377"/>
      <c r="BV53" s="377"/>
      <c r="BW53" s="377"/>
      <c r="BX53" s="377">
        <f t="shared" si="3"/>
        <v>0</v>
      </c>
      <c r="BY53" s="377">
        <f>'8-κ-15-17'!AO53</f>
        <v>0</v>
      </c>
      <c r="BZ53" s="335">
        <f t="shared" si="8"/>
        <v>5.86</v>
      </c>
      <c r="CA53" s="335">
        <f t="shared" si="5"/>
        <v>0</v>
      </c>
      <c r="CB53" s="451"/>
    </row>
    <row r="54" spans="1:80" s="5" customFormat="1">
      <c r="A54" s="547">
        <f>'1-συμβολαια'!A54</f>
        <v>4630</v>
      </c>
      <c r="B54" s="472" t="str">
        <f>'1-συμβολαια'!C54</f>
        <v xml:space="preserve">αγοραπωλησίας ΠΡΟΣΥΜΦΩΝΟ τίμημα = αρραβών = </v>
      </c>
      <c r="C54" s="508">
        <f>'5-αντίγρ'!AN54</f>
        <v>0</v>
      </c>
      <c r="D54" s="508">
        <f>'5-αντίγρ'!AM54</f>
        <v>0</v>
      </c>
      <c r="E54" s="377">
        <f>'6-μεταγρ'!Q54</f>
        <v>0</v>
      </c>
      <c r="F54" s="377">
        <f>'6-μεταγρ'!O54</f>
        <v>0</v>
      </c>
      <c r="G54" s="377">
        <f>'6-μεταγρ'!R54</f>
        <v>0</v>
      </c>
      <c r="H54" s="377">
        <f>'7-προςΔΟΥ'!Q54</f>
        <v>0</v>
      </c>
      <c r="I54" s="332">
        <f>'7-προςΔΟΥ'!K54</f>
        <v>0</v>
      </c>
      <c r="J54" s="281"/>
      <c r="K54" s="334"/>
      <c r="L54" s="334"/>
      <c r="M54" s="334"/>
      <c r="N54" s="334"/>
      <c r="O54" s="334"/>
      <c r="P54" s="334"/>
      <c r="Q54" s="334"/>
      <c r="R54" s="334"/>
      <c r="S54" s="334"/>
      <c r="T54" s="334"/>
      <c r="U54" s="334"/>
      <c r="V54" s="334"/>
      <c r="W54" s="334"/>
      <c r="X54" s="334"/>
      <c r="Y54" s="334"/>
      <c r="Z54" s="334"/>
      <c r="AA54" s="334"/>
      <c r="AB54" s="334"/>
      <c r="AC54" s="331"/>
      <c r="AD54" s="331"/>
      <c r="AE54" s="331"/>
      <c r="AF54" s="334">
        <f t="shared" si="0"/>
        <v>0</v>
      </c>
      <c r="AG54" s="331"/>
      <c r="AH54" s="334"/>
      <c r="AI54" s="334"/>
      <c r="AJ54" s="334">
        <f>2*3.23</f>
        <v>6.46</v>
      </c>
      <c r="AK54" s="334"/>
      <c r="AL54" s="334"/>
      <c r="AM54" s="334"/>
      <c r="AN54" s="334">
        <f>2*3.23</f>
        <v>6.46</v>
      </c>
      <c r="AO54" s="334"/>
      <c r="AP54" s="334"/>
      <c r="AQ54" s="334"/>
      <c r="AR54" s="334"/>
      <c r="AS54" s="334"/>
      <c r="AT54" s="331"/>
      <c r="AU54" s="331"/>
      <c r="AV54" s="334">
        <f t="shared" si="6"/>
        <v>12.92</v>
      </c>
      <c r="AW54" s="334"/>
      <c r="AX54" s="284"/>
      <c r="AY54" s="284"/>
      <c r="AZ54" s="284"/>
      <c r="BA54" s="284"/>
      <c r="BB54" s="334">
        <f t="shared" si="7"/>
        <v>0</v>
      </c>
      <c r="BC54" s="331"/>
      <c r="BD54" s="284"/>
      <c r="BE54" s="334"/>
      <c r="BF54" s="334">
        <f t="shared" si="1"/>
        <v>0</v>
      </c>
      <c r="BG54" s="331"/>
      <c r="BH54" s="331"/>
      <c r="BI54" s="331"/>
      <c r="BJ54" s="331"/>
      <c r="BK54" s="331"/>
      <c r="BL54" s="331"/>
      <c r="BM54" s="331"/>
      <c r="BN54" s="334"/>
      <c r="BO54" s="334"/>
      <c r="BP54" s="334">
        <v>0.3</v>
      </c>
      <c r="BQ54" s="327"/>
      <c r="BR54" s="334">
        <f t="shared" si="2"/>
        <v>0.3</v>
      </c>
      <c r="BS54" s="377"/>
      <c r="BT54" s="377"/>
      <c r="BU54" s="377"/>
      <c r="BV54" s="377"/>
      <c r="BW54" s="377"/>
      <c r="BX54" s="377">
        <f t="shared" si="3"/>
        <v>0</v>
      </c>
      <c r="BY54" s="377">
        <f>'8-κ-15-17'!AO54</f>
        <v>0</v>
      </c>
      <c r="BZ54" s="335">
        <f t="shared" si="8"/>
        <v>13.22</v>
      </c>
      <c r="CA54" s="335">
        <f t="shared" si="5"/>
        <v>0</v>
      </c>
      <c r="CB54" s="289"/>
    </row>
    <row r="55" spans="1:80" s="5" customFormat="1">
      <c r="A55" s="547">
        <f>'1-συμβολαια'!A55</f>
        <v>0</v>
      </c>
      <c r="B55" s="472" t="str">
        <f>'1-συμβολαια'!C55</f>
        <v>ΧΡΗΣΙΚΤΗΣΙΑ αγροτεμαχίου = 1970 συζύγου ΔΩΡΕΑ άτυπη</v>
      </c>
      <c r="C55" s="508">
        <f>'5-αντίγρ'!AN55</f>
        <v>0</v>
      </c>
      <c r="D55" s="508">
        <f>'5-αντίγρ'!AM55</f>
        <v>0</v>
      </c>
      <c r="E55" s="377">
        <f>'6-μεταγρ'!Q55</f>
        <v>0</v>
      </c>
      <c r="F55" s="377">
        <f>'6-μεταγρ'!O55</f>
        <v>0</v>
      </c>
      <c r="G55" s="377">
        <f>'6-μεταγρ'!R55</f>
        <v>0</v>
      </c>
      <c r="H55" s="377">
        <f>'7-προςΔΟΥ'!Q55</f>
        <v>0</v>
      </c>
      <c r="I55" s="332">
        <f>'7-προςΔΟΥ'!K55</f>
        <v>0</v>
      </c>
      <c r="J55" s="281"/>
      <c r="K55" s="334"/>
      <c r="L55" s="334"/>
      <c r="M55" s="334"/>
      <c r="N55" s="334"/>
      <c r="O55" s="334"/>
      <c r="P55" s="334"/>
      <c r="Q55" s="334"/>
      <c r="R55" s="334"/>
      <c r="S55" s="334"/>
      <c r="T55" s="334"/>
      <c r="U55" s="334"/>
      <c r="V55" s="334"/>
      <c r="W55" s="334"/>
      <c r="X55" s="334"/>
      <c r="Y55" s="334"/>
      <c r="Z55" s="334"/>
      <c r="AA55" s="334"/>
      <c r="AB55" s="334"/>
      <c r="AC55" s="331"/>
      <c r="AD55" s="331"/>
      <c r="AE55" s="331"/>
      <c r="AF55" s="334">
        <f t="shared" si="0"/>
        <v>0</v>
      </c>
      <c r="AG55" s="331"/>
      <c r="AH55" s="334"/>
      <c r="AI55" s="334"/>
      <c r="AJ55" s="334"/>
      <c r="AK55" s="334"/>
      <c r="AL55" s="334"/>
      <c r="AM55" s="334"/>
      <c r="AN55" s="334"/>
      <c r="AO55" s="334"/>
      <c r="AP55" s="334"/>
      <c r="AQ55" s="334"/>
      <c r="AR55" s="334"/>
      <c r="AS55" s="334"/>
      <c r="AT55" s="331"/>
      <c r="AU55" s="331"/>
      <c r="AV55" s="334">
        <f t="shared" si="6"/>
        <v>0</v>
      </c>
      <c r="AW55" s="334"/>
      <c r="AX55" s="284"/>
      <c r="AY55" s="284"/>
      <c r="AZ55" s="284"/>
      <c r="BA55" s="284"/>
      <c r="BB55" s="334">
        <f t="shared" si="7"/>
        <v>0</v>
      </c>
      <c r="BC55" s="331"/>
      <c r="BD55" s="284"/>
      <c r="BE55" s="334"/>
      <c r="BF55" s="334">
        <f t="shared" si="1"/>
        <v>0</v>
      </c>
      <c r="BG55" s="331"/>
      <c r="BH55" s="331"/>
      <c r="BI55" s="331"/>
      <c r="BJ55" s="331"/>
      <c r="BK55" s="331"/>
      <c r="BL55" s="331"/>
      <c r="BM55" s="331"/>
      <c r="BN55" s="334"/>
      <c r="BO55" s="334"/>
      <c r="BP55" s="334"/>
      <c r="BQ55" s="327"/>
      <c r="BR55" s="334">
        <f t="shared" si="2"/>
        <v>0</v>
      </c>
      <c r="BS55" s="377"/>
      <c r="BT55" s="377"/>
      <c r="BU55" s="377"/>
      <c r="BV55" s="377"/>
      <c r="BW55" s="377"/>
      <c r="BX55" s="377">
        <f t="shared" si="3"/>
        <v>0</v>
      </c>
      <c r="BY55" s="377">
        <f>'8-κ-15-17'!AO55</f>
        <v>0</v>
      </c>
      <c r="BZ55" s="335">
        <f t="shared" si="8"/>
        <v>0</v>
      </c>
      <c r="CA55" s="335">
        <f t="shared" si="5"/>
        <v>0</v>
      </c>
      <c r="CB55" s="289"/>
    </row>
    <row r="56" spans="1:80" s="5" customFormat="1">
      <c r="A56" s="434">
        <f>'1-συμβολαια'!A56</f>
        <v>4631</v>
      </c>
      <c r="B56" s="472" t="str">
        <f>'1-συμβολαια'!C56</f>
        <v>αγοραπωλησίας 4.191 ΕΞΟΦΛΗΣΗ</v>
      </c>
      <c r="C56" s="508">
        <f>'5-αντίγρ'!AN56</f>
        <v>7.93</v>
      </c>
      <c r="D56" s="508">
        <f>'5-αντίγρ'!AM56</f>
        <v>0</v>
      </c>
      <c r="E56" s="377">
        <f>'6-μεταγρ'!Q56</f>
        <v>0</v>
      </c>
      <c r="F56" s="377">
        <f>'6-μεταγρ'!O56</f>
        <v>0</v>
      </c>
      <c r="G56" s="377">
        <f>'6-μεταγρ'!R56</f>
        <v>0</v>
      </c>
      <c r="H56" s="377">
        <f>'7-προςΔΟΥ'!Q56</f>
        <v>0</v>
      </c>
      <c r="I56" s="332">
        <f>'7-προςΔΟΥ'!K56</f>
        <v>0</v>
      </c>
      <c r="J56" s="332"/>
      <c r="K56" s="334"/>
      <c r="L56" s="334"/>
      <c r="M56" s="334"/>
      <c r="N56" s="334"/>
      <c r="O56" s="334"/>
      <c r="P56" s="334"/>
      <c r="Q56" s="334"/>
      <c r="R56" s="334"/>
      <c r="S56" s="334"/>
      <c r="T56" s="334"/>
      <c r="U56" s="334"/>
      <c r="V56" s="334"/>
      <c r="W56" s="334"/>
      <c r="X56" s="334"/>
      <c r="Y56" s="334"/>
      <c r="Z56" s="334"/>
      <c r="AA56" s="334"/>
      <c r="AB56" s="334"/>
      <c r="AC56" s="331"/>
      <c r="AD56" s="331"/>
      <c r="AE56" s="331"/>
      <c r="AF56" s="334">
        <f t="shared" si="0"/>
        <v>0</v>
      </c>
      <c r="AG56" s="331"/>
      <c r="AH56" s="334"/>
      <c r="AI56" s="334"/>
      <c r="AJ56" s="334">
        <v>3.23</v>
      </c>
      <c r="AK56" s="334"/>
      <c r="AL56" s="334"/>
      <c r="AM56" s="334"/>
      <c r="AN56" s="334"/>
      <c r="AO56" s="334"/>
      <c r="AP56" s="334"/>
      <c r="AQ56" s="334"/>
      <c r="AR56" s="334"/>
      <c r="AS56" s="334"/>
      <c r="AT56" s="331"/>
      <c r="AU56" s="331"/>
      <c r="AV56" s="334">
        <f t="shared" si="6"/>
        <v>3.23</v>
      </c>
      <c r="AW56" s="334"/>
      <c r="AX56" s="331"/>
      <c r="AY56" s="331"/>
      <c r="AZ56" s="331"/>
      <c r="BA56" s="331"/>
      <c r="BB56" s="334">
        <f t="shared" si="7"/>
        <v>0</v>
      </c>
      <c r="BC56" s="331"/>
      <c r="BD56" s="331"/>
      <c r="BE56" s="334"/>
      <c r="BF56" s="334">
        <f t="shared" si="1"/>
        <v>0</v>
      </c>
      <c r="BG56" s="331"/>
      <c r="BH56" s="331"/>
      <c r="BI56" s="331"/>
      <c r="BJ56" s="331"/>
      <c r="BK56" s="331"/>
      <c r="BL56" s="331"/>
      <c r="BM56" s="331"/>
      <c r="BN56" s="334"/>
      <c r="BO56" s="334">
        <v>0.3</v>
      </c>
      <c r="BP56" s="334">
        <v>0.15</v>
      </c>
      <c r="BQ56" s="327"/>
      <c r="BR56" s="334">
        <f t="shared" si="2"/>
        <v>0.44999999999999996</v>
      </c>
      <c r="BS56" s="377"/>
      <c r="BT56" s="377"/>
      <c r="BU56" s="377"/>
      <c r="BV56" s="377"/>
      <c r="BW56" s="377"/>
      <c r="BX56" s="377">
        <f t="shared" si="3"/>
        <v>0</v>
      </c>
      <c r="BY56" s="377">
        <f>'8-κ-15-17'!AO56</f>
        <v>0</v>
      </c>
      <c r="BZ56" s="335">
        <f t="shared" si="8"/>
        <v>11.61</v>
      </c>
      <c r="CA56" s="335">
        <f t="shared" si="5"/>
        <v>0</v>
      </c>
      <c r="CB56" s="451"/>
    </row>
    <row r="57" spans="1:80" s="5" customFormat="1">
      <c r="A57" s="434"/>
      <c r="B57" s="472"/>
      <c r="C57" s="508"/>
      <c r="D57" s="508"/>
      <c r="E57" s="377"/>
      <c r="F57" s="377"/>
      <c r="G57" s="377"/>
      <c r="H57" s="377"/>
      <c r="I57" s="332"/>
      <c r="J57" s="332"/>
      <c r="K57" s="334"/>
      <c r="L57" s="334"/>
      <c r="M57" s="334"/>
      <c r="N57" s="334"/>
      <c r="O57" s="334"/>
      <c r="P57" s="334"/>
      <c r="Q57" s="334"/>
      <c r="R57" s="334"/>
      <c r="S57" s="334"/>
      <c r="T57" s="334"/>
      <c r="U57" s="334"/>
      <c r="V57" s="334"/>
      <c r="W57" s="334"/>
      <c r="X57" s="334"/>
      <c r="Y57" s="334"/>
      <c r="Z57" s="334"/>
      <c r="AA57" s="334"/>
      <c r="AB57" s="334"/>
      <c r="AC57" s="331"/>
      <c r="AD57" s="331"/>
      <c r="AE57" s="331"/>
      <c r="AF57" s="334"/>
      <c r="AG57" s="331"/>
      <c r="AH57" s="334"/>
      <c r="AI57" s="334"/>
      <c r="AJ57" s="334"/>
      <c r="AK57" s="334"/>
      <c r="AL57" s="334"/>
      <c r="AM57" s="334"/>
      <c r="AN57" s="334"/>
      <c r="AO57" s="334"/>
      <c r="AP57" s="334"/>
      <c r="AQ57" s="334"/>
      <c r="AR57" s="334"/>
      <c r="AS57" s="334"/>
      <c r="AT57" s="331"/>
      <c r="AU57" s="331"/>
      <c r="AV57" s="334"/>
      <c r="AW57" s="334"/>
      <c r="AX57" s="331"/>
      <c r="AY57" s="331"/>
      <c r="AZ57" s="331"/>
      <c r="BA57" s="331"/>
      <c r="BB57" s="334"/>
      <c r="BC57" s="331"/>
      <c r="BD57" s="331"/>
      <c r="BE57" s="334"/>
      <c r="BF57" s="334"/>
      <c r="BG57" s="331"/>
      <c r="BH57" s="331"/>
      <c r="BI57" s="331"/>
      <c r="BJ57" s="331"/>
      <c r="BK57" s="331"/>
      <c r="BL57" s="331"/>
      <c r="BM57" s="331"/>
      <c r="BN57" s="334"/>
      <c r="BO57" s="334"/>
      <c r="BP57" s="334"/>
      <c r="BQ57" s="327"/>
      <c r="BR57" s="334"/>
      <c r="BS57" s="377"/>
      <c r="BT57" s="377"/>
      <c r="BU57" s="377"/>
      <c r="BV57" s="377"/>
      <c r="BW57" s="377"/>
      <c r="BX57" s="377"/>
      <c r="BY57" s="377"/>
      <c r="BZ57" s="335"/>
      <c r="CA57" s="335"/>
      <c r="CB57" s="451"/>
    </row>
    <row r="58" spans="1:80" s="5" customFormat="1">
      <c r="A58" s="434"/>
      <c r="B58" s="472"/>
      <c r="C58" s="508"/>
      <c r="D58" s="508"/>
      <c r="E58" s="377"/>
      <c r="F58" s="377"/>
      <c r="G58" s="377"/>
      <c r="H58" s="377"/>
      <c r="I58" s="332"/>
      <c r="J58" s="332"/>
      <c r="K58" s="334"/>
      <c r="L58" s="334"/>
      <c r="M58" s="334"/>
      <c r="N58" s="334"/>
      <c r="O58" s="334"/>
      <c r="P58" s="334"/>
      <c r="Q58" s="334"/>
      <c r="R58" s="334"/>
      <c r="S58" s="334"/>
      <c r="T58" s="334"/>
      <c r="U58" s="334"/>
      <c r="V58" s="334"/>
      <c r="W58" s="334"/>
      <c r="X58" s="334"/>
      <c r="Y58" s="334"/>
      <c r="Z58" s="334"/>
      <c r="AA58" s="334"/>
      <c r="AB58" s="334"/>
      <c r="AC58" s="331"/>
      <c r="AD58" s="331"/>
      <c r="AE58" s="331"/>
      <c r="AF58" s="334"/>
      <c r="AG58" s="331"/>
      <c r="AH58" s="334"/>
      <c r="AI58" s="334"/>
      <c r="AJ58" s="334"/>
      <c r="AK58" s="334"/>
      <c r="AL58" s="334"/>
      <c r="AM58" s="334"/>
      <c r="AN58" s="334"/>
      <c r="AO58" s="334"/>
      <c r="AP58" s="334"/>
      <c r="AQ58" s="334"/>
      <c r="AR58" s="334"/>
      <c r="AS58" s="334"/>
      <c r="AT58" s="331"/>
      <c r="AU58" s="331"/>
      <c r="AV58" s="334"/>
      <c r="AW58" s="334"/>
      <c r="AX58" s="331"/>
      <c r="AY58" s="331"/>
      <c r="AZ58" s="331"/>
      <c r="BA58" s="331"/>
      <c r="BB58" s="334"/>
      <c r="BC58" s="331"/>
      <c r="BD58" s="331"/>
      <c r="BE58" s="334"/>
      <c r="BF58" s="334"/>
      <c r="BG58" s="331"/>
      <c r="BH58" s="331"/>
      <c r="BI58" s="331"/>
      <c r="BJ58" s="331"/>
      <c r="BK58" s="331"/>
      <c r="BL58" s="331"/>
      <c r="BM58" s="331"/>
      <c r="BN58" s="334"/>
      <c r="BO58" s="334"/>
      <c r="BP58" s="334"/>
      <c r="BQ58" s="327"/>
      <c r="BR58" s="334"/>
      <c r="BS58" s="377"/>
      <c r="BT58" s="377"/>
      <c r="BU58" s="377"/>
      <c r="BV58" s="377"/>
      <c r="BW58" s="377"/>
      <c r="BX58" s="377"/>
      <c r="BY58" s="377"/>
      <c r="BZ58" s="335"/>
      <c r="CA58" s="335"/>
      <c r="CB58" s="451"/>
    </row>
    <row r="59" spans="1:80">
      <c r="A59" s="595" t="s">
        <v>47</v>
      </c>
      <c r="B59" s="596"/>
      <c r="C59" s="41">
        <f t="shared" ref="C59:AF59" si="9">SUM(C3:C58)</f>
        <v>1756.0781999999997</v>
      </c>
      <c r="D59" s="41">
        <f t="shared" si="9"/>
        <v>72.149999999999991</v>
      </c>
      <c r="E59" s="41">
        <f t="shared" si="9"/>
        <v>223.06000000000006</v>
      </c>
      <c r="F59" s="41">
        <f t="shared" si="9"/>
        <v>41.579999999999991</v>
      </c>
      <c r="G59" s="41">
        <f t="shared" si="9"/>
        <v>0</v>
      </c>
      <c r="H59" s="41">
        <f t="shared" si="9"/>
        <v>455.50000000000011</v>
      </c>
      <c r="I59" s="41">
        <f t="shared" si="9"/>
        <v>0</v>
      </c>
      <c r="J59" s="282">
        <f t="shared" si="9"/>
        <v>0</v>
      </c>
      <c r="K59" s="41">
        <f t="shared" si="9"/>
        <v>179.64000000000001</v>
      </c>
      <c r="L59" s="41">
        <f t="shared" si="9"/>
        <v>209.58</v>
      </c>
      <c r="M59" s="41">
        <f t="shared" si="9"/>
        <v>254.49</v>
      </c>
      <c r="N59" s="41">
        <f t="shared" si="9"/>
        <v>74.850000000000009</v>
      </c>
      <c r="O59" s="41">
        <f t="shared" si="9"/>
        <v>29.94</v>
      </c>
      <c r="P59" s="41">
        <f t="shared" si="9"/>
        <v>14.97</v>
      </c>
      <c r="Q59" s="41">
        <f t="shared" si="9"/>
        <v>59.88</v>
      </c>
      <c r="R59" s="41">
        <f t="shared" si="9"/>
        <v>149.70000000000002</v>
      </c>
      <c r="S59" s="41">
        <f t="shared" si="9"/>
        <v>29.94</v>
      </c>
      <c r="T59" s="41">
        <f t="shared" si="9"/>
        <v>194.61</v>
      </c>
      <c r="U59" s="41">
        <f t="shared" si="9"/>
        <v>89.820000000000007</v>
      </c>
      <c r="V59" s="41">
        <f t="shared" si="9"/>
        <v>179.64000000000001</v>
      </c>
      <c r="W59" s="41">
        <f t="shared" si="9"/>
        <v>0</v>
      </c>
      <c r="X59" s="41">
        <f t="shared" si="9"/>
        <v>130.32</v>
      </c>
      <c r="Y59" s="41">
        <f t="shared" si="9"/>
        <v>44.910000000000004</v>
      </c>
      <c r="Z59" s="41">
        <f t="shared" si="9"/>
        <v>5.9399999999999995</v>
      </c>
      <c r="AA59" s="41">
        <f t="shared" si="9"/>
        <v>39.03</v>
      </c>
      <c r="AB59" s="41">
        <f t="shared" si="9"/>
        <v>1.98</v>
      </c>
      <c r="AC59" s="41">
        <f t="shared" si="9"/>
        <v>0</v>
      </c>
      <c r="AD59" s="41">
        <f t="shared" si="9"/>
        <v>0</v>
      </c>
      <c r="AE59" s="41">
        <f t="shared" si="9"/>
        <v>0</v>
      </c>
      <c r="AF59" s="41">
        <f t="shared" si="9"/>
        <v>1689.2400000000005</v>
      </c>
      <c r="AG59" s="41"/>
      <c r="AH59" s="41">
        <f t="shared" ref="AH59:AS59" si="10">SUM(AH3:AH58)</f>
        <v>87.01</v>
      </c>
      <c r="AI59" s="41">
        <f t="shared" si="10"/>
        <v>19.38</v>
      </c>
      <c r="AJ59" s="41">
        <f t="shared" si="10"/>
        <v>125.76999999999995</v>
      </c>
      <c r="AK59" s="41">
        <f t="shared" si="10"/>
        <v>35.529999999999994</v>
      </c>
      <c r="AL59" s="41">
        <f t="shared" si="10"/>
        <v>0</v>
      </c>
      <c r="AM59" s="285">
        <f t="shared" si="10"/>
        <v>0</v>
      </c>
      <c r="AN59" s="41">
        <f t="shared" si="10"/>
        <v>41.99</v>
      </c>
      <c r="AO59" s="41">
        <f t="shared" si="10"/>
        <v>64.399999999999977</v>
      </c>
      <c r="AP59" s="41">
        <f t="shared" si="10"/>
        <v>41.989999999999995</v>
      </c>
      <c r="AQ59" s="41">
        <f t="shared" si="10"/>
        <v>54.709999999999987</v>
      </c>
      <c r="AR59" s="41">
        <f t="shared" si="10"/>
        <v>16.149999999999999</v>
      </c>
      <c r="AS59" s="41">
        <f t="shared" si="10"/>
        <v>0</v>
      </c>
      <c r="AT59" s="41"/>
      <c r="AU59" s="41">
        <f t="shared" ref="AU59:BN59" si="11">SUM(AU3:AU58)</f>
        <v>0</v>
      </c>
      <c r="AV59" s="41">
        <f t="shared" si="11"/>
        <v>486.93000000000006</v>
      </c>
      <c r="AW59" s="41">
        <f t="shared" si="11"/>
        <v>140.88000000000002</v>
      </c>
      <c r="AX59" s="290">
        <f t="shared" si="11"/>
        <v>0</v>
      </c>
      <c r="AY59" s="290">
        <f t="shared" si="11"/>
        <v>0</v>
      </c>
      <c r="AZ59" s="290">
        <f t="shared" si="11"/>
        <v>0</v>
      </c>
      <c r="BA59" s="290">
        <f t="shared" si="11"/>
        <v>0</v>
      </c>
      <c r="BB59" s="41">
        <f t="shared" si="11"/>
        <v>140.88000000000002</v>
      </c>
      <c r="BC59" s="41">
        <f t="shared" si="11"/>
        <v>0</v>
      </c>
      <c r="BD59" s="290">
        <f t="shared" si="11"/>
        <v>0</v>
      </c>
      <c r="BE59" s="41">
        <f t="shared" si="11"/>
        <v>11.74</v>
      </c>
      <c r="BF59" s="41">
        <f t="shared" si="11"/>
        <v>11.74</v>
      </c>
      <c r="BG59" s="41">
        <f t="shared" si="11"/>
        <v>0</v>
      </c>
      <c r="BH59" s="41">
        <f t="shared" si="11"/>
        <v>0</v>
      </c>
      <c r="BI59" s="41">
        <f t="shared" si="11"/>
        <v>0</v>
      </c>
      <c r="BJ59" s="41">
        <f t="shared" si="11"/>
        <v>0</v>
      </c>
      <c r="BK59" s="41">
        <f t="shared" si="11"/>
        <v>0</v>
      </c>
      <c r="BL59" s="41">
        <f t="shared" si="11"/>
        <v>0</v>
      </c>
      <c r="BM59" s="41">
        <f t="shared" si="11"/>
        <v>0</v>
      </c>
      <c r="BN59" s="41">
        <f t="shared" si="11"/>
        <v>66.150000000000006</v>
      </c>
      <c r="BO59" s="41"/>
      <c r="BP59" s="41"/>
      <c r="BQ59" s="41">
        <f>SUM(BQ3:BQ58)</f>
        <v>0</v>
      </c>
      <c r="BR59" s="41">
        <f>SUM(BR3:BR58)</f>
        <v>82.95</v>
      </c>
      <c r="BS59" s="41">
        <f t="shared" ref="BS59:BY59" si="12">SUM(BS3:BS58)</f>
        <v>6.46</v>
      </c>
      <c r="BT59" s="41">
        <f t="shared" si="12"/>
        <v>12.92</v>
      </c>
      <c r="BU59" s="41">
        <f t="shared" si="12"/>
        <v>32.299999999999997</v>
      </c>
      <c r="BV59" s="41">
        <f t="shared" si="12"/>
        <v>25.84</v>
      </c>
      <c r="BW59" s="41">
        <f t="shared" si="12"/>
        <v>4.6500000000000004</v>
      </c>
      <c r="BX59" s="41">
        <f t="shared" si="12"/>
        <v>82.17</v>
      </c>
      <c r="BY59" s="41">
        <f t="shared" si="12"/>
        <v>0</v>
      </c>
      <c r="BZ59" s="41">
        <f>SUM(BZ3:BZ58)</f>
        <v>4900.1082000000006</v>
      </c>
      <c r="CA59" s="41">
        <f>SUM(CA3:CA58)</f>
        <v>118.37999999999997</v>
      </c>
      <c r="CB59" s="290"/>
    </row>
    <row r="60" spans="1:80" ht="11.25" customHeight="1"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</row>
    <row r="61" spans="1:80" ht="11.25" customHeight="1">
      <c r="C61" s="509"/>
      <c r="D61" s="509"/>
      <c r="E61" s="2"/>
      <c r="F61" s="2"/>
      <c r="G61" s="2"/>
      <c r="H61" s="2"/>
      <c r="I61" s="2"/>
      <c r="J61" s="2"/>
      <c r="K61" s="186" t="s">
        <v>445</v>
      </c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2"/>
      <c r="AG61" s="2"/>
      <c r="AH61" s="19" t="s">
        <v>455</v>
      </c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178" t="s">
        <v>202</v>
      </c>
      <c r="AX61" s="2"/>
      <c r="AY61" s="2"/>
      <c r="AZ61" s="2"/>
      <c r="BA61" s="2"/>
      <c r="BB61" s="2"/>
      <c r="BC61" s="178" t="s">
        <v>214</v>
      </c>
      <c r="BD61" s="2"/>
      <c r="BE61" s="2"/>
      <c r="BF61" s="2"/>
      <c r="BG61" s="178" t="s">
        <v>227</v>
      </c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 t="s">
        <v>538</v>
      </c>
      <c r="BT61" s="2"/>
      <c r="BU61" s="2"/>
      <c r="BV61" s="2"/>
      <c r="BW61" s="2"/>
      <c r="BX61" s="2"/>
      <c r="BY61" s="2"/>
      <c r="BZ61" s="2"/>
      <c r="CA61" s="2"/>
      <c r="CB61" s="2"/>
    </row>
    <row r="62" spans="1:80" ht="11.25" customHeight="1">
      <c r="C62" s="509"/>
      <c r="D62" s="509"/>
      <c r="E62" s="2"/>
      <c r="F62" s="2"/>
      <c r="G62" s="2"/>
      <c r="H62" s="2"/>
      <c r="I62" s="2"/>
      <c r="J62" s="2"/>
      <c r="K62" s="4"/>
      <c r="L62" s="379" t="s">
        <v>446</v>
      </c>
      <c r="M62" s="380"/>
      <c r="N62" s="380"/>
      <c r="O62" s="380"/>
      <c r="P62" s="380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2"/>
      <c r="AG62" s="2"/>
      <c r="AH62" s="2"/>
      <c r="AI62" s="186" t="s">
        <v>197</v>
      </c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88" t="s">
        <v>205</v>
      </c>
      <c r="AY62" s="2"/>
      <c r="AZ62" s="2"/>
      <c r="BA62" s="2"/>
      <c r="BB62" s="2"/>
      <c r="BC62" s="2"/>
      <c r="BD62" s="287" t="s">
        <v>215</v>
      </c>
      <c r="BE62" s="2"/>
      <c r="BF62" s="2"/>
      <c r="BG62" s="2"/>
      <c r="BH62" s="196" t="s">
        <v>230</v>
      </c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 t="s">
        <v>539</v>
      </c>
      <c r="BU62" s="2"/>
      <c r="BV62" s="2"/>
      <c r="BW62" s="2"/>
      <c r="BX62" s="2"/>
      <c r="BY62" s="2"/>
      <c r="BZ62" s="2"/>
      <c r="CA62" s="2"/>
      <c r="CB62" s="2"/>
    </row>
    <row r="63" spans="1:80" ht="11.25" customHeight="1">
      <c r="C63" s="509"/>
      <c r="D63" s="509"/>
      <c r="E63" s="2"/>
      <c r="F63" s="2"/>
      <c r="G63" s="2"/>
      <c r="H63" s="2"/>
      <c r="I63" s="2"/>
      <c r="J63" s="2"/>
      <c r="K63" s="4"/>
      <c r="L63" s="380"/>
      <c r="M63" s="379" t="s">
        <v>447</v>
      </c>
      <c r="N63" s="380"/>
      <c r="O63" s="380"/>
      <c r="P63" s="380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2"/>
      <c r="AG63" s="2"/>
      <c r="AH63" s="2"/>
      <c r="AI63" s="2"/>
      <c r="AJ63" s="19" t="s">
        <v>456</v>
      </c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87" t="s">
        <v>203</v>
      </c>
      <c r="AZ63" s="2"/>
      <c r="BA63" s="2"/>
      <c r="BB63" s="2"/>
      <c r="BC63" s="2"/>
      <c r="BD63" s="2"/>
      <c r="BE63" s="178" t="s">
        <v>216</v>
      </c>
      <c r="BF63" s="2"/>
      <c r="BG63" s="2"/>
      <c r="BH63" s="2"/>
      <c r="BI63" s="178" t="s">
        <v>231</v>
      </c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 t="s">
        <v>31</v>
      </c>
      <c r="BV63" s="2"/>
      <c r="BW63" s="2"/>
      <c r="BX63" s="2"/>
      <c r="BY63" s="2"/>
      <c r="BZ63" s="2"/>
      <c r="CA63" s="2"/>
      <c r="CB63" s="2"/>
    </row>
    <row r="64" spans="1:80" ht="11.25" customHeight="1">
      <c r="C64" s="509"/>
      <c r="D64" s="509"/>
      <c r="E64" s="2"/>
      <c r="F64" s="2"/>
      <c r="G64" s="2"/>
      <c r="H64" s="2"/>
      <c r="I64" s="2"/>
      <c r="J64" s="2"/>
      <c r="K64" s="4"/>
      <c r="L64" s="380"/>
      <c r="M64" s="380"/>
      <c r="N64" s="380" t="s">
        <v>448</v>
      </c>
      <c r="O64" s="380"/>
      <c r="P64" s="380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2"/>
      <c r="AG64" s="2"/>
      <c r="AH64" s="2"/>
      <c r="AI64" s="2"/>
      <c r="AJ64" s="2"/>
      <c r="AK64" s="140" t="s">
        <v>457</v>
      </c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88" t="s">
        <v>204</v>
      </c>
      <c r="BA64" s="2"/>
      <c r="BB64" s="2"/>
      <c r="BC64" s="2"/>
      <c r="BD64" s="2"/>
      <c r="BE64" s="2"/>
      <c r="BF64" s="2"/>
      <c r="BG64" s="2"/>
      <c r="BH64" s="2"/>
      <c r="BI64" s="2"/>
      <c r="BJ64" s="196" t="s">
        <v>233</v>
      </c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 t="s">
        <v>540</v>
      </c>
      <c r="BW64" s="2"/>
      <c r="BX64" s="2"/>
      <c r="BY64" s="2"/>
      <c r="BZ64" s="2"/>
      <c r="CA64" s="2"/>
      <c r="CB64" s="2"/>
    </row>
    <row r="65" spans="3:79" ht="11.25" customHeight="1">
      <c r="C65" s="509"/>
      <c r="D65" s="509"/>
      <c r="E65" s="2"/>
      <c r="F65" s="2"/>
      <c r="G65" s="2"/>
      <c r="H65" s="2"/>
      <c r="I65" s="2"/>
      <c r="J65" s="2"/>
      <c r="K65" s="4"/>
      <c r="L65" s="4"/>
      <c r="M65" s="4"/>
      <c r="N65" s="4"/>
      <c r="O65" s="4" t="s">
        <v>449</v>
      </c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2"/>
      <c r="AG65" s="2"/>
      <c r="AH65" s="2"/>
      <c r="AI65" s="2"/>
      <c r="AJ65" s="2"/>
      <c r="AK65" s="2"/>
      <c r="AL65" s="19" t="s">
        <v>458</v>
      </c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87" t="s">
        <v>211</v>
      </c>
      <c r="BB65" s="2"/>
      <c r="BC65" s="2"/>
      <c r="BD65" s="2"/>
      <c r="BE65" s="2"/>
      <c r="BF65" s="2"/>
      <c r="BG65" s="2"/>
      <c r="BH65" s="2"/>
      <c r="BI65" s="2"/>
      <c r="BJ65" s="2"/>
      <c r="BK65" s="178" t="s">
        <v>234</v>
      </c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 t="s">
        <v>59</v>
      </c>
      <c r="BX65" s="2"/>
      <c r="BY65" s="2"/>
      <c r="BZ65" s="3"/>
      <c r="CA65" s="3"/>
    </row>
    <row r="66" spans="3:79" ht="11.25" customHeight="1">
      <c r="C66" s="509"/>
      <c r="D66" s="509"/>
      <c r="E66" s="2"/>
      <c r="F66" s="2"/>
      <c r="G66" s="2"/>
      <c r="H66" s="2"/>
      <c r="I66" s="2"/>
      <c r="J66" s="2"/>
      <c r="K66" s="4"/>
      <c r="L66" s="4"/>
      <c r="M66" s="4"/>
      <c r="N66" s="4"/>
      <c r="O66" s="4"/>
      <c r="P66" s="4" t="s">
        <v>502</v>
      </c>
      <c r="Q66" s="4"/>
      <c r="R66" s="4"/>
      <c r="S66" s="4"/>
      <c r="T66" s="199"/>
      <c r="U66" s="199"/>
      <c r="V66" s="199"/>
      <c r="W66" s="4"/>
      <c r="X66" s="4"/>
      <c r="Y66" s="4"/>
      <c r="Z66" s="4"/>
      <c r="AA66" s="4"/>
      <c r="AB66" s="4"/>
      <c r="AC66" s="4"/>
      <c r="AD66" s="4"/>
      <c r="AE66" s="4"/>
      <c r="AF66" s="2"/>
      <c r="AG66" s="2"/>
      <c r="AH66" s="2"/>
      <c r="AI66" s="2"/>
      <c r="AJ66" s="2"/>
      <c r="AK66" s="2"/>
      <c r="AL66" s="2"/>
      <c r="AM66" s="286" t="s">
        <v>459</v>
      </c>
      <c r="AN66" s="140"/>
      <c r="AO66" s="140"/>
      <c r="AP66" s="140"/>
      <c r="AQ66" s="140"/>
      <c r="AR66" s="140"/>
      <c r="AS66" s="140"/>
      <c r="AT66" s="140"/>
      <c r="AU66" s="140"/>
      <c r="AV66" s="2"/>
      <c r="AW66" s="2"/>
      <c r="AX66" s="2"/>
      <c r="AY66" s="2"/>
      <c r="AZ66" s="2"/>
      <c r="BA66" s="2"/>
      <c r="BB66" s="2"/>
      <c r="BC66" s="2"/>
      <c r="BD66" s="2"/>
      <c r="BE66" s="178" t="s">
        <v>222</v>
      </c>
      <c r="BF66" s="2"/>
      <c r="BG66" s="2"/>
      <c r="BH66" s="2"/>
      <c r="BI66" s="2"/>
      <c r="BJ66" s="2"/>
      <c r="BK66" s="2"/>
      <c r="BL66" s="196" t="s">
        <v>235</v>
      </c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3"/>
      <c r="CA66" s="3"/>
    </row>
    <row r="67" spans="3:79" ht="11.25" customHeight="1">
      <c r="C67" s="509"/>
      <c r="D67" s="509"/>
      <c r="E67" s="2"/>
      <c r="F67" s="2"/>
      <c r="G67" s="2"/>
      <c r="H67" s="2"/>
      <c r="I67" s="2"/>
      <c r="J67" s="2"/>
      <c r="K67" s="4"/>
      <c r="L67" s="4"/>
      <c r="M67" s="4"/>
      <c r="N67" s="4"/>
      <c r="O67" s="4"/>
      <c r="P67" s="4"/>
      <c r="Q67" s="4" t="s">
        <v>523</v>
      </c>
      <c r="R67" s="4"/>
      <c r="S67" s="4"/>
      <c r="T67" s="199"/>
      <c r="U67" s="199"/>
      <c r="V67" s="199"/>
      <c r="W67" s="4"/>
      <c r="X67" s="4"/>
      <c r="Y67" s="4"/>
      <c r="Z67" s="4"/>
      <c r="AA67" s="4"/>
      <c r="AB67" s="4"/>
      <c r="AC67" s="4"/>
      <c r="AD67" s="4"/>
      <c r="AE67" s="4"/>
      <c r="AF67" s="2"/>
      <c r="AG67" s="2"/>
      <c r="AH67" s="2"/>
      <c r="AI67" s="2"/>
      <c r="AJ67" s="2"/>
      <c r="AK67" s="2"/>
      <c r="AL67" s="2"/>
      <c r="AM67" s="2"/>
      <c r="AN67" s="185" t="s">
        <v>460</v>
      </c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88" t="s">
        <v>220</v>
      </c>
      <c r="BF67" s="2"/>
      <c r="BG67" s="2"/>
      <c r="BH67" s="2"/>
      <c r="BI67" s="2"/>
      <c r="BJ67" s="2"/>
      <c r="BK67" s="2"/>
      <c r="BL67" s="196"/>
      <c r="BM67" s="178" t="s">
        <v>236</v>
      </c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3"/>
      <c r="CA67" s="3"/>
    </row>
    <row r="68" spans="3:79" ht="11.25" customHeight="1">
      <c r="C68" s="509"/>
      <c r="D68" s="509"/>
      <c r="E68" s="2"/>
      <c r="F68" s="2"/>
      <c r="G68" s="2"/>
      <c r="H68" s="2"/>
      <c r="I68" s="2"/>
      <c r="J68" s="2"/>
      <c r="K68" s="4"/>
      <c r="L68" s="4"/>
      <c r="M68" s="4"/>
      <c r="N68" s="4"/>
      <c r="O68" s="4"/>
      <c r="P68" s="4"/>
      <c r="Q68" s="4"/>
      <c r="R68" s="178" t="s">
        <v>527</v>
      </c>
      <c r="S68" s="4"/>
      <c r="T68" s="199"/>
      <c r="U68" s="199"/>
      <c r="V68" s="199"/>
      <c r="W68" s="4"/>
      <c r="X68" s="4"/>
      <c r="Y68" s="4"/>
      <c r="Z68" s="4"/>
      <c r="AA68" s="4"/>
      <c r="AB68" s="4"/>
      <c r="AC68" s="4"/>
      <c r="AD68" s="4"/>
      <c r="AE68" s="4"/>
      <c r="AF68" s="2"/>
      <c r="AG68" s="2"/>
      <c r="AH68" s="2"/>
      <c r="AI68" s="2"/>
      <c r="AJ68" s="2"/>
      <c r="AK68" s="2"/>
      <c r="AL68" s="2"/>
      <c r="AM68" s="2"/>
      <c r="AN68" s="2"/>
      <c r="AO68" s="140" t="s">
        <v>499</v>
      </c>
      <c r="AP68" s="140"/>
      <c r="AQ68" s="140"/>
      <c r="AR68" s="140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178" t="s">
        <v>221</v>
      </c>
      <c r="BF68" s="2"/>
      <c r="BG68" s="2"/>
      <c r="BH68" s="2"/>
      <c r="BI68" s="2"/>
      <c r="BJ68" s="2"/>
      <c r="BK68" s="2"/>
      <c r="BL68" s="196"/>
      <c r="BM68" s="4"/>
      <c r="BN68" s="196" t="s">
        <v>314</v>
      </c>
      <c r="BO68" s="196"/>
      <c r="BP68" s="196"/>
      <c r="BQ68" s="2"/>
      <c r="BR68" s="2"/>
      <c r="BS68" s="2"/>
      <c r="BT68" s="2"/>
      <c r="BU68" s="2"/>
      <c r="BV68" s="2"/>
      <c r="BW68" s="2"/>
      <c r="BX68" s="2"/>
      <c r="BY68" s="2"/>
      <c r="BZ68" s="3"/>
      <c r="CA68" s="3"/>
    </row>
    <row r="69" spans="3:79">
      <c r="C69" s="510"/>
      <c r="D69" s="510"/>
      <c r="E69" s="2"/>
      <c r="F69" s="2"/>
      <c r="G69" s="2"/>
      <c r="H69" s="2"/>
      <c r="I69" s="2"/>
      <c r="J69" s="2"/>
      <c r="K69" s="4"/>
      <c r="L69" s="4"/>
      <c r="M69" s="4"/>
      <c r="N69" s="4"/>
      <c r="O69" s="4"/>
      <c r="P69" s="4"/>
      <c r="Q69" s="4"/>
      <c r="R69" s="4"/>
      <c r="S69" s="199" t="s">
        <v>450</v>
      </c>
      <c r="T69" s="199"/>
      <c r="U69" s="199"/>
      <c r="V69" s="199"/>
      <c r="W69" s="4"/>
      <c r="X69" s="4"/>
      <c r="Y69" s="4"/>
      <c r="Z69" s="4"/>
      <c r="AA69" s="4"/>
      <c r="AB69" s="4"/>
      <c r="AC69" s="4"/>
      <c r="AD69" s="4"/>
      <c r="AE69" s="4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185" t="s">
        <v>500</v>
      </c>
      <c r="AQ69" s="2"/>
      <c r="AR69" s="185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196" t="s">
        <v>223</v>
      </c>
      <c r="BF69" s="2"/>
      <c r="BG69" s="2"/>
      <c r="BH69" s="2"/>
      <c r="BI69" s="2"/>
      <c r="BJ69" s="2"/>
      <c r="BK69" s="2"/>
      <c r="BL69" s="2"/>
      <c r="BM69" s="2"/>
      <c r="BN69" s="2"/>
      <c r="BO69" s="178" t="s">
        <v>487</v>
      </c>
      <c r="BP69" s="178"/>
      <c r="BQ69" s="2"/>
      <c r="BR69" s="2"/>
      <c r="BS69" s="2"/>
      <c r="BT69" s="2"/>
      <c r="BU69" s="2"/>
      <c r="BV69" s="2"/>
      <c r="BW69" s="2"/>
      <c r="BX69" s="2"/>
      <c r="BY69" s="2"/>
      <c r="BZ69" s="3"/>
      <c r="CA69" s="3"/>
    </row>
    <row r="70" spans="3:79">
      <c r="C70" s="510"/>
      <c r="D70" s="510"/>
      <c r="E70" s="2"/>
      <c r="F70" s="2"/>
      <c r="G70" s="2"/>
      <c r="H70" s="2"/>
      <c r="I70" s="2"/>
      <c r="J70" s="2"/>
      <c r="K70" s="4"/>
      <c r="L70" s="4"/>
      <c r="M70" s="4"/>
      <c r="N70" s="4"/>
      <c r="O70" s="4"/>
      <c r="P70" s="4"/>
      <c r="Q70" s="4"/>
      <c r="R70" s="4"/>
      <c r="S70" s="4"/>
      <c r="T70" s="4" t="s">
        <v>468</v>
      </c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2"/>
      <c r="AG70" s="2"/>
      <c r="AH70" s="2"/>
      <c r="AI70" s="2"/>
      <c r="AJ70" s="2"/>
      <c r="AK70" s="2"/>
      <c r="AL70" s="2"/>
      <c r="AM70" s="2"/>
      <c r="AN70" s="2"/>
      <c r="AO70" s="104"/>
      <c r="AP70" s="104"/>
      <c r="AQ70" s="140" t="s">
        <v>528</v>
      </c>
      <c r="AR70" s="140"/>
      <c r="AS70" s="104"/>
      <c r="AT70" s="104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530" t="s">
        <v>277</v>
      </c>
      <c r="BF70" s="2"/>
      <c r="BG70" s="2"/>
      <c r="BH70" s="2"/>
      <c r="BI70" s="2"/>
      <c r="BJ70" s="2"/>
      <c r="BK70" s="2"/>
      <c r="BL70" s="2"/>
      <c r="BM70" s="2"/>
      <c r="BN70" s="495"/>
      <c r="BO70" s="104"/>
      <c r="BP70" s="199" t="s">
        <v>486</v>
      </c>
      <c r="BQ70" s="2"/>
      <c r="BR70" s="2"/>
      <c r="BS70" s="2"/>
      <c r="BT70" s="2"/>
      <c r="BU70" s="2"/>
      <c r="BV70" s="2"/>
      <c r="BW70" s="2"/>
      <c r="BX70" s="2"/>
      <c r="BY70" s="2"/>
      <c r="BZ70" s="3"/>
      <c r="CA70" s="3"/>
    </row>
    <row r="71" spans="3:79">
      <c r="C71" s="510"/>
      <c r="D71" s="510"/>
      <c r="E71" s="2"/>
      <c r="F71" s="2"/>
      <c r="G71" s="2"/>
      <c r="H71" s="2"/>
      <c r="I71" s="2"/>
      <c r="J71" s="2"/>
      <c r="K71" s="4"/>
      <c r="L71" s="4"/>
      <c r="M71" s="4"/>
      <c r="N71" s="4"/>
      <c r="O71" s="4"/>
      <c r="P71" s="4"/>
      <c r="Q71" s="4"/>
      <c r="R71" s="4"/>
      <c r="S71" s="4"/>
      <c r="T71" s="4"/>
      <c r="U71" s="380" t="s">
        <v>469</v>
      </c>
      <c r="V71" s="199"/>
      <c r="W71" s="4"/>
      <c r="X71" s="4"/>
      <c r="Y71" s="4"/>
      <c r="Z71" s="4"/>
      <c r="AA71" s="4"/>
      <c r="AB71" s="4"/>
      <c r="AC71" s="4"/>
      <c r="AD71" s="4"/>
      <c r="AE71" s="4"/>
      <c r="AF71" s="2"/>
      <c r="AG71" s="2"/>
      <c r="AH71" s="2"/>
      <c r="AI71" s="2"/>
      <c r="AJ71" s="2"/>
      <c r="AK71" s="2"/>
      <c r="AL71" s="2"/>
      <c r="AM71" s="2"/>
      <c r="AN71" s="104"/>
      <c r="AO71" s="104"/>
      <c r="AP71" s="104"/>
      <c r="AQ71" s="2"/>
      <c r="AR71" s="140" t="s">
        <v>524</v>
      </c>
      <c r="AS71" s="140"/>
      <c r="AT71" s="104"/>
      <c r="AU71" s="104"/>
      <c r="AV71" s="104"/>
      <c r="AW71" s="104"/>
      <c r="AX71" s="104"/>
      <c r="AY71" s="104"/>
      <c r="AZ71" s="104"/>
      <c r="BA71" s="104"/>
      <c r="BB71" s="104"/>
      <c r="BC71" s="104"/>
      <c r="BD71" s="104"/>
      <c r="BE71" s="531" t="s">
        <v>278</v>
      </c>
      <c r="BF71" s="2"/>
      <c r="BG71" s="2"/>
      <c r="BH71" s="2"/>
      <c r="BI71" s="2"/>
      <c r="BJ71" s="2"/>
      <c r="BK71" s="2"/>
      <c r="BL71" s="2"/>
      <c r="BM71" s="104"/>
      <c r="BN71" s="495"/>
      <c r="BO71" s="104"/>
      <c r="BP71" s="104"/>
      <c r="BQ71" s="178" t="s">
        <v>536</v>
      </c>
      <c r="BR71" s="104"/>
      <c r="BS71" s="104"/>
      <c r="BT71" s="104"/>
      <c r="BU71" s="104"/>
      <c r="BV71" s="104"/>
      <c r="BW71" s="104"/>
      <c r="BX71" s="104"/>
      <c r="BY71" s="104"/>
      <c r="BZ71" s="104"/>
      <c r="CA71" s="3"/>
    </row>
    <row r="72" spans="3:79">
      <c r="C72" s="510"/>
      <c r="D72" s="510"/>
      <c r="E72" s="104"/>
      <c r="F72" s="104"/>
      <c r="G72" s="104"/>
      <c r="H72" s="104"/>
      <c r="I72" s="104"/>
      <c r="J72" s="104"/>
      <c r="K72" s="104"/>
      <c r="L72" s="104"/>
      <c r="M72" s="104"/>
      <c r="N72" s="104"/>
      <c r="O72" s="4"/>
      <c r="P72" s="4"/>
      <c r="Q72" s="4"/>
      <c r="R72" s="4"/>
      <c r="S72" s="4"/>
      <c r="T72" s="4"/>
      <c r="U72" s="4"/>
      <c r="V72" s="178" t="s">
        <v>496</v>
      </c>
      <c r="W72" s="4"/>
      <c r="X72" s="4"/>
      <c r="Y72" s="4"/>
      <c r="Z72" s="4"/>
      <c r="AA72" s="4"/>
      <c r="AB72" s="4"/>
      <c r="AC72" s="4"/>
      <c r="AD72" s="4"/>
      <c r="AE72" s="4"/>
      <c r="AF72" s="2"/>
      <c r="AG72" s="2"/>
      <c r="AH72" s="2"/>
      <c r="AI72" s="2"/>
      <c r="AJ72" s="104"/>
      <c r="AK72" s="104"/>
      <c r="AL72" s="104"/>
      <c r="AM72" s="104"/>
      <c r="AN72" s="104"/>
      <c r="AO72" s="104"/>
      <c r="AP72" s="104"/>
      <c r="AQ72" s="2"/>
      <c r="AR72" s="2"/>
      <c r="AS72" s="185" t="s">
        <v>525</v>
      </c>
      <c r="AT72" s="2"/>
      <c r="AU72" s="2"/>
      <c r="AV72" s="2"/>
      <c r="AW72" s="104"/>
      <c r="AX72" s="104"/>
      <c r="AY72" s="104"/>
      <c r="AZ72" s="104"/>
      <c r="BA72" s="104"/>
      <c r="BB72" s="104"/>
      <c r="BC72" s="104"/>
      <c r="BD72" s="104"/>
      <c r="BE72" s="530" t="s">
        <v>279</v>
      </c>
      <c r="BF72" s="495"/>
      <c r="BG72" s="104"/>
      <c r="BH72" s="104"/>
      <c r="BI72" s="104"/>
      <c r="BJ72" s="104"/>
      <c r="BK72" s="104"/>
      <c r="BL72" s="104"/>
      <c r="BM72" s="104"/>
      <c r="BN72" s="495"/>
      <c r="BO72" s="104"/>
      <c r="BP72" s="104"/>
      <c r="BQ72" s="104"/>
      <c r="BR72" s="104"/>
      <c r="BS72" s="104"/>
      <c r="BT72" s="104"/>
      <c r="BU72" s="104"/>
      <c r="BV72" s="104"/>
      <c r="BW72" s="104"/>
      <c r="BX72" s="104"/>
      <c r="BY72" s="104"/>
      <c r="BZ72" s="3"/>
      <c r="CA72" s="3"/>
    </row>
    <row r="73" spans="3:79">
      <c r="C73" s="510"/>
      <c r="D73" s="510"/>
      <c r="K73" s="104"/>
      <c r="L73" s="104"/>
      <c r="M73" s="104"/>
      <c r="N73" s="104"/>
      <c r="O73" s="104"/>
      <c r="P73" s="104"/>
      <c r="Q73" s="104"/>
      <c r="R73" s="104"/>
      <c r="S73" s="4"/>
      <c r="T73" s="4"/>
      <c r="U73" s="4"/>
      <c r="V73" s="4"/>
      <c r="W73" s="199" t="s">
        <v>503</v>
      </c>
      <c r="X73" s="4"/>
      <c r="Y73" s="4"/>
      <c r="Z73" s="4"/>
      <c r="AA73" s="4"/>
      <c r="AB73" s="4"/>
      <c r="AC73" s="4"/>
      <c r="AD73" s="4"/>
      <c r="AE73" s="4"/>
      <c r="AF73" s="2"/>
      <c r="AG73" s="104"/>
      <c r="AH73" s="104"/>
      <c r="AI73" s="104"/>
      <c r="AJ73" s="104"/>
      <c r="AK73" s="104"/>
      <c r="AL73" s="104"/>
      <c r="AM73" s="104"/>
      <c r="AN73" s="104"/>
      <c r="AO73" s="104"/>
      <c r="AP73" s="104"/>
      <c r="AQ73" s="104"/>
      <c r="AR73" s="104"/>
      <c r="AS73" s="104"/>
      <c r="AT73" s="104"/>
      <c r="AU73" s="104"/>
      <c r="AV73" s="104"/>
      <c r="AW73" s="104"/>
      <c r="AX73" s="104"/>
      <c r="AY73" s="104"/>
      <c r="AZ73" s="104"/>
      <c r="BA73" s="104"/>
      <c r="BB73" s="104"/>
      <c r="BC73" s="104"/>
      <c r="BD73" s="104"/>
      <c r="BE73" s="495"/>
      <c r="BF73" s="495"/>
      <c r="BG73" s="104"/>
      <c r="BH73" s="104"/>
      <c r="BI73" s="104"/>
      <c r="BJ73" s="104"/>
      <c r="BK73" s="104"/>
      <c r="BL73" s="104"/>
      <c r="BM73" s="104"/>
      <c r="BN73" s="495"/>
      <c r="BO73" s="104"/>
      <c r="BP73" s="104"/>
      <c r="BQ73" s="104"/>
      <c r="BR73" s="104"/>
      <c r="BS73" s="104"/>
      <c r="BT73" s="104"/>
      <c r="BU73" s="104"/>
      <c r="BV73" s="104"/>
      <c r="BW73" s="104"/>
      <c r="BX73" s="104"/>
      <c r="BY73" s="104"/>
      <c r="BZ73" s="3"/>
      <c r="CA73" s="3"/>
    </row>
    <row r="74" spans="3:79">
      <c r="C74" s="510"/>
      <c r="D74" s="510"/>
      <c r="M74" s="104"/>
      <c r="N74" s="104"/>
      <c r="O74" s="104"/>
      <c r="P74" s="104"/>
      <c r="Q74" s="104"/>
      <c r="R74" s="104"/>
      <c r="S74" s="4"/>
      <c r="T74" s="4"/>
      <c r="U74" s="4"/>
      <c r="V74" s="4"/>
      <c r="W74" s="4"/>
      <c r="X74" s="199" t="s">
        <v>451</v>
      </c>
      <c r="Y74" s="4"/>
      <c r="Z74" s="4"/>
      <c r="AA74" s="4"/>
      <c r="AB74" s="4"/>
      <c r="AC74" s="4"/>
      <c r="AD74" s="4"/>
      <c r="AE74" s="4"/>
      <c r="AF74" s="2"/>
      <c r="AG74" s="104"/>
      <c r="AH74" s="104"/>
      <c r="AI74" s="104"/>
      <c r="AJ74" s="104"/>
      <c r="AK74" s="104"/>
      <c r="AL74" s="104"/>
      <c r="AM74" s="104"/>
      <c r="AN74" s="104"/>
      <c r="AO74" s="104"/>
      <c r="AP74" s="104"/>
      <c r="AQ74" s="104"/>
      <c r="AR74" s="104"/>
      <c r="AS74" s="104"/>
      <c r="AT74" s="104"/>
      <c r="AU74" s="104"/>
      <c r="AV74" s="104"/>
      <c r="AW74" s="104"/>
      <c r="AX74" s="104"/>
      <c r="AY74" s="104"/>
      <c r="AZ74" s="104"/>
      <c r="BA74" s="104"/>
      <c r="BB74" s="104"/>
      <c r="BC74" s="104"/>
      <c r="BD74" s="104"/>
      <c r="BE74" s="495"/>
      <c r="BF74" s="495"/>
      <c r="BG74" s="104"/>
      <c r="BH74" s="104"/>
      <c r="BI74" s="104"/>
      <c r="BJ74" s="104"/>
      <c r="BK74" s="104"/>
      <c r="BL74" s="104"/>
      <c r="BM74" s="104"/>
      <c r="BN74" s="495"/>
      <c r="BO74" s="104"/>
      <c r="BP74" s="104"/>
      <c r="BQ74" s="104"/>
      <c r="BR74" s="104"/>
      <c r="BS74" s="104"/>
      <c r="BT74" s="104"/>
      <c r="BU74" s="104"/>
      <c r="BV74" s="104"/>
      <c r="BW74" s="104"/>
      <c r="BX74" s="104"/>
      <c r="BY74" s="104"/>
      <c r="BZ74" s="3"/>
      <c r="CA74" s="3"/>
    </row>
    <row r="75" spans="3:79">
      <c r="C75" s="510"/>
      <c r="D75" s="510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4"/>
      <c r="X75" s="4"/>
      <c r="Y75" s="4" t="s">
        <v>452</v>
      </c>
      <c r="Z75" s="4"/>
      <c r="AA75" s="4"/>
      <c r="AB75" s="4"/>
      <c r="AC75" s="4"/>
      <c r="AD75" s="4"/>
      <c r="AE75" s="4"/>
      <c r="AF75" s="104"/>
      <c r="AG75" s="104"/>
      <c r="AH75" s="104"/>
      <c r="AI75" s="104"/>
      <c r="AJ75" s="104"/>
      <c r="AK75" s="104"/>
      <c r="AL75" s="104"/>
      <c r="AM75" s="104"/>
      <c r="AN75" s="104"/>
      <c r="AO75" s="104"/>
      <c r="AP75" s="104"/>
      <c r="AQ75" s="104"/>
      <c r="AR75" s="104"/>
      <c r="AS75" s="104"/>
      <c r="AT75" s="104"/>
      <c r="AU75" s="104"/>
      <c r="AV75" s="104"/>
      <c r="AW75" s="104"/>
      <c r="AX75" s="104"/>
      <c r="AY75" s="104"/>
      <c r="AZ75" s="104"/>
      <c r="BA75" s="104"/>
      <c r="BB75" s="104"/>
      <c r="BC75" s="104"/>
      <c r="BD75" s="104"/>
      <c r="BE75" s="495"/>
      <c r="BF75" s="495"/>
      <c r="BG75" s="104"/>
      <c r="BH75" s="104"/>
      <c r="BI75" s="104"/>
      <c r="BJ75" s="104"/>
      <c r="BK75" s="104"/>
      <c r="BL75" s="104"/>
      <c r="BM75" s="104"/>
      <c r="BN75" s="495"/>
      <c r="BO75" s="104"/>
      <c r="BP75" s="104"/>
      <c r="BQ75" s="104"/>
      <c r="BR75" s="104"/>
      <c r="BS75" s="104"/>
      <c r="BT75" s="104"/>
      <c r="BU75" s="104"/>
      <c r="BV75" s="104"/>
      <c r="BW75" s="104"/>
      <c r="BX75" s="104"/>
      <c r="BY75" s="104"/>
      <c r="BZ75" s="3"/>
      <c r="CA75" s="3"/>
    </row>
    <row r="76" spans="3:79">
      <c r="C76" s="510"/>
      <c r="D76" s="510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4"/>
      <c r="X76" s="4"/>
      <c r="Y76" s="4"/>
      <c r="Z76" s="197" t="s">
        <v>453</v>
      </c>
      <c r="AA76" s="4"/>
      <c r="AB76" s="4"/>
      <c r="AC76" s="4"/>
      <c r="AD76" s="104"/>
      <c r="AE76" s="104"/>
      <c r="AF76" s="104"/>
      <c r="AG76" s="104"/>
      <c r="AH76" s="104"/>
      <c r="AI76" s="104"/>
      <c r="AJ76" s="104"/>
      <c r="AK76" s="104"/>
      <c r="AL76" s="104"/>
      <c r="AM76" s="104"/>
      <c r="AN76" s="104"/>
      <c r="AO76" s="104"/>
      <c r="AP76" s="104"/>
      <c r="AQ76" s="104"/>
      <c r="AR76" s="104"/>
      <c r="AS76" s="104"/>
      <c r="AT76" s="104"/>
      <c r="AU76" s="104"/>
      <c r="AV76" s="104"/>
      <c r="AW76" s="104"/>
      <c r="AX76" s="104"/>
      <c r="AY76" s="104"/>
      <c r="AZ76" s="104"/>
      <c r="BA76" s="104"/>
      <c r="BB76" s="104"/>
      <c r="BC76" s="104"/>
      <c r="BD76" s="104"/>
      <c r="BE76" s="495"/>
      <c r="BF76" s="495"/>
      <c r="BG76" s="104"/>
      <c r="BH76" s="104"/>
      <c r="BI76" s="104"/>
      <c r="BJ76" s="104"/>
      <c r="BK76" s="104"/>
      <c r="BL76" s="104"/>
      <c r="BM76" s="104"/>
      <c r="BN76" s="495"/>
      <c r="BO76" s="104"/>
      <c r="BP76" s="104"/>
      <c r="BQ76" s="104"/>
      <c r="BR76" s="104"/>
      <c r="BS76" s="104"/>
      <c r="BT76" s="104"/>
      <c r="BU76" s="104"/>
      <c r="BV76" s="104"/>
      <c r="BW76" s="104"/>
      <c r="BX76" s="104"/>
      <c r="BY76" s="104"/>
      <c r="BZ76" s="3"/>
      <c r="CA76" s="3"/>
    </row>
    <row r="77" spans="3:79"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4"/>
      <c r="X77" s="4"/>
      <c r="Y77" s="4"/>
      <c r="Z77" s="4"/>
      <c r="AA77" s="199" t="s">
        <v>531</v>
      </c>
      <c r="AB77" s="104"/>
      <c r="AC77" s="104"/>
      <c r="AD77" s="104"/>
      <c r="AE77" s="104"/>
      <c r="AF77" s="104"/>
      <c r="AG77" s="104"/>
      <c r="AH77" s="104"/>
      <c r="AI77" s="104"/>
      <c r="AJ77" s="104"/>
      <c r="AK77" s="104"/>
      <c r="AL77" s="104"/>
      <c r="AM77" s="104"/>
      <c r="AN77" s="104"/>
      <c r="AO77" s="104"/>
      <c r="AP77" s="104"/>
      <c r="AQ77" s="104"/>
      <c r="AR77" s="104"/>
      <c r="AS77" s="104"/>
      <c r="AT77" s="104"/>
      <c r="AU77" s="104"/>
      <c r="AV77" s="104"/>
      <c r="AW77" s="104"/>
      <c r="AX77" s="104"/>
      <c r="AY77" s="104"/>
      <c r="AZ77" s="104"/>
      <c r="BA77" s="104"/>
      <c r="BB77" s="104"/>
      <c r="BC77" s="104"/>
      <c r="BD77" s="104"/>
      <c r="BE77" s="495"/>
      <c r="BF77" s="495"/>
      <c r="BG77" s="104"/>
      <c r="BH77" s="104"/>
      <c r="BI77" s="104"/>
      <c r="BJ77" s="104"/>
      <c r="BK77" s="104"/>
      <c r="BL77" s="104"/>
      <c r="BM77" s="104"/>
      <c r="BN77" s="495"/>
      <c r="BO77" s="104"/>
      <c r="BP77" s="104"/>
      <c r="BQ77" s="104"/>
      <c r="BR77" s="104"/>
      <c r="BS77" s="104"/>
      <c r="BT77" s="104"/>
      <c r="BU77" s="104"/>
      <c r="BV77" s="104"/>
      <c r="BW77" s="104"/>
      <c r="BX77" s="104"/>
      <c r="BY77" s="104"/>
    </row>
    <row r="78" spans="3:79">
      <c r="L78" s="3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495"/>
      <c r="Z78" s="495"/>
      <c r="AA78" s="104"/>
      <c r="AB78" s="178" t="s">
        <v>532</v>
      </c>
      <c r="AC78" s="104"/>
      <c r="AD78" s="104"/>
      <c r="AE78" s="104"/>
      <c r="AF78" s="104"/>
      <c r="AG78" s="104"/>
      <c r="AH78" s="104"/>
      <c r="AI78" s="104"/>
      <c r="AJ78" s="104"/>
      <c r="AK78" s="104"/>
      <c r="AL78" s="104"/>
      <c r="AM78" s="104"/>
      <c r="AN78" s="104"/>
      <c r="AO78" s="104"/>
      <c r="AP78" s="104"/>
      <c r="AQ78" s="104"/>
      <c r="AR78" s="104"/>
      <c r="AS78" s="104"/>
      <c r="AT78" s="104"/>
      <c r="AU78" s="104"/>
      <c r="AV78" s="104"/>
      <c r="AW78" s="104"/>
      <c r="AX78" s="104"/>
      <c r="AY78" s="104"/>
      <c r="AZ78" s="104"/>
      <c r="BA78" s="104"/>
      <c r="BB78" s="104"/>
      <c r="BC78" s="104"/>
      <c r="BD78" s="104"/>
      <c r="BE78" s="495"/>
      <c r="BF78" s="495"/>
      <c r="BG78" s="104"/>
      <c r="BH78" s="104"/>
      <c r="BI78" s="104"/>
      <c r="BJ78" s="104"/>
      <c r="BK78" s="104"/>
      <c r="BL78" s="104"/>
      <c r="BM78" s="104"/>
      <c r="BN78" s="495"/>
      <c r="BO78" s="104"/>
      <c r="BP78" s="104"/>
      <c r="BQ78" s="104"/>
      <c r="BR78" s="104"/>
      <c r="BS78" s="104"/>
      <c r="BT78" s="104"/>
      <c r="BU78" s="104"/>
      <c r="BV78" s="104"/>
      <c r="BW78" s="104"/>
      <c r="BX78" s="104"/>
      <c r="BY78" s="104"/>
    </row>
    <row r="79" spans="3:79">
      <c r="L79" s="3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495"/>
      <c r="Z79" s="495"/>
      <c r="AA79" s="104"/>
      <c r="AB79" s="104"/>
      <c r="AC79" s="199" t="s">
        <v>454</v>
      </c>
      <c r="AD79" s="104"/>
      <c r="AE79" s="104"/>
      <c r="AF79" s="104"/>
      <c r="AG79" s="104"/>
      <c r="AH79" s="104"/>
      <c r="AI79" s="104"/>
      <c r="AJ79" s="104"/>
      <c r="AK79" s="104"/>
      <c r="AL79" s="104"/>
      <c r="AM79" s="104"/>
      <c r="AN79" s="104"/>
      <c r="AO79" s="104"/>
      <c r="AP79" s="104"/>
      <c r="AQ79" s="104"/>
      <c r="AR79" s="104"/>
      <c r="AS79" s="104"/>
      <c r="AT79" s="104"/>
      <c r="AU79" s="104"/>
      <c r="AV79" s="104"/>
      <c r="AW79" s="104"/>
      <c r="AX79" s="104"/>
      <c r="AY79" s="104"/>
      <c r="AZ79" s="104"/>
      <c r="BA79" s="104"/>
      <c r="BB79" s="104"/>
      <c r="BC79" s="104"/>
      <c r="BD79" s="104"/>
      <c r="BE79" s="495"/>
      <c r="BF79" s="495"/>
      <c r="BG79" s="104"/>
      <c r="BH79" s="104"/>
      <c r="BI79" s="104"/>
      <c r="BJ79" s="104"/>
      <c r="BK79" s="104"/>
      <c r="BL79" s="104"/>
      <c r="BM79" s="104"/>
      <c r="BN79" s="495"/>
      <c r="BO79" s="104"/>
      <c r="BP79" s="104"/>
      <c r="BQ79" s="104"/>
      <c r="BR79" s="104"/>
      <c r="BS79" s="104"/>
      <c r="BT79" s="104"/>
      <c r="BU79" s="104"/>
      <c r="BV79" s="104"/>
      <c r="BW79" s="104"/>
      <c r="BX79" s="104"/>
      <c r="BY79" s="104"/>
    </row>
    <row r="80" spans="3:79">
      <c r="L80" s="3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495"/>
      <c r="Z80" s="495"/>
      <c r="AA80" s="104"/>
      <c r="AB80" s="104"/>
      <c r="AC80" s="104"/>
      <c r="AD80" s="104"/>
      <c r="AE80" s="104"/>
      <c r="AF80" s="104"/>
      <c r="AG80" s="104"/>
      <c r="AH80" s="104"/>
      <c r="AI80" s="104"/>
      <c r="AJ80" s="104"/>
      <c r="AK80" s="104"/>
      <c r="AL80" s="104"/>
      <c r="AM80" s="104"/>
      <c r="AN80" s="104"/>
      <c r="AO80" s="104"/>
      <c r="AP80" s="104"/>
      <c r="AQ80" s="104"/>
      <c r="AR80" s="104"/>
      <c r="AS80" s="104"/>
      <c r="AT80" s="104"/>
      <c r="AU80" s="104"/>
      <c r="AV80" s="104"/>
      <c r="AW80" s="104"/>
      <c r="AX80" s="104"/>
      <c r="AY80" s="104"/>
      <c r="AZ80" s="104"/>
      <c r="BA80" s="104"/>
      <c r="BB80" s="104"/>
      <c r="BC80" s="104"/>
      <c r="BD80" s="104"/>
      <c r="BE80" s="495"/>
      <c r="BF80" s="495"/>
      <c r="BG80" s="104"/>
      <c r="BH80" s="104"/>
      <c r="BI80" s="104"/>
      <c r="BJ80" s="104"/>
      <c r="BK80" s="104"/>
      <c r="BL80" s="104"/>
      <c r="BM80" s="104"/>
      <c r="BN80" s="495"/>
      <c r="BO80" s="104"/>
      <c r="BP80" s="104"/>
      <c r="BQ80" s="104"/>
      <c r="BR80" s="104"/>
      <c r="BS80" s="104"/>
      <c r="BT80" s="104"/>
      <c r="BU80" s="104"/>
      <c r="BV80" s="104"/>
      <c r="BW80" s="104"/>
      <c r="BX80" s="104"/>
      <c r="BY80" s="104"/>
    </row>
    <row r="81" spans="2:80"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495"/>
      <c r="Z81" s="495"/>
      <c r="AA81" s="104"/>
      <c r="AB81" s="104"/>
      <c r="AC81" s="104"/>
      <c r="AD81" s="104"/>
      <c r="AE81" s="104"/>
      <c r="AF81" s="104"/>
      <c r="AG81" s="104"/>
      <c r="AH81" s="104"/>
      <c r="AI81" s="104"/>
      <c r="AJ81" s="104"/>
      <c r="AK81" s="104"/>
      <c r="AL81" s="104"/>
      <c r="AM81" s="104"/>
      <c r="AN81" s="104"/>
      <c r="AO81" s="104"/>
      <c r="AP81" s="104"/>
      <c r="AQ81" s="104"/>
      <c r="AR81" s="104"/>
      <c r="AS81" s="104"/>
      <c r="AT81" s="104"/>
      <c r="AU81" s="104"/>
      <c r="AV81" s="104"/>
      <c r="AW81" s="104"/>
      <c r="AX81" s="104"/>
      <c r="AY81" s="104"/>
      <c r="AZ81" s="104"/>
      <c r="BA81" s="104"/>
      <c r="BB81" s="104"/>
      <c r="BC81" s="104"/>
      <c r="BD81" s="104"/>
      <c r="BE81" s="495"/>
      <c r="BF81" s="495"/>
      <c r="BG81" s="104"/>
      <c r="BH81" s="104"/>
      <c r="BI81" s="104"/>
      <c r="BJ81" s="104"/>
      <c r="BK81" s="104"/>
      <c r="BL81" s="104"/>
      <c r="BM81" s="104"/>
      <c r="BN81" s="495"/>
      <c r="BO81" s="104"/>
      <c r="BP81" s="104"/>
      <c r="BQ81" s="104"/>
      <c r="BR81" s="104"/>
      <c r="BS81" s="104"/>
      <c r="BT81" s="104"/>
      <c r="BU81" s="104"/>
      <c r="BV81" s="104"/>
      <c r="BW81" s="104"/>
      <c r="BX81" s="104"/>
      <c r="BY81" s="104"/>
    </row>
    <row r="82" spans="2:80">
      <c r="B82" s="255" t="s">
        <v>613</v>
      </c>
      <c r="K82" s="381"/>
      <c r="L82" s="381"/>
      <c r="M82" s="381"/>
      <c r="N82" s="381"/>
      <c r="O82" s="381"/>
      <c r="P82" s="381"/>
      <c r="Q82" s="381"/>
      <c r="R82" s="381"/>
      <c r="S82" s="381"/>
      <c r="T82" s="381"/>
      <c r="U82" s="381"/>
      <c r="V82" s="381"/>
      <c r="W82" s="381"/>
      <c r="X82" s="381"/>
      <c r="Y82" s="497"/>
      <c r="Z82" s="497"/>
      <c r="AA82" s="381">
        <f t="shared" ref="AA82:AY82" si="13">AA59</f>
        <v>39.03</v>
      </c>
      <c r="AB82" s="381">
        <f t="shared" si="13"/>
        <v>1.98</v>
      </c>
      <c r="AC82" s="381"/>
      <c r="AD82" s="381"/>
      <c r="AE82" s="381"/>
      <c r="AF82" s="381"/>
      <c r="AG82" s="381"/>
      <c r="AH82" s="381"/>
      <c r="AI82" s="381"/>
      <c r="AJ82" s="381"/>
      <c r="AK82" s="381"/>
      <c r="AL82" s="381"/>
      <c r="AM82" s="381"/>
      <c r="AN82" s="381"/>
      <c r="AO82" s="381"/>
      <c r="AP82" s="381"/>
      <c r="AQ82" s="381"/>
      <c r="AR82" s="381"/>
      <c r="AS82" s="381"/>
      <c r="AT82" s="381"/>
      <c r="AU82" s="381"/>
      <c r="AV82" s="381"/>
      <c r="AW82" s="381">
        <f t="shared" si="13"/>
        <v>140.88000000000002</v>
      </c>
      <c r="AX82" s="381"/>
      <c r="AY82" s="381">
        <f t="shared" si="13"/>
        <v>0</v>
      </c>
      <c r="AZ82" s="381"/>
      <c r="BA82" s="381"/>
      <c r="BB82" s="381"/>
      <c r="BC82" s="381"/>
      <c r="BD82" s="381"/>
      <c r="BE82" s="497"/>
      <c r="BF82" s="497"/>
      <c r="BG82" s="381"/>
      <c r="BH82" s="381"/>
      <c r="BI82" s="381"/>
      <c r="BJ82" s="381"/>
      <c r="BK82" s="381"/>
      <c r="BL82" s="381"/>
      <c r="BM82" s="381"/>
      <c r="BN82" s="497"/>
      <c r="BO82" s="381"/>
      <c r="BP82" s="381"/>
      <c r="BQ82" s="381"/>
      <c r="BR82" s="104"/>
      <c r="BS82" s="104"/>
      <c r="BT82" s="104"/>
      <c r="BU82" s="104"/>
      <c r="BV82" s="104"/>
      <c r="BW82" s="104"/>
      <c r="BX82" s="104"/>
      <c r="BY82" s="104"/>
      <c r="CA82" s="381">
        <f>SUM(K82:BQ82)</f>
        <v>181.89000000000001</v>
      </c>
      <c r="CB82" s="98" t="s">
        <v>534</v>
      </c>
    </row>
    <row r="83" spans="2:80">
      <c r="B83" s="254" t="s">
        <v>614</v>
      </c>
      <c r="K83" s="382">
        <f>K59</f>
        <v>179.64000000000001</v>
      </c>
      <c r="L83" s="382">
        <f t="shared" ref="L83:BW83" si="14">L59</f>
        <v>209.58</v>
      </c>
      <c r="M83" s="382">
        <f t="shared" si="14"/>
        <v>254.49</v>
      </c>
      <c r="N83" s="382">
        <f t="shared" si="14"/>
        <v>74.850000000000009</v>
      </c>
      <c r="O83" s="382">
        <f t="shared" si="14"/>
        <v>29.94</v>
      </c>
      <c r="P83" s="382">
        <f t="shared" si="14"/>
        <v>14.97</v>
      </c>
      <c r="Q83" s="382">
        <f t="shared" si="14"/>
        <v>59.88</v>
      </c>
      <c r="R83" s="382">
        <f t="shared" si="14"/>
        <v>149.70000000000002</v>
      </c>
      <c r="S83" s="382">
        <f t="shared" si="14"/>
        <v>29.94</v>
      </c>
      <c r="T83" s="382">
        <f t="shared" si="14"/>
        <v>194.61</v>
      </c>
      <c r="U83" s="382">
        <f t="shared" si="14"/>
        <v>89.820000000000007</v>
      </c>
      <c r="V83" s="382">
        <f t="shared" si="14"/>
        <v>179.64000000000001</v>
      </c>
      <c r="W83" s="382">
        <f t="shared" si="14"/>
        <v>0</v>
      </c>
      <c r="X83" s="382">
        <f t="shared" si="14"/>
        <v>130.32</v>
      </c>
      <c r="Y83" s="498">
        <f t="shared" si="14"/>
        <v>44.910000000000004</v>
      </c>
      <c r="Z83" s="498">
        <f t="shared" si="14"/>
        <v>5.9399999999999995</v>
      </c>
      <c r="AA83" s="382">
        <f>AA59-AA82</f>
        <v>0</v>
      </c>
      <c r="AB83" s="382"/>
      <c r="AC83" s="382">
        <f t="shared" si="14"/>
        <v>0</v>
      </c>
      <c r="AD83" s="382">
        <f t="shared" si="14"/>
        <v>0</v>
      </c>
      <c r="AE83" s="382">
        <f t="shared" si="14"/>
        <v>0</v>
      </c>
      <c r="AF83" s="382"/>
      <c r="AG83" s="382"/>
      <c r="AH83" s="382">
        <f t="shared" si="14"/>
        <v>87.01</v>
      </c>
      <c r="AI83" s="382">
        <f t="shared" si="14"/>
        <v>19.38</v>
      </c>
      <c r="AJ83" s="382">
        <f t="shared" si="14"/>
        <v>125.76999999999995</v>
      </c>
      <c r="AK83" s="382">
        <f t="shared" si="14"/>
        <v>35.529999999999994</v>
      </c>
      <c r="AL83" s="382">
        <f t="shared" si="14"/>
        <v>0</v>
      </c>
      <c r="AM83" s="382">
        <f t="shared" si="14"/>
        <v>0</v>
      </c>
      <c r="AN83" s="382">
        <f t="shared" si="14"/>
        <v>41.99</v>
      </c>
      <c r="AO83" s="382">
        <f t="shared" si="14"/>
        <v>64.399999999999977</v>
      </c>
      <c r="AP83" s="382">
        <f t="shared" si="14"/>
        <v>41.989999999999995</v>
      </c>
      <c r="AQ83" s="382">
        <f t="shared" si="14"/>
        <v>54.709999999999987</v>
      </c>
      <c r="AR83" s="382">
        <f t="shared" si="14"/>
        <v>16.149999999999999</v>
      </c>
      <c r="AS83" s="382">
        <f t="shared" si="14"/>
        <v>0</v>
      </c>
      <c r="AT83" s="382">
        <f t="shared" si="14"/>
        <v>0</v>
      </c>
      <c r="AU83" s="382">
        <f t="shared" si="14"/>
        <v>0</v>
      </c>
      <c r="AV83" s="382"/>
      <c r="AW83" s="382"/>
      <c r="AX83" s="382">
        <f t="shared" si="14"/>
        <v>0</v>
      </c>
      <c r="AY83" s="382"/>
      <c r="AZ83" s="382">
        <f t="shared" si="14"/>
        <v>0</v>
      </c>
      <c r="BA83" s="382">
        <f t="shared" si="14"/>
        <v>0</v>
      </c>
      <c r="BB83" s="382"/>
      <c r="BC83" s="382">
        <f t="shared" si="14"/>
        <v>0</v>
      </c>
      <c r="BD83" s="382">
        <f t="shared" si="14"/>
        <v>0</v>
      </c>
      <c r="BE83" s="498">
        <f t="shared" si="14"/>
        <v>11.74</v>
      </c>
      <c r="BF83" s="498"/>
      <c r="BG83" s="382">
        <f t="shared" si="14"/>
        <v>0</v>
      </c>
      <c r="BH83" s="382">
        <f t="shared" si="14"/>
        <v>0</v>
      </c>
      <c r="BI83" s="382">
        <f t="shared" si="14"/>
        <v>0</v>
      </c>
      <c r="BJ83" s="382">
        <f t="shared" si="14"/>
        <v>0</v>
      </c>
      <c r="BK83" s="382">
        <f t="shared" si="14"/>
        <v>0</v>
      </c>
      <c r="BL83" s="382">
        <f t="shared" si="14"/>
        <v>0</v>
      </c>
      <c r="BM83" s="382">
        <f t="shared" si="14"/>
        <v>0</v>
      </c>
      <c r="BN83" s="498">
        <f t="shared" si="14"/>
        <v>66.150000000000006</v>
      </c>
      <c r="BO83" s="382">
        <f t="shared" si="14"/>
        <v>0</v>
      </c>
      <c r="BP83" s="382">
        <f t="shared" si="14"/>
        <v>0</v>
      </c>
      <c r="BQ83" s="382">
        <f t="shared" si="14"/>
        <v>0</v>
      </c>
      <c r="BR83" s="382">
        <f t="shared" si="14"/>
        <v>82.95</v>
      </c>
      <c r="BS83" s="382">
        <f t="shared" si="14"/>
        <v>6.46</v>
      </c>
      <c r="BT83" s="382">
        <f t="shared" si="14"/>
        <v>12.92</v>
      </c>
      <c r="BU83" s="382">
        <f t="shared" si="14"/>
        <v>32.299999999999997</v>
      </c>
      <c r="BV83" s="382">
        <f t="shared" si="14"/>
        <v>25.84</v>
      </c>
      <c r="BW83" s="382">
        <f t="shared" si="14"/>
        <v>4.6500000000000004</v>
      </c>
      <c r="BX83" s="382">
        <f t="shared" ref="BX83:BY83" si="15">BX59</f>
        <v>82.17</v>
      </c>
      <c r="BY83" s="382">
        <f t="shared" si="15"/>
        <v>0</v>
      </c>
      <c r="CA83" s="382">
        <f>SUM(K83:BY83)</f>
        <v>2460.3400000000006</v>
      </c>
      <c r="CB83" s="98" t="s">
        <v>534</v>
      </c>
    </row>
    <row r="84" spans="2:80"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495"/>
      <c r="Z84" s="495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495"/>
      <c r="BF84" s="495"/>
      <c r="BG84" s="104"/>
      <c r="BH84" s="104"/>
      <c r="BI84" s="104"/>
      <c r="BJ84" s="104"/>
      <c r="BK84" s="104"/>
      <c r="BL84" s="104"/>
      <c r="BM84" s="104"/>
      <c r="BN84" s="495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</row>
    <row r="85" spans="2:80"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495"/>
      <c r="Z85" s="495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495"/>
      <c r="BF85" s="495"/>
      <c r="BG85" s="104"/>
      <c r="BH85" s="104"/>
      <c r="BI85" s="104"/>
      <c r="BJ85" s="104"/>
      <c r="BK85" s="104"/>
      <c r="BL85" s="104"/>
      <c r="BM85" s="104"/>
      <c r="BN85" s="495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</row>
    <row r="86" spans="2:80"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495"/>
      <c r="Z86" s="495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495"/>
      <c r="BF86" s="495"/>
      <c r="BG86" s="104"/>
      <c r="BH86" s="104"/>
      <c r="BI86" s="104"/>
      <c r="BJ86" s="104"/>
      <c r="BK86" s="104"/>
      <c r="BL86" s="104"/>
      <c r="BM86" s="104"/>
      <c r="BN86" s="495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</row>
    <row r="87" spans="2:80"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495"/>
      <c r="Z87" s="495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495"/>
      <c r="BF87" s="495"/>
      <c r="BG87" s="104"/>
      <c r="BH87" s="104"/>
      <c r="BI87" s="104"/>
      <c r="BJ87" s="104"/>
      <c r="BK87" s="104"/>
      <c r="BL87" s="104"/>
      <c r="BM87" s="104"/>
      <c r="BN87" s="495"/>
      <c r="BO87" s="104"/>
      <c r="BP87" s="104"/>
      <c r="BQ87" s="104"/>
      <c r="BR87" s="104"/>
      <c r="BS87" s="104"/>
      <c r="BT87" s="104"/>
      <c r="BU87" s="104"/>
      <c r="BV87" s="104"/>
      <c r="BW87" s="104"/>
      <c r="BX87" s="104"/>
      <c r="BY87" s="104"/>
    </row>
    <row r="88" spans="2:80"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495"/>
      <c r="Z88" s="495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495"/>
      <c r="BF88" s="495"/>
      <c r="BG88" s="104"/>
      <c r="BH88" s="104"/>
      <c r="BI88" s="104"/>
      <c r="BJ88" s="104"/>
      <c r="BK88" s="104"/>
      <c r="BL88" s="104"/>
      <c r="BM88" s="104"/>
      <c r="BN88" s="495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</row>
    <row r="89" spans="2:80"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495"/>
      <c r="Z89" s="495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495"/>
      <c r="BF89" s="495"/>
      <c r="BG89" s="104"/>
      <c r="BH89" s="104"/>
      <c r="BI89" s="104"/>
      <c r="BJ89" s="104"/>
      <c r="BK89" s="104"/>
      <c r="BL89" s="104"/>
      <c r="BM89" s="104"/>
      <c r="BN89" s="495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</row>
    <row r="90" spans="2:80"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495"/>
      <c r="Z90" s="495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495"/>
      <c r="BF90" s="495"/>
      <c r="BG90" s="104"/>
      <c r="BH90" s="104"/>
      <c r="BI90" s="104"/>
      <c r="BJ90" s="104"/>
      <c r="BK90" s="104"/>
      <c r="BL90" s="104"/>
      <c r="BM90" s="104"/>
      <c r="BN90" s="495"/>
      <c r="BO90" s="104"/>
      <c r="BP90" s="104"/>
      <c r="BQ90" s="104"/>
      <c r="BR90" s="104"/>
      <c r="BS90" s="104"/>
      <c r="BT90" s="104"/>
      <c r="BU90" s="104"/>
      <c r="BV90" s="104"/>
      <c r="BW90" s="104"/>
      <c r="BX90" s="104"/>
      <c r="BY90" s="104"/>
    </row>
    <row r="91" spans="2:80"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495"/>
      <c r="Z91" s="495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495"/>
      <c r="BF91" s="495"/>
      <c r="BG91" s="104"/>
      <c r="BH91" s="104"/>
      <c r="BI91" s="104"/>
      <c r="BJ91" s="104"/>
      <c r="BK91" s="104"/>
      <c r="BL91" s="104"/>
      <c r="BM91" s="104"/>
      <c r="BN91" s="495"/>
      <c r="BO91" s="104"/>
      <c r="BP91" s="104"/>
      <c r="BQ91" s="104"/>
      <c r="BR91" s="104"/>
      <c r="BS91" s="104"/>
      <c r="BT91" s="104"/>
      <c r="BU91" s="104"/>
      <c r="BV91" s="104"/>
      <c r="BW91" s="104"/>
      <c r="BX91" s="104"/>
      <c r="BY91" s="104"/>
    </row>
    <row r="92" spans="2:80"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495"/>
      <c r="Z92" s="495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495"/>
      <c r="BF92" s="495"/>
      <c r="BG92" s="104"/>
      <c r="BH92" s="104"/>
      <c r="BI92" s="104"/>
      <c r="BJ92" s="104"/>
      <c r="BK92" s="104"/>
      <c r="BL92" s="104"/>
      <c r="BM92" s="104"/>
      <c r="BN92" s="495"/>
      <c r="BO92" s="104"/>
      <c r="BP92" s="104"/>
      <c r="BQ92" s="104"/>
      <c r="BR92" s="104"/>
      <c r="BS92" s="104"/>
      <c r="BT92" s="104"/>
      <c r="BU92" s="104"/>
      <c r="BV92" s="104"/>
      <c r="BW92" s="104"/>
      <c r="BX92" s="104"/>
      <c r="BY92" s="104"/>
    </row>
  </sheetData>
  <mergeCells count="14">
    <mergeCell ref="BZ1:CB1"/>
    <mergeCell ref="A59:B59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72"/>
  <sheetViews>
    <sheetView topLeftCell="G1" workbookViewId="0">
      <pane ySplit="2" topLeftCell="A33" activePane="bottomLeft" state="frozen"/>
      <selection pane="bottomLeft" activeCell="Z75" sqref="Z75"/>
    </sheetView>
  </sheetViews>
  <sheetFormatPr defaultRowHeight="11.25"/>
  <cols>
    <col min="1" max="1" width="10.42578125" style="8" bestFit="1" customWidth="1"/>
    <col min="2" max="2" width="5.7109375" style="8" bestFit="1" customWidth="1"/>
    <col min="3" max="3" width="69.5703125" style="109" bestFit="1" customWidth="1"/>
    <col min="4" max="4" width="11.7109375" style="3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1.5703125" style="2" bestFit="1" customWidth="1"/>
    <col min="15" max="17" width="14" style="2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100" customWidth="1"/>
    <col min="23" max="26" width="5.85546875" style="3" customWidth="1"/>
    <col min="27" max="27" width="9.42578125" style="3" bestFit="1" customWidth="1"/>
    <col min="28" max="28" width="8.7109375" style="3" customWidth="1"/>
    <col min="29" max="30" width="3.28515625" style="3" bestFit="1" customWidth="1"/>
    <col min="31" max="16384" width="9.140625" style="3"/>
  </cols>
  <sheetData>
    <row r="1" spans="1:28" ht="15.75" customHeight="1">
      <c r="A1" s="804" t="s">
        <v>1</v>
      </c>
      <c r="B1" s="806" t="s">
        <v>2</v>
      </c>
      <c r="C1" s="808" t="s">
        <v>0</v>
      </c>
      <c r="D1" s="810" t="s">
        <v>7</v>
      </c>
      <c r="E1" s="799" t="s">
        <v>6</v>
      </c>
      <c r="F1" s="800"/>
      <c r="G1" s="801" t="s">
        <v>5</v>
      </c>
      <c r="H1" s="802"/>
      <c r="I1" s="799" t="s">
        <v>65</v>
      </c>
      <c r="J1" s="800"/>
      <c r="K1" s="653" t="s">
        <v>9</v>
      </c>
      <c r="L1" s="605" t="s">
        <v>461</v>
      </c>
      <c r="M1" s="796"/>
      <c r="N1" s="797" t="s">
        <v>83</v>
      </c>
      <c r="O1" s="605" t="s">
        <v>89</v>
      </c>
      <c r="P1" s="606"/>
      <c r="Q1" s="606"/>
      <c r="R1" s="606"/>
      <c r="S1" s="606"/>
      <c r="T1" s="606"/>
      <c r="U1" s="796"/>
      <c r="V1" s="792" t="s">
        <v>91</v>
      </c>
      <c r="W1" s="792"/>
      <c r="X1" s="792"/>
      <c r="Y1" s="792"/>
      <c r="Z1" s="792"/>
      <c r="AA1" s="792"/>
      <c r="AB1" s="792"/>
    </row>
    <row r="2" spans="1:28" ht="15.75" customHeight="1" thickBot="1">
      <c r="A2" s="805"/>
      <c r="B2" s="807"/>
      <c r="C2" s="809"/>
      <c r="D2" s="660"/>
      <c r="E2" s="70"/>
      <c r="F2" s="38" t="s">
        <v>9</v>
      </c>
      <c r="G2" s="70"/>
      <c r="H2" s="71" t="s">
        <v>9</v>
      </c>
      <c r="I2" s="70"/>
      <c r="J2" s="38" t="s">
        <v>9</v>
      </c>
      <c r="K2" s="654"/>
      <c r="L2" s="394"/>
      <c r="M2" s="395" t="s">
        <v>9</v>
      </c>
      <c r="N2" s="798"/>
      <c r="O2" s="208" t="s">
        <v>153</v>
      </c>
      <c r="P2" s="208" t="s">
        <v>461</v>
      </c>
      <c r="Q2" s="208" t="s">
        <v>389</v>
      </c>
      <c r="R2" s="208" t="s">
        <v>62</v>
      </c>
      <c r="S2" s="208" t="s">
        <v>59</v>
      </c>
      <c r="T2" s="208" t="s">
        <v>151</v>
      </c>
      <c r="U2" s="209" t="s">
        <v>316</v>
      </c>
      <c r="V2" s="793"/>
      <c r="W2" s="794"/>
      <c r="X2" s="794"/>
      <c r="Y2" s="794"/>
      <c r="Z2" s="794"/>
      <c r="AA2" s="795"/>
      <c r="AB2" s="210" t="s">
        <v>47</v>
      </c>
    </row>
    <row r="3" spans="1:28" s="5" customFormat="1">
      <c r="A3" s="473">
        <f>'1-συμβολαια'!A3</f>
        <v>4600</v>
      </c>
      <c r="B3" s="474">
        <f>'1-συμβολαια'!B3</f>
        <v>2</v>
      </c>
      <c r="C3" s="472" t="str">
        <f>'1-συμβολαια'!C3</f>
        <v>δωρεά</v>
      </c>
      <c r="D3" s="475">
        <f>'1-συμβολαια'!D3</f>
        <v>5727.22</v>
      </c>
      <c r="E3" s="399"/>
      <c r="F3" s="399"/>
      <c r="G3" s="399"/>
      <c r="H3" s="399"/>
      <c r="I3" s="399"/>
      <c r="J3" s="399"/>
      <c r="K3" s="410">
        <f>'1-συμβολαια'!N3</f>
        <v>118.44269199999998</v>
      </c>
      <c r="L3" s="410">
        <f>'2-δικαιώμ'!O3+'5-αντίγρ'!O3</f>
        <v>14.427308</v>
      </c>
      <c r="M3" s="410">
        <v>14.43</v>
      </c>
      <c r="N3" s="476"/>
      <c r="O3" s="410">
        <f>'1-συμβολαια'!O3</f>
        <v>-4.6892799999999966</v>
      </c>
      <c r="P3" s="410"/>
      <c r="Q3" s="410"/>
      <c r="R3" s="476">
        <f>'10-φπα'!E3</f>
        <v>0</v>
      </c>
      <c r="S3" s="410"/>
      <c r="T3" s="410">
        <f>'13-ντιΜιΧο'!BZ3+'13-ντιΜιΧο'!CA3</f>
        <v>198.4</v>
      </c>
      <c r="U3" s="292">
        <f>'13-ντιΜιΧο'!CB3</f>
        <v>0</v>
      </c>
      <c r="V3" s="336"/>
      <c r="W3" s="330"/>
      <c r="X3" s="330"/>
      <c r="Y3" s="330"/>
      <c r="Z3" s="330"/>
      <c r="AA3" s="330"/>
      <c r="AB3" s="325"/>
    </row>
    <row r="4" spans="1:28" s="5" customFormat="1">
      <c r="A4" s="473"/>
      <c r="B4" s="474"/>
      <c r="C4" s="472" t="str">
        <f>'1-συμβολαια'!C4</f>
        <v>ΧΡΗΣΙΚΤΗΣΙΑ οικοπέδου &amp; οικίας = 1930 πατρός ΔΩΡΕΑ άτυπη</v>
      </c>
      <c r="D4" s="511">
        <f>'1-συμβολαια'!D4</f>
        <v>3333</v>
      </c>
      <c r="E4" s="399"/>
      <c r="F4" s="399"/>
      <c r="G4" s="399"/>
      <c r="H4" s="399"/>
      <c r="I4" s="399"/>
      <c r="J4" s="399"/>
      <c r="K4" s="410"/>
      <c r="L4" s="410">
        <f>'2-δικαιώμ'!O4+'5-αντίγρ'!O4</f>
        <v>7.2753120000000013</v>
      </c>
      <c r="M4" s="410"/>
      <c r="N4" s="476"/>
      <c r="O4" s="410">
        <f>'1-συμβολαια'!O4</f>
        <v>57.234768000000003</v>
      </c>
      <c r="P4" s="410">
        <f t="shared" ref="P4:P55" si="0">L4-M4</f>
        <v>7.2753120000000013</v>
      </c>
      <c r="Q4" s="410">
        <f>'8-κ-15-17'!AG4</f>
        <v>25.830750000000002</v>
      </c>
      <c r="R4" s="476">
        <f>'10-φπα'!E4</f>
        <v>0</v>
      </c>
      <c r="S4" s="410"/>
      <c r="T4" s="410">
        <f>'13-ντιΜιΧο'!BZ4+'13-ντιΜιΧο'!CA4</f>
        <v>0</v>
      </c>
      <c r="U4" s="292">
        <f>'13-ντιΜιΧο'!CB4</f>
        <v>0</v>
      </c>
      <c r="V4" s="336"/>
      <c r="W4" s="326"/>
      <c r="X4" s="326"/>
      <c r="Y4" s="326"/>
      <c r="Z4" s="326"/>
      <c r="AA4" s="326"/>
      <c r="AB4" s="329"/>
    </row>
    <row r="5" spans="1:28" s="5" customFormat="1">
      <c r="A5" s="434">
        <f>'1-συμβολαια'!A5</f>
        <v>4601</v>
      </c>
      <c r="B5" s="474">
        <f>'1-συμβολαια'!B5</f>
        <v>9</v>
      </c>
      <c r="C5" s="472" t="str">
        <f>'1-συμβολαια'!C5</f>
        <v>αγοραπωλησίας 13.835κ ΕΞΟΦΛΗΣΗ</v>
      </c>
      <c r="D5" s="475">
        <f>'1-συμβολαια'!D5</f>
        <v>0</v>
      </c>
      <c r="E5" s="399"/>
      <c r="F5" s="399"/>
      <c r="G5" s="399"/>
      <c r="H5" s="399"/>
      <c r="I5" s="399"/>
      <c r="J5" s="399"/>
      <c r="K5" s="410">
        <f>'1-συμβολαια'!N5</f>
        <v>31.350200000000001</v>
      </c>
      <c r="L5" s="410">
        <f>'2-δικαιώμ'!O5+'5-αντίγρ'!O5</f>
        <v>2.6898</v>
      </c>
      <c r="M5" s="410">
        <v>3.1</v>
      </c>
      <c r="N5" s="476"/>
      <c r="O5" s="410">
        <f>'1-συμβολαια'!O5</f>
        <v>23.759999999999998</v>
      </c>
      <c r="P5" s="410"/>
      <c r="Q5" s="410"/>
      <c r="R5" s="476">
        <f>'10-φπα'!E5</f>
        <v>0</v>
      </c>
      <c r="S5" s="410"/>
      <c r="T5" s="410">
        <f>'13-ντιΜιΧο'!BZ5+'13-ντιΜιΧο'!CA5</f>
        <v>344.16</v>
      </c>
      <c r="U5" s="292">
        <f>'13-ντιΜιΧο'!CB5</f>
        <v>0</v>
      </c>
      <c r="V5" s="336"/>
      <c r="W5" s="326"/>
      <c r="X5" s="326"/>
      <c r="Y5" s="326"/>
      <c r="Z5" s="326"/>
      <c r="AA5" s="326"/>
      <c r="AB5" s="329"/>
    </row>
    <row r="6" spans="1:28" s="5" customFormat="1">
      <c r="A6" s="473">
        <f>'1-συμβολαια'!A6</f>
        <v>4602</v>
      </c>
      <c r="B6" s="474">
        <f>'1-συμβολαια'!B6</f>
        <v>10</v>
      </c>
      <c r="C6" s="472" t="str">
        <f>'1-συμβολαια'!C6</f>
        <v>κληρονομιάς ΑΠΟΔΟΧΗ</v>
      </c>
      <c r="D6" s="475">
        <f>'1-συμβολαια'!D6</f>
        <v>0</v>
      </c>
      <c r="E6" s="399"/>
      <c r="F6" s="399"/>
      <c r="G6" s="399"/>
      <c r="H6" s="399"/>
      <c r="I6" s="399"/>
      <c r="J6" s="399"/>
      <c r="K6" s="410">
        <f>'1-συμβολαια'!N6</f>
        <v>40.350299999999997</v>
      </c>
      <c r="L6" s="410">
        <f>'2-δικαιώμ'!O6+'5-αντίγρ'!O6</f>
        <v>4.6497000000000002</v>
      </c>
      <c r="M6" s="410">
        <v>4.6500000000000004</v>
      </c>
      <c r="N6" s="476"/>
      <c r="O6" s="410">
        <f>'1-συμβολαια'!O6</f>
        <v>48.04</v>
      </c>
      <c r="P6" s="410"/>
      <c r="Q6" s="410"/>
      <c r="R6" s="476">
        <f>'10-φπα'!E6</f>
        <v>0</v>
      </c>
      <c r="S6" s="410"/>
      <c r="T6" s="410">
        <f>'13-ντιΜιΧο'!BZ6+'13-ντιΜιΧο'!CA6</f>
        <v>211.51000000000005</v>
      </c>
      <c r="U6" s="292">
        <f>'13-ντιΜιΧο'!CB6</f>
        <v>0</v>
      </c>
      <c r="V6" s="336"/>
      <c r="W6" s="326"/>
      <c r="X6" s="326"/>
      <c r="Y6" s="326"/>
      <c r="Z6" s="326"/>
      <c r="AA6" s="326"/>
      <c r="AB6" s="329"/>
    </row>
    <row r="7" spans="1:28" s="5" customFormat="1">
      <c r="A7" s="473"/>
      <c r="B7" s="474"/>
      <c r="C7" s="472" t="str">
        <f>'1-συμβολαια'!C7</f>
        <v>ΧΡΗΣΙΚΤΗΣΙΑ αγροτεμαχίου = 19?? ΑΝΑΔΑΣΜΟΣ</v>
      </c>
      <c r="D7" s="511">
        <f>'1-συμβολαια'!D7</f>
        <v>1111</v>
      </c>
      <c r="E7" s="399"/>
      <c r="F7" s="399"/>
      <c r="G7" s="399"/>
      <c r="H7" s="399"/>
      <c r="I7" s="399"/>
      <c r="J7" s="399"/>
      <c r="K7" s="410"/>
      <c r="L7" s="410">
        <f>'2-δικαιώμ'!O7+'5-αντίγρ'!O7</f>
        <v>3.2757120000000004</v>
      </c>
      <c r="M7" s="410"/>
      <c r="N7" s="476"/>
      <c r="O7" s="410">
        <f>'1-συμβολαια'!O7</f>
        <v>28.710368000000003</v>
      </c>
      <c r="P7" s="410">
        <f t="shared" si="0"/>
        <v>3.2757120000000004</v>
      </c>
      <c r="Q7" s="410">
        <f>'8-κ-15-17'!AG7</f>
        <v>8.6102500000000006</v>
      </c>
      <c r="R7" s="476">
        <f>'10-φπα'!E7</f>
        <v>0</v>
      </c>
      <c r="S7" s="410"/>
      <c r="T7" s="410">
        <f>'13-ντιΜιΧο'!BZ7+'13-ντιΜιΧο'!CA7</f>
        <v>0</v>
      </c>
      <c r="U7" s="292">
        <f>'13-ντιΜιΧο'!CB7</f>
        <v>0</v>
      </c>
      <c r="V7" s="336"/>
      <c r="W7" s="326"/>
      <c r="X7" s="326"/>
      <c r="Y7" s="326"/>
      <c r="Z7" s="326"/>
      <c r="AA7" s="326"/>
      <c r="AB7" s="329"/>
    </row>
    <row r="8" spans="1:28" s="5" customFormat="1">
      <c r="A8" s="434">
        <f>'1-συμβολαια'!A8</f>
        <v>4603</v>
      </c>
      <c r="B8" s="474">
        <f>'1-συμβολαια'!B8</f>
        <v>10</v>
      </c>
      <c r="C8" s="472" t="str">
        <f>'1-συμβολαια'!C8</f>
        <v>γονικής 11.618καπολα ΔΙΟΡΘΩΣΗ</v>
      </c>
      <c r="D8" s="475">
        <f>'1-συμβολαια'!D8</f>
        <v>0</v>
      </c>
      <c r="E8" s="399"/>
      <c r="F8" s="399"/>
      <c r="G8" s="399"/>
      <c r="H8" s="399"/>
      <c r="I8" s="399"/>
      <c r="J8" s="399"/>
      <c r="K8" s="410">
        <f>'1-συμβολαια'!N8</f>
        <v>24.8902</v>
      </c>
      <c r="L8" s="410">
        <f>'2-δικαιώμ'!O8+'5-αντίγρ'!O8</f>
        <v>2.6898</v>
      </c>
      <c r="M8" s="410">
        <v>3.1</v>
      </c>
      <c r="N8" s="476"/>
      <c r="O8" s="410">
        <f>'1-συμβολαια'!O8</f>
        <v>42.550000000000004</v>
      </c>
      <c r="P8" s="410"/>
      <c r="Q8" s="410"/>
      <c r="R8" s="476">
        <f>'10-φπα'!E8</f>
        <v>0</v>
      </c>
      <c r="S8" s="410"/>
      <c r="T8" s="410">
        <f>'13-ντιΜιΧο'!BZ8+'13-ντιΜιΧο'!CA8</f>
        <v>89.409999999999982</v>
      </c>
      <c r="U8" s="292">
        <f>'13-ντιΜιΧο'!CB8</f>
        <v>0</v>
      </c>
      <c r="V8" s="336"/>
      <c r="W8" s="326"/>
      <c r="X8" s="326"/>
      <c r="Y8" s="326"/>
      <c r="Z8" s="326"/>
      <c r="AA8" s="326"/>
      <c r="AB8" s="329"/>
    </row>
    <row r="9" spans="1:28" s="5" customFormat="1">
      <c r="A9" s="434">
        <f>'1-συμβολαια'!A9</f>
        <v>4604</v>
      </c>
      <c r="B9" s="474">
        <f>'1-συμβολαια'!B9</f>
        <v>10</v>
      </c>
      <c r="C9" s="472" t="str">
        <f>'1-συμβολαια'!C9</f>
        <v>γονικής 11.619καπολα ΔΙΟΡΘΩΣΗ</v>
      </c>
      <c r="D9" s="475">
        <f>'1-συμβολαια'!D9</f>
        <v>0</v>
      </c>
      <c r="E9" s="399"/>
      <c r="F9" s="399"/>
      <c r="G9" s="399"/>
      <c r="H9" s="399"/>
      <c r="I9" s="399"/>
      <c r="J9" s="399"/>
      <c r="K9" s="410">
        <f>'1-συμβολαια'!N9</f>
        <v>34.280200000000001</v>
      </c>
      <c r="L9" s="410">
        <f>'2-δικαιώμ'!O9+'5-αντίγρ'!O9</f>
        <v>2.6898</v>
      </c>
      <c r="M9" s="410">
        <v>3.1</v>
      </c>
      <c r="N9" s="476"/>
      <c r="O9" s="410">
        <f>'1-συμβολαια'!O9</f>
        <v>33.160000000000004</v>
      </c>
      <c r="P9" s="410"/>
      <c r="Q9" s="410"/>
      <c r="R9" s="476">
        <f>'10-φπα'!E9</f>
        <v>0</v>
      </c>
      <c r="S9" s="410"/>
      <c r="T9" s="410">
        <f>'13-ντιΜιΧο'!BZ9+'13-ντιΜιΧο'!CA9</f>
        <v>65.929999999999993</v>
      </c>
      <c r="U9" s="292">
        <f>'13-ντιΜιΧο'!CB9</f>
        <v>0</v>
      </c>
      <c r="V9" s="336"/>
      <c r="W9" s="326"/>
      <c r="X9" s="326"/>
      <c r="Y9" s="326"/>
      <c r="Z9" s="326"/>
      <c r="AA9" s="326"/>
      <c r="AB9" s="329"/>
    </row>
    <row r="10" spans="1:28" s="5" customFormat="1">
      <c r="A10" s="434">
        <f>'1-συμβολαια'!A10</f>
        <v>4605</v>
      </c>
      <c r="B10" s="474">
        <f>'1-συμβολαια'!B10</f>
        <v>10</v>
      </c>
      <c r="C10" s="472" t="str">
        <f>'1-συμβολαια'!C10</f>
        <v>* γονικής 11.618καπολα επικαρπίας ΕΝΣΩΜΑΤΩΣΗ {= παραίτηση αδερφής δικαιώματος οίκησης</v>
      </c>
      <c r="D10" s="475">
        <f>'1-συμβολαια'!D10</f>
        <v>2222</v>
      </c>
      <c r="E10" s="399"/>
      <c r="F10" s="399"/>
      <c r="G10" s="399"/>
      <c r="H10" s="399"/>
      <c r="I10" s="399"/>
      <c r="J10" s="399"/>
      <c r="K10" s="410">
        <f>'1-συμβολαια'!N10</f>
        <v>29.113288000000004</v>
      </c>
      <c r="L10" s="410">
        <f>'2-δικαιώμ'!O10+'5-αντίγρ'!O10</f>
        <v>6.6967119999999998</v>
      </c>
      <c r="M10" s="410">
        <v>6.7</v>
      </c>
      <c r="N10" s="476"/>
      <c r="O10" s="410">
        <f>'1-συμβολαια'!O10</f>
        <v>31.528079999999996</v>
      </c>
      <c r="P10" s="410"/>
      <c r="Q10" s="410">
        <f>'8-κ-15-17'!AG10</f>
        <v>17.220500000000001</v>
      </c>
      <c r="R10" s="476">
        <f>'10-φπα'!E10</f>
        <v>0</v>
      </c>
      <c r="S10" s="410"/>
      <c r="T10" s="410">
        <f>'13-ντιΜιΧο'!BZ10+'13-ντιΜιΧο'!CA10</f>
        <v>60.35</v>
      </c>
      <c r="U10" s="292">
        <f>'13-ντιΜιΧο'!CB10</f>
        <v>0</v>
      </c>
      <c r="V10" s="336"/>
      <c r="W10" s="326"/>
      <c r="X10" s="326"/>
      <c r="Y10" s="326"/>
      <c r="Z10" s="326"/>
      <c r="AA10" s="326"/>
      <c r="AB10" s="329"/>
    </row>
    <row r="11" spans="1:28" s="5" customFormat="1">
      <c r="A11" s="434">
        <f>'1-συμβολαια'!A11</f>
        <v>4606</v>
      </c>
      <c r="B11" s="474">
        <f>'1-συμβολαια'!B11</f>
        <v>40</v>
      </c>
      <c r="C11" s="472" t="str">
        <f>'1-συμβολαια'!C11</f>
        <v>πληρεξούσιο</v>
      </c>
      <c r="D11" s="475">
        <f>'1-συμβολαια'!D11</f>
        <v>0</v>
      </c>
      <c r="E11" s="399"/>
      <c r="F11" s="399"/>
      <c r="G11" s="399"/>
      <c r="H11" s="399"/>
      <c r="I11" s="399"/>
      <c r="J11" s="399"/>
      <c r="K11" s="410">
        <f>'1-συμβολαια'!N11</f>
        <v>22.376100000000001</v>
      </c>
      <c r="L11" s="410">
        <f>'2-δικαιώμ'!O11+'5-αντίγρ'!O11</f>
        <v>1.6239000000000001</v>
      </c>
      <c r="M11" s="410">
        <v>2.0299999999999998</v>
      </c>
      <c r="N11" s="476"/>
      <c r="O11" s="410">
        <f>'1-συμβολαια'!O11</f>
        <v>15.009999999999998</v>
      </c>
      <c r="P11" s="410"/>
      <c r="Q11" s="410"/>
      <c r="R11" s="476">
        <f>'10-φπα'!E11</f>
        <v>0</v>
      </c>
      <c r="S11" s="410"/>
      <c r="T11" s="410">
        <f>'13-ντιΜιΧο'!BZ11+'13-ντιΜιΧο'!CA11</f>
        <v>0</v>
      </c>
      <c r="U11" s="292">
        <f>'13-ντιΜιΧο'!CB11</f>
        <v>0</v>
      </c>
      <c r="V11" s="336"/>
      <c r="W11" s="326"/>
      <c r="X11" s="326"/>
      <c r="Y11" s="326"/>
      <c r="Z11" s="326"/>
      <c r="AA11" s="326"/>
      <c r="AB11" s="329"/>
    </row>
    <row r="12" spans="1:28" s="5" customFormat="1">
      <c r="A12" s="434">
        <f>'1-συμβολαια'!A12</f>
        <v>4607</v>
      </c>
      <c r="B12" s="474">
        <f>'1-συμβολαια'!B12</f>
        <v>11</v>
      </c>
      <c r="C12" s="472" t="str">
        <f>'1-συμβολαια'!C12</f>
        <v>αγοραπωλησίας 3.919 ΔΙΟΡΘΩΣΗ</v>
      </c>
      <c r="D12" s="475">
        <f>'1-συμβολαια'!D12</f>
        <v>0</v>
      </c>
      <c r="E12" s="399"/>
      <c r="F12" s="399"/>
      <c r="G12" s="399"/>
      <c r="H12" s="399"/>
      <c r="I12" s="399"/>
      <c r="J12" s="399"/>
      <c r="K12" s="410">
        <f>'1-συμβολαια'!N12</f>
        <v>43.670200000000001</v>
      </c>
      <c r="L12" s="410">
        <f>'2-δικαιώμ'!O12+'5-αντίγρ'!O12</f>
        <v>2.6898</v>
      </c>
      <c r="M12" s="410">
        <v>3.1</v>
      </c>
      <c r="N12" s="476"/>
      <c r="O12" s="410">
        <f>'1-συμβολαια'!O12</f>
        <v>11.439999999999998</v>
      </c>
      <c r="P12" s="410"/>
      <c r="Q12" s="410"/>
      <c r="R12" s="476">
        <f>'10-φπα'!E12</f>
        <v>0</v>
      </c>
      <c r="S12" s="410"/>
      <c r="T12" s="410">
        <f>'13-ντιΜιΧο'!BZ12+'13-ντιΜιΧο'!CA12</f>
        <v>65.64</v>
      </c>
      <c r="U12" s="292">
        <f>'13-ντιΜιΧο'!CB12</f>
        <v>0</v>
      </c>
      <c r="V12" s="336"/>
      <c r="W12" s="326"/>
      <c r="X12" s="326"/>
      <c r="Y12" s="326"/>
      <c r="Z12" s="326"/>
      <c r="AA12" s="326"/>
      <c r="AB12" s="329"/>
    </row>
    <row r="13" spans="1:28" s="5" customFormat="1">
      <c r="A13" s="434">
        <f>'1-συμβολαια'!A13</f>
        <v>4608</v>
      </c>
      <c r="B13" s="474">
        <f>'1-συμβολαια'!B13</f>
        <v>14</v>
      </c>
      <c r="C13" s="472" t="str">
        <f>'1-συμβολαια'!C13</f>
        <v>αγοραπωλησία τίμημα = Δ.Ο.Υ. =</v>
      </c>
      <c r="D13" s="475">
        <f>'1-συμβολαια'!D13</f>
        <v>1572.77</v>
      </c>
      <c r="E13" s="451"/>
      <c r="F13" s="451"/>
      <c r="G13" s="451"/>
      <c r="H13" s="451"/>
      <c r="I13" s="451"/>
      <c r="J13" s="451"/>
      <c r="K13" s="410">
        <f>'1-συμβολαια'!N13</f>
        <v>63.450702000000007</v>
      </c>
      <c r="L13" s="410">
        <f>'2-δικαιώμ'!O13+'5-αντίγρ'!O13</f>
        <v>6.9492979999999989</v>
      </c>
      <c r="M13" s="410">
        <v>6.95</v>
      </c>
      <c r="N13" s="476"/>
      <c r="O13" s="410">
        <f>'1-συμβολαια'!O13</f>
        <v>7.9273199999999804</v>
      </c>
      <c r="P13" s="410"/>
      <c r="Q13" s="410"/>
      <c r="R13" s="476">
        <f>'10-φπα'!E13</f>
        <v>0</v>
      </c>
      <c r="S13" s="410"/>
      <c r="T13" s="410">
        <f>'13-ντιΜιΧο'!BZ13+'13-ντιΜιΧο'!CA13</f>
        <v>210.07</v>
      </c>
      <c r="U13" s="292">
        <f>'13-ντιΜιΧο'!CB13</f>
        <v>0</v>
      </c>
      <c r="V13" s="336"/>
      <c r="W13" s="326"/>
      <c r="X13" s="326"/>
      <c r="Y13" s="326"/>
      <c r="Z13" s="326"/>
      <c r="AA13" s="326"/>
      <c r="AB13" s="329"/>
    </row>
    <row r="14" spans="1:28" s="5" customFormat="1">
      <c r="A14" s="434">
        <f>'1-συμβολαια'!A14</f>
        <v>4609</v>
      </c>
      <c r="B14" s="474">
        <f>'1-συμβολαια'!B14</f>
        <v>14</v>
      </c>
      <c r="C14" s="472" t="str">
        <f>'1-συμβολαια'!C14</f>
        <v>αγοραπωλησία τίμημα = 6.057,27 Δ.Ο.Υ. =</v>
      </c>
      <c r="D14" s="475">
        <f>'1-συμβολαια'!D14</f>
        <v>18257.27</v>
      </c>
      <c r="E14" s="451"/>
      <c r="F14" s="451"/>
      <c r="G14" s="451"/>
      <c r="H14" s="451"/>
      <c r="I14" s="451"/>
      <c r="J14" s="451"/>
      <c r="K14" s="410">
        <f>'1-συμβολαια'!N14</f>
        <v>253.008602</v>
      </c>
      <c r="L14" s="410">
        <f>'2-δικαιώμ'!O14+'5-αντίγρ'!O14</f>
        <v>36.981397999999999</v>
      </c>
      <c r="M14" s="410">
        <v>36.979999999999997</v>
      </c>
      <c r="N14" s="476"/>
      <c r="O14" s="410">
        <f>'1-συμβολαια'!O14</f>
        <v>-11.448679999999968</v>
      </c>
      <c r="P14" s="410"/>
      <c r="Q14" s="410"/>
      <c r="R14" s="476">
        <f>'10-φπα'!E14</f>
        <v>0</v>
      </c>
      <c r="S14" s="410"/>
      <c r="T14" s="410">
        <f>'13-ντιΜιΧο'!BZ14+'13-ντιΜιΧο'!CA14</f>
        <v>242.34</v>
      </c>
      <c r="U14" s="292">
        <f>'13-ντιΜιΧο'!CB14</f>
        <v>0</v>
      </c>
      <c r="V14" s="336"/>
      <c r="W14" s="326"/>
      <c r="X14" s="326"/>
      <c r="Y14" s="326"/>
      <c r="Z14" s="326"/>
      <c r="AA14" s="326"/>
      <c r="AB14" s="329"/>
    </row>
    <row r="15" spans="1:28" s="5" customFormat="1">
      <c r="A15" s="434">
        <f>'1-συμβολαια'!A15</f>
        <v>4610</v>
      </c>
      <c r="B15" s="474">
        <f>'1-συμβολαια'!B15</f>
        <v>14</v>
      </c>
      <c r="C15" s="472" t="str">
        <f>'1-συμβολαια'!C15</f>
        <v>πληρεξούσιο</v>
      </c>
      <c r="D15" s="475">
        <f>'1-συμβολαια'!D15</f>
        <v>0</v>
      </c>
      <c r="E15" s="451"/>
      <c r="F15" s="451"/>
      <c r="G15" s="451"/>
      <c r="H15" s="451"/>
      <c r="I15" s="451"/>
      <c r="J15" s="451"/>
      <c r="K15" s="410">
        <f>'1-συμβολαια'!N15</f>
        <v>25.6114</v>
      </c>
      <c r="L15" s="410">
        <f>'2-δικαιώμ'!O15+'5-αντίγρ'!O15</f>
        <v>1.2686000000000002</v>
      </c>
      <c r="M15" s="410">
        <v>1.27</v>
      </c>
      <c r="N15" s="476"/>
      <c r="O15" s="410">
        <f>'1-συμβολαια'!O15</f>
        <v>-8.6900000000000013</v>
      </c>
      <c r="P15" s="410"/>
      <c r="Q15" s="410">
        <f>'8-κ-15-17'!AG15</f>
        <v>0</v>
      </c>
      <c r="R15" s="476">
        <f>'10-φπα'!E15</f>
        <v>0</v>
      </c>
      <c r="S15" s="410">
        <f>'11-χαρτόσ'!L15</f>
        <v>0</v>
      </c>
      <c r="T15" s="410">
        <f>'13-ντιΜιΧο'!BZ15+'13-ντιΜιΧο'!CA15</f>
        <v>0.3</v>
      </c>
      <c r="U15" s="292">
        <f>'13-ντιΜιΧο'!CB15</f>
        <v>0</v>
      </c>
      <c r="V15" s="336"/>
      <c r="W15" s="326"/>
      <c r="X15" s="326"/>
      <c r="Y15" s="326"/>
      <c r="Z15" s="326"/>
      <c r="AA15" s="326"/>
      <c r="AB15" s="329"/>
    </row>
    <row r="16" spans="1:28" s="5" customFormat="1">
      <c r="A16" s="473">
        <f>'1-συμβολαια'!A16</f>
        <v>4611</v>
      </c>
      <c r="B16" s="474">
        <f>'1-συμβολαια'!B16</f>
        <v>15</v>
      </c>
      <c r="C16" s="472" t="str">
        <f>'1-συμβολαια'!C16</f>
        <v>γονική</v>
      </c>
      <c r="D16" s="475">
        <f>'1-συμβολαια'!D16</f>
        <v>33521.660000000003</v>
      </c>
      <c r="E16" s="451"/>
      <c r="F16" s="451"/>
      <c r="G16" s="451"/>
      <c r="H16" s="451"/>
      <c r="I16" s="451"/>
      <c r="J16" s="451"/>
      <c r="K16" s="410">
        <f>'1-συμβολαια'!N16</f>
        <v>409.91150000000005</v>
      </c>
      <c r="L16" s="410">
        <f>'2-δικαιώμ'!O16+'5-αντίγρ'!O16</f>
        <v>65.878500000000003</v>
      </c>
      <c r="M16" s="410">
        <v>86.3</v>
      </c>
      <c r="N16" s="476"/>
      <c r="O16" s="410">
        <f>'1-συμβολαια'!O16</f>
        <v>4.7039999999999509</v>
      </c>
      <c r="P16" s="410"/>
      <c r="Q16" s="410">
        <f>'8-κ-15-17'!AG16</f>
        <v>0</v>
      </c>
      <c r="R16" s="476">
        <f>'10-φπα'!E16</f>
        <v>0</v>
      </c>
      <c r="S16" s="410">
        <f>'11-χαρτόσ'!L16</f>
        <v>0</v>
      </c>
      <c r="T16" s="410">
        <f>'13-ντιΜιΧο'!BZ16+'13-ντιΜιΧο'!CA16</f>
        <v>259.07819999999998</v>
      </c>
      <c r="U16" s="292">
        <f>'13-ντιΜιΧο'!CB16</f>
        <v>0</v>
      </c>
      <c r="V16" s="336"/>
      <c r="W16" s="326"/>
      <c r="X16" s="326"/>
      <c r="Y16" s="326"/>
      <c r="Z16" s="326"/>
      <c r="AA16" s="326"/>
      <c r="AB16" s="329"/>
    </row>
    <row r="17" spans="1:28" s="5" customFormat="1">
      <c r="A17" s="473">
        <f>'1-συμβολαια'!A17</f>
        <v>0</v>
      </c>
      <c r="B17" s="474">
        <f>'1-συμβολαια'!B17</f>
        <v>0</v>
      </c>
      <c r="C17" s="472" t="str">
        <f>'1-συμβολαια'!C17</f>
        <v>ΧΡΗΣΙΚΤΗΣΙΑ οικοπέδου = 1973 κυπαρισσίουΠαναγιώτη ΑΓΟΡΑΠΩΛΗΣΙΑ άτυπη</v>
      </c>
      <c r="D17" s="475">
        <f>'1-συμβολαια'!D17</f>
        <v>2222</v>
      </c>
      <c r="E17" s="451"/>
      <c r="F17" s="451"/>
      <c r="G17" s="451"/>
      <c r="H17" s="451"/>
      <c r="I17" s="451"/>
      <c r="J17" s="451"/>
      <c r="K17" s="410"/>
      <c r="L17" s="410">
        <f>'2-δικαιώμ'!O17+'5-αντίγρ'!O17</f>
        <v>5.275512</v>
      </c>
      <c r="M17" s="410"/>
      <c r="N17" s="476"/>
      <c r="O17" s="410">
        <f>'1-συμβολαια'!O17</f>
        <v>51.762568000000002</v>
      </c>
      <c r="P17" s="410">
        <f t="shared" si="0"/>
        <v>5.275512</v>
      </c>
      <c r="Q17" s="410">
        <f>'8-κ-15-17'!AG17</f>
        <v>17.220500000000001</v>
      </c>
      <c r="R17" s="476">
        <f>'10-φπα'!E17</f>
        <v>0</v>
      </c>
      <c r="S17" s="410">
        <f>'11-χαρτόσ'!L17</f>
        <v>0</v>
      </c>
      <c r="T17" s="410">
        <f>'13-ντιΜιΧο'!BZ17+'13-ντιΜιΧο'!CA17</f>
        <v>0</v>
      </c>
      <c r="U17" s="292">
        <f>'13-ντιΜιΧο'!CB17</f>
        <v>0</v>
      </c>
      <c r="V17" s="336"/>
      <c r="W17" s="326"/>
      <c r="X17" s="326"/>
      <c r="Y17" s="326"/>
      <c r="Z17" s="326"/>
      <c r="AA17" s="326"/>
      <c r="AB17" s="329"/>
    </row>
    <row r="18" spans="1:28" s="5" customFormat="1">
      <c r="A18" s="473">
        <f>'1-συμβολαια'!A18</f>
        <v>0</v>
      </c>
      <c r="B18" s="474">
        <f>'1-συμβολαια'!B18</f>
        <v>0</v>
      </c>
      <c r="C18" s="472" t="str">
        <f>'1-συμβολαια'!C18</f>
        <v>οριζόντιος ΣΥΣΤΑΣΗ</v>
      </c>
      <c r="D18" s="475">
        <f>'1-συμβολαια'!D18</f>
        <v>0</v>
      </c>
      <c r="E18" s="451"/>
      <c r="F18" s="451"/>
      <c r="G18" s="451"/>
      <c r="H18" s="451"/>
      <c r="I18" s="451"/>
      <c r="J18" s="451"/>
      <c r="K18" s="410"/>
      <c r="L18" s="410">
        <f>'2-δικαιώμ'!O18+'5-αντίγρ'!O18</f>
        <v>4.6069000000000004</v>
      </c>
      <c r="M18" s="410"/>
      <c r="N18" s="476"/>
      <c r="O18" s="410">
        <f>'1-συμβολαια'!O18</f>
        <v>87.523099999999985</v>
      </c>
      <c r="P18" s="410">
        <f t="shared" si="0"/>
        <v>4.6069000000000004</v>
      </c>
      <c r="Q18" s="410">
        <f>'8-κ-15-17'!AG18</f>
        <v>0</v>
      </c>
      <c r="R18" s="476">
        <f>'10-φπα'!E18</f>
        <v>0</v>
      </c>
      <c r="S18" s="410">
        <f>'11-χαρτόσ'!L18</f>
        <v>0</v>
      </c>
      <c r="T18" s="410">
        <f>'13-ντιΜιΧο'!BZ18+'13-ντιΜιΧο'!CA18</f>
        <v>29.94</v>
      </c>
      <c r="U18" s="292">
        <f>'13-ντιΜιΧο'!CB18</f>
        <v>0</v>
      </c>
      <c r="V18" s="336"/>
      <c r="W18" s="326"/>
      <c r="X18" s="326"/>
      <c r="Y18" s="326"/>
      <c r="Z18" s="326"/>
      <c r="AA18" s="326"/>
      <c r="AB18" s="329"/>
    </row>
    <row r="19" spans="1:28" s="5" customFormat="1">
      <c r="A19" s="434">
        <f>'1-συμβολαια'!A19</f>
        <v>4612</v>
      </c>
      <c r="B19" s="474">
        <f>'1-συμβολαια'!B19</f>
        <v>15</v>
      </c>
      <c r="C19" s="472" t="str">
        <f>'1-συμβολαια'!C19</f>
        <v>κληρονομιάς ΑΠΟΔΟΧΗ</v>
      </c>
      <c r="D19" s="475">
        <f>'1-συμβολαια'!D19</f>
        <v>0</v>
      </c>
      <c r="E19" s="451"/>
      <c r="F19" s="451"/>
      <c r="G19" s="451"/>
      <c r="H19" s="451"/>
      <c r="I19" s="451"/>
      <c r="J19" s="451"/>
      <c r="K19" s="410">
        <f>'1-συμβολαια'!N19</f>
        <v>67.643799999999999</v>
      </c>
      <c r="L19" s="410">
        <f>'2-δικαιώμ'!O19+'5-αντίγρ'!O19</f>
        <v>6.4262000000000006</v>
      </c>
      <c r="M19" s="410">
        <v>6.43</v>
      </c>
      <c r="N19" s="476"/>
      <c r="O19" s="410">
        <f>'1-συμβολαια'!O19</f>
        <v>44.209999999999994</v>
      </c>
      <c r="P19" s="410"/>
      <c r="Q19" s="410"/>
      <c r="R19" s="476">
        <f>'10-φπα'!E19</f>
        <v>0</v>
      </c>
      <c r="S19" s="410">
        <f>'11-χαρτόσ'!L19</f>
        <v>0</v>
      </c>
      <c r="T19" s="410">
        <f>'13-ντιΜιΧο'!BZ19+'13-ντιΜιΧο'!CA19</f>
        <v>279.89</v>
      </c>
      <c r="U19" s="292">
        <f>'13-ντιΜιΧο'!CB19</f>
        <v>0</v>
      </c>
      <c r="V19" s="336"/>
      <c r="W19" s="326"/>
      <c r="X19" s="326"/>
      <c r="Y19" s="326"/>
      <c r="Z19" s="326"/>
      <c r="AA19" s="326"/>
      <c r="AB19" s="329"/>
    </row>
    <row r="20" spans="1:28" s="5" customFormat="1">
      <c r="A20" s="434">
        <f>'1-συμβολαια'!A20</f>
        <v>4613</v>
      </c>
      <c r="B20" s="474">
        <f>'1-συμβολαια'!B20</f>
        <v>15</v>
      </c>
      <c r="C20" s="472" t="str">
        <f>'1-συμβολαια'!C20</f>
        <v>γονική</v>
      </c>
      <c r="D20" s="475">
        <f>'1-συμβολαια'!D20</f>
        <v>6213.36</v>
      </c>
      <c r="E20" s="451"/>
      <c r="F20" s="451"/>
      <c r="G20" s="451"/>
      <c r="H20" s="451"/>
      <c r="I20" s="451"/>
      <c r="J20" s="451"/>
      <c r="K20" s="410">
        <f>'1-συμβολαια'!N20</f>
        <v>122.68704000000002</v>
      </c>
      <c r="L20" s="410">
        <f>'2-δικαιώμ'!O20+'5-αντίγρ'!O20</f>
        <v>16.01296</v>
      </c>
      <c r="M20" s="410">
        <v>16.010000000000002</v>
      </c>
      <c r="N20" s="476"/>
      <c r="O20" s="410">
        <f>'1-συμβολαια'!O20</f>
        <v>7.9343999999999824</v>
      </c>
      <c r="P20" s="410"/>
      <c r="Q20" s="410"/>
      <c r="R20" s="476">
        <f>'10-φπα'!E20</f>
        <v>0</v>
      </c>
      <c r="S20" s="410">
        <f>'11-χαρτόσ'!L20</f>
        <v>0</v>
      </c>
      <c r="T20" s="410">
        <f>'13-ντιΜιΧο'!BZ20+'13-ντιΜιΧο'!CA20</f>
        <v>233.82999999999998</v>
      </c>
      <c r="U20" s="292">
        <f>'13-ντιΜιΧο'!CB20</f>
        <v>0</v>
      </c>
      <c r="V20" s="336"/>
      <c r="W20" s="326"/>
      <c r="X20" s="326"/>
      <c r="Y20" s="326"/>
      <c r="Z20" s="326"/>
      <c r="AA20" s="326"/>
      <c r="AB20" s="329"/>
    </row>
    <row r="21" spans="1:28" s="5" customFormat="1">
      <c r="A21" s="434">
        <f>'1-συμβολαια'!A21</f>
        <v>4614</v>
      </c>
      <c r="B21" s="474">
        <f>'1-συμβολαια'!B21</f>
        <v>15</v>
      </c>
      <c r="C21" s="472" t="str">
        <f>'1-συμβολαια'!C21</f>
        <v>διαθήκη</v>
      </c>
      <c r="D21" s="475">
        <f>'1-συμβολαια'!D21</f>
        <v>0</v>
      </c>
      <c r="E21" s="451"/>
      <c r="F21" s="451"/>
      <c r="G21" s="451"/>
      <c r="H21" s="451"/>
      <c r="I21" s="451"/>
      <c r="J21" s="451"/>
      <c r="K21" s="410">
        <f>'1-συμβολαια'!N21</f>
        <v>65.853099999999998</v>
      </c>
      <c r="L21" s="410">
        <f>'2-δικαιώμ'!O21+'5-αντίγρ'!O21</f>
        <v>1.4668999999999999</v>
      </c>
      <c r="M21" s="410">
        <v>1.47</v>
      </c>
      <c r="N21" s="476"/>
      <c r="O21" s="410">
        <f>'1-συμβολαια'!O21</f>
        <v>8.9699999999999989</v>
      </c>
      <c r="P21" s="410"/>
      <c r="Q21" s="410">
        <f>'8-κ-15-17'!AG21</f>
        <v>0</v>
      </c>
      <c r="R21" s="476">
        <f>'10-φπα'!E21</f>
        <v>0</v>
      </c>
      <c r="S21" s="410">
        <f>'11-χαρτόσ'!L21</f>
        <v>0</v>
      </c>
      <c r="T21" s="410">
        <f>'13-ντιΜιΧο'!BZ21+'13-ντιΜιΧο'!CA21</f>
        <v>0.3</v>
      </c>
      <c r="U21" s="292">
        <f>'13-ντιΜιΧο'!CB21</f>
        <v>0</v>
      </c>
      <c r="V21" s="336"/>
      <c r="W21" s="326"/>
      <c r="X21" s="326"/>
      <c r="Y21" s="326"/>
      <c r="Z21" s="326"/>
      <c r="AA21" s="326"/>
      <c r="AB21" s="329"/>
    </row>
    <row r="22" spans="1:28" s="5" customFormat="1">
      <c r="A22" s="473">
        <f>'1-συμβολαια'!A22</f>
        <v>4615</v>
      </c>
      <c r="B22" s="474">
        <f>'1-συμβολαια'!B22</f>
        <v>15</v>
      </c>
      <c r="C22" s="472" t="str">
        <f>'1-συμβολαια'!C22</f>
        <v>δωρεά</v>
      </c>
      <c r="D22" s="475">
        <f>'1-συμβολαια'!D22</f>
        <v>16035.1</v>
      </c>
      <c r="E22" s="451"/>
      <c r="F22" s="451"/>
      <c r="G22" s="451"/>
      <c r="H22" s="451"/>
      <c r="I22" s="451"/>
      <c r="J22" s="451"/>
      <c r="K22" s="410">
        <f>'1-συμβολαια'!N22</f>
        <v>243.65610799999999</v>
      </c>
      <c r="L22" s="410">
        <f>'2-δικαιώμ'!O22+'5-αντίγρ'!O22</f>
        <v>35.823892000000001</v>
      </c>
      <c r="M22" s="410">
        <v>35.82</v>
      </c>
      <c r="N22" s="476"/>
      <c r="O22" s="410">
        <f>'1-συμβολαια'!O22</f>
        <v>42.525279999999981</v>
      </c>
      <c r="P22" s="410"/>
      <c r="Q22" s="410">
        <f>'8-κ-15-17'!AG22</f>
        <v>2.0250000000032742E-3</v>
      </c>
      <c r="R22" s="476">
        <f>'10-φπα'!E22</f>
        <v>0</v>
      </c>
      <c r="S22" s="410">
        <f>'11-χαρτόσ'!L22</f>
        <v>0</v>
      </c>
      <c r="T22" s="410">
        <f>'13-ντιΜιΧο'!BZ22+'13-ντιΜιΧο'!CA22</f>
        <v>239.84000000000003</v>
      </c>
      <c r="U22" s="292">
        <f>'13-ντιΜιΧο'!CB22</f>
        <v>0</v>
      </c>
      <c r="V22" s="336"/>
      <c r="W22" s="326"/>
      <c r="X22" s="326"/>
      <c r="Y22" s="326"/>
      <c r="Z22" s="326"/>
      <c r="AA22" s="326"/>
      <c r="AB22" s="329"/>
    </row>
    <row r="23" spans="1:28" s="5" customFormat="1">
      <c r="A23" s="473">
        <f>'1-συμβολαια'!A23</f>
        <v>0</v>
      </c>
      <c r="B23" s="474">
        <f>'1-συμβολαια'!B23</f>
        <v>0</v>
      </c>
      <c r="C23" s="472" t="str">
        <f>'1-συμβολαια'!C23</f>
        <v>ΧΡΗΣΙΚΤΗΣΙΑ οικοπέδου &amp; οικίας = 1935 πατρός ΔΩΡΕΑ άτυπη</v>
      </c>
      <c r="D23" s="475">
        <f>'1-συμβολαια'!D23</f>
        <v>6666</v>
      </c>
      <c r="E23" s="451"/>
      <c r="F23" s="451"/>
      <c r="G23" s="451"/>
      <c r="H23" s="451"/>
      <c r="I23" s="451"/>
      <c r="J23" s="451"/>
      <c r="K23" s="410"/>
      <c r="L23" s="410">
        <f>'2-δικαιώμ'!O23+'5-αντίγρ'!O23</f>
        <v>13.274712000000001</v>
      </c>
      <c r="M23" s="410"/>
      <c r="N23" s="476"/>
      <c r="O23" s="410">
        <f>'1-συμβολαια'!O23</f>
        <v>105.90136800000001</v>
      </c>
      <c r="P23" s="410">
        <f t="shared" si="0"/>
        <v>13.274712000000001</v>
      </c>
      <c r="Q23" s="410">
        <f>'8-κ-15-17'!AG23</f>
        <v>51.661500000000004</v>
      </c>
      <c r="R23" s="476">
        <f>'10-φπα'!E23</f>
        <v>0</v>
      </c>
      <c r="S23" s="410">
        <f>'11-χαρτόσ'!L23</f>
        <v>0</v>
      </c>
      <c r="T23" s="410">
        <f>'13-ντιΜιΧο'!BZ23+'13-ντιΜιΧο'!CA23</f>
        <v>0</v>
      </c>
      <c r="U23" s="292">
        <f>'13-ντιΜιΧο'!CB23</f>
        <v>0</v>
      </c>
      <c r="V23" s="336"/>
      <c r="W23" s="326"/>
      <c r="X23" s="326"/>
      <c r="Y23" s="326"/>
      <c r="Z23" s="326"/>
      <c r="AA23" s="326"/>
      <c r="AB23" s="329"/>
    </row>
    <row r="24" spans="1:28" s="5" customFormat="1">
      <c r="A24" s="547">
        <f>'1-συμβολαια'!A24</f>
        <v>4616</v>
      </c>
      <c r="B24" s="474">
        <f>'1-συμβολαια'!B24</f>
        <v>17</v>
      </c>
      <c r="C24" s="472" t="str">
        <f>'1-συμβολαια'!C24</f>
        <v>δωρεά</v>
      </c>
      <c r="D24" s="475">
        <f>'1-συμβολαια'!D24</f>
        <v>9933.0499999999993</v>
      </c>
      <c r="E24" s="451"/>
      <c r="F24" s="451"/>
      <c r="G24" s="451"/>
      <c r="H24" s="451"/>
      <c r="I24" s="451"/>
      <c r="J24" s="451"/>
      <c r="K24" s="410">
        <f>'1-συμβολαια'!N24</f>
        <v>160.631598</v>
      </c>
      <c r="L24" s="410">
        <f>'2-δικαιώμ'!O24+'5-αντίγρ'!O24</f>
        <v>22.708402</v>
      </c>
      <c r="M24" s="410">
        <v>22.71</v>
      </c>
      <c r="N24" s="476"/>
      <c r="O24" s="410">
        <f>'1-συμβολαια'!O24</f>
        <v>137.92159799999999</v>
      </c>
      <c r="P24" s="410"/>
      <c r="Q24" s="410"/>
      <c r="R24" s="476">
        <f>'10-φπα'!E24</f>
        <v>0</v>
      </c>
      <c r="S24" s="410">
        <f>'11-χαρτόσ'!L24</f>
        <v>0</v>
      </c>
      <c r="T24" s="410">
        <f>'13-ντιΜιΧο'!BZ24+'13-ντιΜιΧο'!CA24</f>
        <v>239.39</v>
      </c>
      <c r="U24" s="292">
        <f>'13-ντιΜιΧο'!CB24</f>
        <v>0</v>
      </c>
      <c r="V24" s="336"/>
      <c r="W24" s="326"/>
      <c r="X24" s="326"/>
      <c r="Y24" s="326"/>
      <c r="Z24" s="326"/>
      <c r="AA24" s="326"/>
      <c r="AB24" s="329"/>
    </row>
    <row r="25" spans="1:28" s="5" customFormat="1">
      <c r="A25" s="547">
        <f>'1-συμβολαια'!A25</f>
        <v>0</v>
      </c>
      <c r="B25" s="474">
        <f>'1-συμβολαια'!B25</f>
        <v>0</v>
      </c>
      <c r="C25" s="472" t="str">
        <f>'1-συμβολαια'!C25</f>
        <v>ΧΡΗΣΙΚΤΗΣΙΑ αγροτεμαχίου = 1925 πατρός ΔΩΡΕΑ άτυπη</v>
      </c>
      <c r="D25" s="475">
        <f>'1-συμβολαια'!D25</f>
        <v>1111</v>
      </c>
      <c r="E25" s="451"/>
      <c r="F25" s="451"/>
      <c r="G25" s="451"/>
      <c r="H25" s="451"/>
      <c r="I25" s="451"/>
      <c r="J25" s="451"/>
      <c r="K25" s="410"/>
      <c r="L25" s="410">
        <f>'2-δικαιώμ'!O25+'5-αντίγρ'!O25</f>
        <v>3.275712</v>
      </c>
      <c r="M25" s="410"/>
      <c r="N25" s="476"/>
      <c r="O25" s="410">
        <f>'1-συμβολαια'!O25</f>
        <v>43.370367999999999</v>
      </c>
      <c r="P25" s="410"/>
      <c r="Q25" s="410">
        <f>'8-κ-15-17'!AG25</f>
        <v>8.6102500000000006</v>
      </c>
      <c r="R25" s="476">
        <f>'10-φπα'!E25</f>
        <v>0</v>
      </c>
      <c r="S25" s="410">
        <f>'11-χαρτόσ'!L25</f>
        <v>0</v>
      </c>
      <c r="T25" s="410">
        <f>'13-ντιΜιΧο'!BZ25+'13-ντιΜιΧο'!CA25</f>
        <v>0</v>
      </c>
      <c r="U25" s="292">
        <f>'13-ντιΜιΧο'!CB25</f>
        <v>0</v>
      </c>
      <c r="V25" s="336"/>
      <c r="W25" s="326"/>
      <c r="X25" s="326"/>
      <c r="Y25" s="326"/>
      <c r="Z25" s="326"/>
      <c r="AA25" s="326"/>
      <c r="AB25" s="329"/>
    </row>
    <row r="26" spans="1:28" s="5" customFormat="1">
      <c r="A26" s="547">
        <f>'1-συμβολαια'!A26</f>
        <v>0</v>
      </c>
      <c r="B26" s="474">
        <f>'1-συμβολαια'!B26</f>
        <v>0</v>
      </c>
      <c r="C26" s="472" t="str">
        <f>'1-συμβολαια'!C26</f>
        <v>ΧΡΗΣΙΚΤΗΣΙΑ αγροτεμαχίου (νυν οικόπεδο) = 1975 ΑΝΑΔΑΣΜΟΣ</v>
      </c>
      <c r="D26" s="475">
        <f>'1-συμβολαια'!D26</f>
        <v>3333</v>
      </c>
      <c r="E26" s="451"/>
      <c r="F26" s="451"/>
      <c r="G26" s="451"/>
      <c r="H26" s="451"/>
      <c r="I26" s="451"/>
      <c r="J26" s="451"/>
      <c r="K26" s="410"/>
      <c r="L26" s="410">
        <f>'2-δικαιώμ'!O26+'5-αντίγρ'!O26</f>
        <v>7.2753120000000013</v>
      </c>
      <c r="M26" s="410"/>
      <c r="N26" s="476"/>
      <c r="O26" s="410">
        <f>'1-συμβολαια'!O26</f>
        <v>59.574767999999999</v>
      </c>
      <c r="P26" s="410">
        <f t="shared" si="0"/>
        <v>7.2753120000000013</v>
      </c>
      <c r="Q26" s="410">
        <f>'8-κ-15-17'!AG26</f>
        <v>25.830750000000002</v>
      </c>
      <c r="R26" s="476">
        <f>'10-φπα'!E26</f>
        <v>0</v>
      </c>
      <c r="S26" s="410">
        <f>'11-χαρτόσ'!L26</f>
        <v>0</v>
      </c>
      <c r="T26" s="410">
        <f>'13-ντιΜιΧο'!BZ26+'13-ντιΜιΧο'!CA26</f>
        <v>0</v>
      </c>
      <c r="U26" s="292">
        <f>'13-ντιΜιΧο'!CB26</f>
        <v>0</v>
      </c>
      <c r="V26" s="336"/>
      <c r="W26" s="326"/>
      <c r="X26" s="326"/>
      <c r="Y26" s="326"/>
      <c r="Z26" s="326"/>
      <c r="AA26" s="326"/>
      <c r="AB26" s="329"/>
    </row>
    <row r="27" spans="1:28" s="5" customFormat="1">
      <c r="A27" s="473">
        <f>'1-συμβολαια'!A27</f>
        <v>4617</v>
      </c>
      <c r="B27" s="474">
        <f>'1-συμβολαια'!B27</f>
        <v>17</v>
      </c>
      <c r="C27" s="472" t="str">
        <f>'1-συμβολαια'!C27</f>
        <v>προσύμφωνο μεταβιβάσεως ποσοστών οικοπέδου</v>
      </c>
      <c r="D27" s="475">
        <f>'1-συμβολαια'!D27</f>
        <v>0</v>
      </c>
      <c r="E27" s="451"/>
      <c r="F27" s="451"/>
      <c r="G27" s="451"/>
      <c r="H27" s="451"/>
      <c r="I27" s="451"/>
      <c r="J27" s="451"/>
      <c r="K27" s="410">
        <f>'1-συμβολαια'!N27</f>
        <v>-8.0739999999999998</v>
      </c>
      <c r="L27" s="410">
        <f>'2-δικαιώμ'!O27+'5-αντίγρ'!O27</f>
        <v>8.0739999999999998</v>
      </c>
      <c r="M27" s="410"/>
      <c r="N27" s="476"/>
      <c r="O27" s="410">
        <f>'1-συμβολαια'!O27</f>
        <v>99.77</v>
      </c>
      <c r="P27" s="410">
        <f t="shared" si="0"/>
        <v>8.0739999999999998</v>
      </c>
      <c r="Q27" s="410">
        <f>'8-κ-15-17'!AG27</f>
        <v>0</v>
      </c>
      <c r="R27" s="476">
        <f>'10-φπα'!E27</f>
        <v>0</v>
      </c>
      <c r="S27" s="410">
        <f>'11-χαρτόσ'!L27</f>
        <v>0</v>
      </c>
      <c r="T27" s="410">
        <f>'13-ντιΜιΧο'!BZ27+'13-ντιΜιΧο'!CA27</f>
        <v>0</v>
      </c>
      <c r="U27" s="292">
        <f>'13-ντιΜιΧο'!CB27</f>
        <v>0</v>
      </c>
      <c r="V27" s="336"/>
      <c r="W27" s="326"/>
      <c r="X27" s="326"/>
      <c r="Y27" s="326"/>
      <c r="Z27" s="326"/>
      <c r="AA27" s="326"/>
      <c r="AB27" s="329"/>
    </row>
    <row r="28" spans="1:28" s="5" customFormat="1">
      <c r="A28" s="473">
        <f>'1-συμβολαια'!A28</f>
        <v>0</v>
      </c>
      <c r="B28" s="474">
        <f>'1-συμβολαια'!B28</f>
        <v>0</v>
      </c>
      <c r="C28" s="472" t="str">
        <f>'1-συμβολαια'!C28</f>
        <v>εργολαβικό</v>
      </c>
      <c r="D28" s="475">
        <f>'1-συμβολαια'!D28</f>
        <v>200</v>
      </c>
      <c r="E28" s="451"/>
      <c r="F28" s="451"/>
      <c r="G28" s="451"/>
      <c r="H28" s="451"/>
      <c r="I28" s="451"/>
      <c r="J28" s="451"/>
      <c r="K28" s="410">
        <f>'1-συμβολαια'!N28</f>
        <v>46.894088000000004</v>
      </c>
      <c r="L28" s="410">
        <f>'2-δικαιώμ'!O28+'5-αντίγρ'!O28</f>
        <v>1.635912</v>
      </c>
      <c r="M28" s="410">
        <v>1.64</v>
      </c>
      <c r="N28" s="476"/>
      <c r="O28" s="410">
        <f>'1-συμβολαια'!O28</f>
        <v>-10.495920000000005</v>
      </c>
      <c r="P28" s="410"/>
      <c r="Q28" s="410">
        <f>'8-κ-15-17'!AG28</f>
        <v>2.6</v>
      </c>
      <c r="R28" s="476"/>
      <c r="S28" s="410">
        <f>'11-χαρτόσ'!L28</f>
        <v>0</v>
      </c>
      <c r="T28" s="410">
        <f>'13-ντιΜιΧο'!BZ28+'13-ντιΜιΧο'!CA28</f>
        <v>20.57</v>
      </c>
      <c r="U28" s="292">
        <f>'13-ντιΜιΧο'!CB28</f>
        <v>0</v>
      </c>
      <c r="V28" s="336"/>
      <c r="W28" s="326"/>
      <c r="X28" s="326"/>
      <c r="Y28" s="326"/>
      <c r="Z28" s="326"/>
      <c r="AA28" s="326"/>
      <c r="AB28" s="329"/>
    </row>
    <row r="29" spans="1:28" s="5" customFormat="1">
      <c r="A29" s="434">
        <f>'1-συμβολαια'!A29</f>
        <v>4618</v>
      </c>
      <c r="B29" s="474">
        <f>'1-συμβολαια'!B29</f>
        <v>18</v>
      </c>
      <c r="C29" s="472" t="str">
        <f>'1-συμβολαια'!C29</f>
        <v>πληρεξούσιο</v>
      </c>
      <c r="D29" s="475">
        <f>'1-συμβολαια'!D29</f>
        <v>0</v>
      </c>
      <c r="E29" s="451"/>
      <c r="F29" s="451"/>
      <c r="G29" s="451"/>
      <c r="H29" s="451"/>
      <c r="I29" s="451"/>
      <c r="J29" s="451"/>
      <c r="K29" s="410">
        <f>'1-συμβολαια'!N29</f>
        <v>19.2714</v>
      </c>
      <c r="L29" s="410">
        <f>'2-δικαιώμ'!O29+'5-αντίγρ'!O29</f>
        <v>1.2686000000000002</v>
      </c>
      <c r="M29" s="410">
        <v>1.27</v>
      </c>
      <c r="N29" s="476"/>
      <c r="O29" s="410">
        <f>'1-συμβολαια'!O29</f>
        <v>-2.3500000000000014</v>
      </c>
      <c r="P29" s="410"/>
      <c r="Q29" s="410">
        <f>'8-κ-15-17'!AG29</f>
        <v>0</v>
      </c>
      <c r="R29" s="476"/>
      <c r="S29" s="410">
        <f>'11-χαρτόσ'!L29</f>
        <v>0</v>
      </c>
      <c r="T29" s="410">
        <f>'13-ντιΜιΧο'!BZ29+'13-ντιΜιΧο'!CA29</f>
        <v>11.68</v>
      </c>
      <c r="U29" s="292">
        <f>'13-ντιΜιΧο'!CB29</f>
        <v>0</v>
      </c>
      <c r="V29" s="336"/>
      <c r="W29" s="326"/>
      <c r="X29" s="326"/>
      <c r="Y29" s="326"/>
      <c r="Z29" s="326"/>
      <c r="AA29" s="326"/>
      <c r="AB29" s="329"/>
    </row>
    <row r="30" spans="1:28" s="5" customFormat="1">
      <c r="A30" s="473">
        <f>'1-συμβολαια'!A30</f>
        <v>4619</v>
      </c>
      <c r="B30" s="474">
        <f>'1-συμβολαια'!B30</f>
        <v>18</v>
      </c>
      <c r="C30" s="472" t="str">
        <f>'1-συμβολαια'!C30</f>
        <v>αγοραπωλησίας ΠΡΟΣΥΜΦΩΝΟ τίμημα = αρραβών =</v>
      </c>
      <c r="D30" s="475">
        <f>'1-συμβολαια'!D30</f>
        <v>1800</v>
      </c>
      <c r="E30" s="451"/>
      <c r="F30" s="451"/>
      <c r="G30" s="451"/>
      <c r="H30" s="451"/>
      <c r="I30" s="451"/>
      <c r="J30" s="451"/>
      <c r="K30" s="410">
        <f>'1-συμβολαια'!N30</f>
        <v>38.012287999999998</v>
      </c>
      <c r="L30" s="410">
        <f>'2-δικαιώμ'!O30+'5-αντίγρ'!O30</f>
        <v>6.6477120000000003</v>
      </c>
      <c r="M30" s="410">
        <v>6.65</v>
      </c>
      <c r="N30" s="476"/>
      <c r="O30" s="410">
        <f>'1-συμβολαια'!O30</f>
        <v>11.44408</v>
      </c>
      <c r="P30" s="410"/>
      <c r="Q30" s="410">
        <f>'8-κ-15-17'!AG30</f>
        <v>0</v>
      </c>
      <c r="R30" s="476"/>
      <c r="S30" s="410">
        <f>'11-χαρτόσ'!L30</f>
        <v>0</v>
      </c>
      <c r="T30" s="410">
        <f>'13-ντιΜιΧο'!BZ30+'13-ντιΜιΧο'!CA30</f>
        <v>50.15</v>
      </c>
      <c r="U30" s="292">
        <f>'13-ντιΜιΧο'!CB30</f>
        <v>0</v>
      </c>
      <c r="V30" s="336"/>
      <c r="W30" s="326"/>
      <c r="X30" s="326"/>
      <c r="Y30" s="326"/>
      <c r="Z30" s="326"/>
      <c r="AA30" s="326"/>
      <c r="AB30" s="329"/>
    </row>
    <row r="31" spans="1:28" s="5" customFormat="1">
      <c r="A31" s="473">
        <f>'1-συμβολαια'!A31</f>
        <v>0</v>
      </c>
      <c r="B31" s="474">
        <f>'1-συμβολαια'!B31</f>
        <v>0</v>
      </c>
      <c r="C31" s="472" t="str">
        <f>'1-συμβολαια'!C31</f>
        <v>ΧΡΗΣΙΚΤΗΣΙΑ αγροτεμαχίου = 1975 πατρός ΔΩΡΕΑ άτυπη</v>
      </c>
      <c r="D31" s="475">
        <f>'1-συμβολαια'!D31</f>
        <v>1111</v>
      </c>
      <c r="E31" s="451"/>
      <c r="F31" s="451"/>
      <c r="G31" s="451"/>
      <c r="H31" s="451"/>
      <c r="I31" s="451"/>
      <c r="J31" s="451"/>
      <c r="K31" s="410">
        <f>'1-συμβολαια'!N31</f>
        <v>0</v>
      </c>
      <c r="L31" s="410">
        <f>'2-δικαιώμ'!O31+'5-αντίγρ'!O31</f>
        <v>3.2757120000000004</v>
      </c>
      <c r="M31" s="410"/>
      <c r="N31" s="476"/>
      <c r="O31" s="410">
        <f>'1-συμβολαια'!O31</f>
        <v>25.180368000000001</v>
      </c>
      <c r="P31" s="410">
        <f t="shared" si="0"/>
        <v>3.2757120000000004</v>
      </c>
      <c r="Q31" s="410">
        <f>'8-κ-15-17'!AG31</f>
        <v>8.6102500000000006</v>
      </c>
      <c r="R31" s="476"/>
      <c r="S31" s="410">
        <f>'11-χαρτόσ'!L31</f>
        <v>0</v>
      </c>
      <c r="T31" s="410">
        <f>'13-ντιΜιΧο'!BZ31+'13-ντιΜιΧο'!CA31</f>
        <v>0</v>
      </c>
      <c r="U31" s="292">
        <f>'13-ντιΜιΧο'!CB31</f>
        <v>0</v>
      </c>
      <c r="V31" s="336"/>
      <c r="W31" s="326"/>
      <c r="X31" s="326"/>
      <c r="Y31" s="326"/>
      <c r="Z31" s="326"/>
      <c r="AA31" s="326"/>
      <c r="AB31" s="329"/>
    </row>
    <row r="32" spans="1:28" s="5" customFormat="1">
      <c r="A32" s="562">
        <f>'1-συμβολαια'!A32</f>
        <v>4620</v>
      </c>
      <c r="B32" s="474">
        <f>'1-συμβολαια'!B32</f>
        <v>21</v>
      </c>
      <c r="C32" s="472" t="str">
        <f>'1-συμβολαια'!C32</f>
        <v>γονική</v>
      </c>
      <c r="D32" s="475">
        <f>'1-συμβολαια'!D32</f>
        <v>6285.73</v>
      </c>
      <c r="E32" s="451"/>
      <c r="F32" s="451"/>
      <c r="G32" s="451"/>
      <c r="H32" s="451"/>
      <c r="I32" s="451"/>
      <c r="J32" s="451"/>
      <c r="K32" s="410">
        <f>'1-συμβολαια'!N32</f>
        <v>172.01617400000001</v>
      </c>
      <c r="L32" s="410">
        <f>'2-δικαιώμ'!O32+'5-αντίγρ'!O32</f>
        <v>16.853825999999998</v>
      </c>
      <c r="M32" s="410">
        <v>16.850000000000001</v>
      </c>
      <c r="N32" s="476"/>
      <c r="O32" s="410">
        <f>'1-συμβολαια'!O32</f>
        <v>155.16617400000001</v>
      </c>
      <c r="P32" s="410"/>
      <c r="Q32" s="563"/>
      <c r="R32" s="476"/>
      <c r="S32" s="410">
        <f>'11-χαρτόσ'!L32</f>
        <v>0</v>
      </c>
      <c r="T32" s="410">
        <f>'13-ντιΜιΧο'!BZ32+'13-ντιΜιΧο'!CA32</f>
        <v>285.48</v>
      </c>
      <c r="U32" s="292">
        <f>'13-ντιΜιΧο'!CB32</f>
        <v>0</v>
      </c>
      <c r="V32" s="336"/>
      <c r="W32" s="326"/>
      <c r="X32" s="326"/>
      <c r="Y32" s="326"/>
      <c r="Z32" s="326"/>
      <c r="AA32" s="326"/>
      <c r="AB32" s="329"/>
    </row>
    <row r="33" spans="1:28" s="5" customFormat="1">
      <c r="A33" s="547">
        <f>'1-συμβολαια'!A33</f>
        <v>0</v>
      </c>
      <c r="B33" s="474">
        <f>'1-συμβολαια'!B33</f>
        <v>0</v>
      </c>
      <c r="C33" s="472" t="str">
        <f>'1-συμβολαια'!C33</f>
        <v>κάθετος ΣΥΣΤΑΣΗ</v>
      </c>
      <c r="D33" s="475">
        <f>'1-συμβολαια'!D33</f>
        <v>0</v>
      </c>
      <c r="E33" s="451"/>
      <c r="F33" s="451"/>
      <c r="G33" s="451"/>
      <c r="H33" s="451"/>
      <c r="I33" s="451"/>
      <c r="J33" s="451"/>
      <c r="K33" s="410"/>
      <c r="L33" s="410">
        <f>'2-δικαιώμ'!O33+'5-αντίγρ'!O33</f>
        <v>7.5114000000000001</v>
      </c>
      <c r="M33" s="410"/>
      <c r="N33" s="476"/>
      <c r="O33" s="410">
        <f>'1-συμβολαια'!O33</f>
        <v>65.828599999999994</v>
      </c>
      <c r="P33" s="410">
        <f t="shared" si="0"/>
        <v>7.5114000000000001</v>
      </c>
      <c r="Q33" s="410"/>
      <c r="R33" s="476"/>
      <c r="S33" s="410">
        <f>'11-χαρτόσ'!L33</f>
        <v>0</v>
      </c>
      <c r="T33" s="410">
        <f>'13-ντιΜιΧο'!BZ33+'13-ντιΜιΧο'!CA33</f>
        <v>6.75</v>
      </c>
      <c r="U33" s="292">
        <f>'13-ντιΜιΧο'!CB33</f>
        <v>0</v>
      </c>
      <c r="V33" s="336"/>
      <c r="W33" s="326"/>
      <c r="X33" s="326"/>
      <c r="Y33" s="326"/>
      <c r="Z33" s="326"/>
      <c r="AA33" s="326"/>
      <c r="AB33" s="329"/>
    </row>
    <row r="34" spans="1:28" s="5" customFormat="1">
      <c r="A34" s="547">
        <f>'1-συμβολαια'!A34</f>
        <v>0</v>
      </c>
      <c r="B34" s="474">
        <f>'1-συμβολαια'!B34</f>
        <v>0</v>
      </c>
      <c r="C34" s="472" t="str">
        <f>'1-συμβολαια'!C34</f>
        <v>ΧΡΗΣΙΚΤΗΣΙΑ αγροτεμαχίου (νυν οικόπεδο) = 19?? ΑΝΑΔΑΣΜΟΣ</v>
      </c>
      <c r="D34" s="475">
        <f>'1-συμβολαια'!D34</f>
        <v>3333</v>
      </c>
      <c r="E34" s="451"/>
      <c r="F34" s="451"/>
      <c r="G34" s="451"/>
      <c r="H34" s="451"/>
      <c r="I34" s="451"/>
      <c r="J34" s="451"/>
      <c r="K34" s="410"/>
      <c r="L34" s="410">
        <f>'2-δικαιώμ'!O34+'5-αντίγρ'!O34</f>
        <v>7.2753120000000013</v>
      </c>
      <c r="M34" s="410"/>
      <c r="N34" s="476"/>
      <c r="O34" s="410">
        <f>'1-συμβολαια'!O34</f>
        <v>56.634768000000001</v>
      </c>
      <c r="P34" s="410"/>
      <c r="Q34" s="410">
        <f>'8-κ-15-17'!AG34</f>
        <v>25.830750000000002</v>
      </c>
      <c r="R34" s="476"/>
      <c r="S34" s="410">
        <f>'11-χαρτόσ'!L34</f>
        <v>0</v>
      </c>
      <c r="T34" s="410">
        <f>'13-ντιΜιΧο'!BZ34+'13-ντιΜιΧο'!CA34</f>
        <v>0</v>
      </c>
      <c r="U34" s="292">
        <f>'13-ντιΜιΧο'!CB34</f>
        <v>0</v>
      </c>
      <c r="V34" s="336"/>
      <c r="W34" s="326"/>
      <c r="X34" s="326"/>
      <c r="Y34" s="326"/>
      <c r="Z34" s="326"/>
      <c r="AA34" s="326"/>
      <c r="AB34" s="329"/>
    </row>
    <row r="35" spans="1:28" s="5" customFormat="1">
      <c r="A35" s="562">
        <f>'1-συμβολαια'!A35</f>
        <v>4621</v>
      </c>
      <c r="B35" s="474">
        <f>'1-συμβολαια'!B35</f>
        <v>21</v>
      </c>
      <c r="C35" s="472" t="str">
        <f>'1-συμβολαια'!C35</f>
        <v>γονική</v>
      </c>
      <c r="D35" s="475">
        <f>'1-συμβολαια'!D35</f>
        <v>30928.65</v>
      </c>
      <c r="E35" s="451"/>
      <c r="F35" s="451"/>
      <c r="G35" s="451"/>
      <c r="H35" s="451"/>
      <c r="I35" s="451"/>
      <c r="J35" s="451"/>
      <c r="K35" s="410">
        <f>'1-συμβολαια'!N35</f>
        <v>464.35951799999998</v>
      </c>
      <c r="L35" s="410">
        <f>'2-δικαιώμ'!O35+'5-αντίγρ'!O35</f>
        <v>60.500481999999998</v>
      </c>
      <c r="M35" s="410">
        <v>60.5</v>
      </c>
      <c r="N35" s="476"/>
      <c r="O35" s="410">
        <f>'1-συμβολαια'!O35</f>
        <v>403.88248049999993</v>
      </c>
      <c r="P35" s="410"/>
      <c r="Q35" s="410"/>
      <c r="R35" s="476"/>
      <c r="S35" s="410">
        <f>'11-χαρτόσ'!L35</f>
        <v>0</v>
      </c>
      <c r="T35" s="410">
        <f>'13-ντιΜιΧο'!BZ35+'13-ντιΜιΧο'!CA35</f>
        <v>271.09000000000003</v>
      </c>
      <c r="U35" s="292">
        <f>'13-ντιΜιΧο'!CB35</f>
        <v>0</v>
      </c>
      <c r="V35" s="336"/>
      <c r="W35" s="326"/>
      <c r="X35" s="326"/>
      <c r="Y35" s="326"/>
      <c r="Z35" s="326"/>
      <c r="AA35" s="326"/>
      <c r="AB35" s="329"/>
    </row>
    <row r="36" spans="1:28" s="5" customFormat="1">
      <c r="A36" s="473">
        <f>'1-συμβολαια'!A36</f>
        <v>0</v>
      </c>
      <c r="B36" s="474">
        <f>'1-συμβολαια'!B36</f>
        <v>0</v>
      </c>
      <c r="C36" s="472" t="str">
        <f>'1-συμβολαια'!C36</f>
        <v>οριζόντιος ΣΥΣΤΑΣΗ</v>
      </c>
      <c r="D36" s="475">
        <f>'1-συμβολαια'!D36</f>
        <v>0</v>
      </c>
      <c r="E36" s="451"/>
      <c r="F36" s="451"/>
      <c r="G36" s="451"/>
      <c r="H36" s="451"/>
      <c r="I36" s="451"/>
      <c r="J36" s="451"/>
      <c r="K36" s="410"/>
      <c r="L36" s="410">
        <f>'2-δικαιώμ'!O36+'5-αντίγρ'!O36</f>
        <v>7.5114000000000001</v>
      </c>
      <c r="M36" s="410"/>
      <c r="N36" s="476"/>
      <c r="O36" s="410">
        <f>'1-συμβολαια'!O36</f>
        <v>81.688599999999994</v>
      </c>
      <c r="P36" s="410">
        <f t="shared" si="0"/>
        <v>7.5114000000000001</v>
      </c>
      <c r="Q36" s="410">
        <f>'8-κ-15-17'!AG36</f>
        <v>0</v>
      </c>
      <c r="R36" s="476"/>
      <c r="S36" s="410">
        <f>'11-χαρτόσ'!L36</f>
        <v>0</v>
      </c>
      <c r="T36" s="410">
        <f>'13-ντιΜιΧο'!BZ36+'13-ντιΜιΧο'!CA36</f>
        <v>6.75</v>
      </c>
      <c r="U36" s="292">
        <f>'13-ντιΜιΧο'!CB36</f>
        <v>0</v>
      </c>
      <c r="V36" s="336"/>
      <c r="W36" s="326"/>
      <c r="X36" s="326"/>
      <c r="Y36" s="326"/>
      <c r="Z36" s="326"/>
      <c r="AA36" s="326"/>
      <c r="AB36" s="329"/>
    </row>
    <row r="37" spans="1:28" s="5" customFormat="1">
      <c r="A37" s="434">
        <f>'1-συμβολαια'!A37</f>
        <v>4622</v>
      </c>
      <c r="B37" s="474">
        <f>'1-συμβολαια'!B37</f>
        <v>21</v>
      </c>
      <c r="C37" s="472" t="str">
        <f>'1-συμβολαια'!C37</f>
        <v>πληρεξούσιο</v>
      </c>
      <c r="D37" s="475">
        <f>'1-συμβολαια'!D37</f>
        <v>0</v>
      </c>
      <c r="E37" s="451"/>
      <c r="F37" s="451"/>
      <c r="G37" s="451"/>
      <c r="H37" s="451"/>
      <c r="I37" s="451"/>
      <c r="J37" s="451"/>
      <c r="K37" s="410">
        <f>'1-συμβολαια'!N37</f>
        <v>19.2714</v>
      </c>
      <c r="L37" s="410">
        <f>'2-δικαιώμ'!O37+'5-αντίγρ'!O37</f>
        <v>1.2686000000000002</v>
      </c>
      <c r="M37" s="410">
        <v>1.27</v>
      </c>
      <c r="N37" s="476"/>
      <c r="O37" s="410">
        <f>'1-συμβολαια'!O37</f>
        <v>-2.3500000000000014</v>
      </c>
      <c r="P37" s="410"/>
      <c r="Q37" s="410"/>
      <c r="R37" s="476"/>
      <c r="S37" s="410">
        <f>'11-χαρτόσ'!L37</f>
        <v>0</v>
      </c>
      <c r="T37" s="410">
        <f>'13-ντιΜιΧο'!BZ37+'13-ντιΜιΧο'!CA37</f>
        <v>0.3</v>
      </c>
      <c r="U37" s="292">
        <f>'13-ντιΜιΧο'!CB37</f>
        <v>0</v>
      </c>
      <c r="V37" s="336"/>
      <c r="W37" s="326"/>
      <c r="X37" s="326"/>
      <c r="Y37" s="326"/>
      <c r="Z37" s="326"/>
      <c r="AA37" s="326"/>
      <c r="AB37" s="329"/>
    </row>
    <row r="38" spans="1:28" s="5" customFormat="1">
      <c r="A38" s="434">
        <f>'1-συμβολαια'!A38</f>
        <v>4623</v>
      </c>
      <c r="B38" s="474">
        <f>'1-συμβολαια'!B38</f>
        <v>21</v>
      </c>
      <c r="C38" s="472" t="str">
        <f>'1-συμβολαια'!C38</f>
        <v>πληρεξούσιο</v>
      </c>
      <c r="D38" s="475">
        <f>'1-συμβολαια'!D38</f>
        <v>0</v>
      </c>
      <c r="E38" s="451"/>
      <c r="F38" s="451"/>
      <c r="G38" s="451"/>
      <c r="H38" s="451"/>
      <c r="I38" s="451"/>
      <c r="J38" s="451"/>
      <c r="K38" s="410">
        <f>'1-συμβολαια'!N38</f>
        <v>24.7761</v>
      </c>
      <c r="L38" s="410">
        <f>'2-δικαιώμ'!O38+'5-αντίγρ'!O38</f>
        <v>1.6239000000000001</v>
      </c>
      <c r="M38" s="410">
        <v>1.62</v>
      </c>
      <c r="N38" s="476"/>
      <c r="O38" s="410">
        <f>'1-συμβολαια'!O38</f>
        <v>27.269999999999996</v>
      </c>
      <c r="P38" s="410"/>
      <c r="Q38" s="410"/>
      <c r="R38" s="476">
        <f>'10-φπα'!E38</f>
        <v>0</v>
      </c>
      <c r="S38" s="410">
        <f>'11-χαρτόσ'!L38</f>
        <v>0</v>
      </c>
      <c r="T38" s="410">
        <f>'13-ντιΜιΧο'!BZ38+'13-ντιΜιΧο'!CA38</f>
        <v>0.6</v>
      </c>
      <c r="U38" s="292">
        <f>'13-ντιΜιΧο'!CB38</f>
        <v>0</v>
      </c>
      <c r="V38" s="336"/>
      <c r="W38" s="326"/>
      <c r="X38" s="326"/>
      <c r="Y38" s="326"/>
      <c r="Z38" s="326"/>
      <c r="AA38" s="326"/>
      <c r="AB38" s="329"/>
    </row>
    <row r="39" spans="1:28" s="5" customFormat="1">
      <c r="A39" s="473">
        <f>'1-συμβολαια'!A39</f>
        <v>4624</v>
      </c>
      <c r="B39" s="474">
        <f>'1-συμβολαια'!B39</f>
        <v>23</v>
      </c>
      <c r="C39" s="472" t="str">
        <f>'1-συμβολαια'!C39</f>
        <v>*γονική ΨΙΛΗΣ ΚΥΡΙΟΤΗΤΑΣ</v>
      </c>
      <c r="D39" s="475">
        <f>'1-συμβολαια'!D39</f>
        <v>11558.2</v>
      </c>
      <c r="E39" s="451"/>
      <c r="F39" s="451"/>
      <c r="G39" s="451"/>
      <c r="H39" s="451"/>
      <c r="I39" s="451"/>
      <c r="J39" s="451"/>
      <c r="K39" s="410">
        <f>'1-συμβολαια'!N39</f>
        <v>174.20632800000004</v>
      </c>
      <c r="L39" s="410">
        <f>'2-δικαιώμ'!O39+'5-αντίγρ'!O39</f>
        <v>25.633672000000004</v>
      </c>
      <c r="M39" s="410">
        <v>25.63</v>
      </c>
      <c r="N39" s="476"/>
      <c r="O39" s="410">
        <f>'1-συμβολαια'!O39</f>
        <v>148.58027800000002</v>
      </c>
      <c r="P39" s="410"/>
      <c r="Q39" s="410"/>
      <c r="R39" s="476">
        <f>'10-φπα'!E39</f>
        <v>0</v>
      </c>
      <c r="S39" s="410">
        <f>'11-χαρτόσ'!L39</f>
        <v>0</v>
      </c>
      <c r="T39" s="410">
        <f>'13-ντιΜιΧο'!BZ39+'13-ντιΜιΧο'!CA39</f>
        <v>203.60999999999999</v>
      </c>
      <c r="U39" s="292">
        <f>'13-ντιΜιΧο'!CB39</f>
        <v>0</v>
      </c>
      <c r="V39" s="336"/>
      <c r="W39" s="326"/>
      <c r="X39" s="326"/>
      <c r="Y39" s="326"/>
      <c r="Z39" s="326"/>
      <c r="AA39" s="326"/>
      <c r="AB39" s="329"/>
    </row>
    <row r="40" spans="1:28" s="5" customFormat="1">
      <c r="A40" s="473">
        <f>'1-συμβολαια'!A40</f>
        <v>0</v>
      </c>
      <c r="B40" s="474">
        <f>'1-συμβολαια'!B40</f>
        <v>0</v>
      </c>
      <c r="C40" s="472" t="str">
        <f>'1-συμβολαια'!C40</f>
        <v>ΧΡΗΣΙΚΤΗΣΙΑ οικοπέδου = 1949 πατρός ΔΩΡΕΑ άτυπη</v>
      </c>
      <c r="D40" s="475">
        <f>'1-συμβολαια'!D40</f>
        <v>4444</v>
      </c>
      <c r="E40" s="451"/>
      <c r="F40" s="451"/>
      <c r="G40" s="451"/>
      <c r="H40" s="451"/>
      <c r="I40" s="451"/>
      <c r="J40" s="451"/>
      <c r="K40" s="410"/>
      <c r="L40" s="410">
        <f>'2-δικαιώμ'!O40+'5-αντίγρ'!O40</f>
        <v>9.275112</v>
      </c>
      <c r="M40" s="410"/>
      <c r="N40" s="476"/>
      <c r="O40" s="410">
        <f>'1-συμβολαια'!O40</f>
        <v>71.496967999999995</v>
      </c>
      <c r="P40" s="410">
        <f t="shared" si="0"/>
        <v>9.275112</v>
      </c>
      <c r="Q40" s="410">
        <f>'8-κ-15-17'!AG40</f>
        <v>34.441000000000003</v>
      </c>
      <c r="R40" s="476">
        <f>'10-φπα'!E40</f>
        <v>0</v>
      </c>
      <c r="S40" s="410">
        <f>'11-χαρτόσ'!L40</f>
        <v>0</v>
      </c>
      <c r="T40" s="410">
        <f>'13-ντιΜιΧο'!BZ40+'13-ντιΜιΧο'!CA40</f>
        <v>5.86</v>
      </c>
      <c r="U40" s="292">
        <f>'13-ντιΜιΧο'!CB40</f>
        <v>0</v>
      </c>
      <c r="V40" s="336"/>
      <c r="W40" s="326"/>
      <c r="X40" s="326"/>
      <c r="Y40" s="326"/>
      <c r="Z40" s="326"/>
      <c r="AA40" s="326"/>
      <c r="AB40" s="329"/>
    </row>
    <row r="41" spans="1:28" s="5" customFormat="1">
      <c r="A41" s="473">
        <f>'1-συμβολαια'!A41</f>
        <v>0</v>
      </c>
      <c r="B41" s="474">
        <f>'1-συμβολαια'!B41</f>
        <v>0</v>
      </c>
      <c r="C41" s="472" t="str">
        <f>'1-συμβολαια'!C41</f>
        <v>ΧΡΗΣΙΚΤΗΣΙΑ αγροτεμαχίων = 1963 αγοραπωλησίας ΒΑΣΕΙ προσυμφώνου ΜΗ εκτελεσθέντος</v>
      </c>
      <c r="D41" s="475">
        <f>'1-συμβολαια'!D41</f>
        <v>1111</v>
      </c>
      <c r="E41" s="451"/>
      <c r="F41" s="451"/>
      <c r="G41" s="451"/>
      <c r="H41" s="451"/>
      <c r="I41" s="451"/>
      <c r="J41" s="451"/>
      <c r="K41" s="410"/>
      <c r="L41" s="410">
        <f>'2-δικαιώμ'!O41+'5-αντίγρ'!O41</f>
        <v>3.2757120000000004</v>
      </c>
      <c r="M41" s="410"/>
      <c r="N41" s="476"/>
      <c r="O41" s="410">
        <f>'1-συμβολαια'!O41</f>
        <v>37.500368000000002</v>
      </c>
      <c r="P41" s="410">
        <f t="shared" si="0"/>
        <v>3.2757120000000004</v>
      </c>
      <c r="Q41" s="410">
        <f>'8-κ-15-17'!AG41</f>
        <v>8.6102500000000006</v>
      </c>
      <c r="R41" s="476">
        <f>'10-φπα'!E41</f>
        <v>0</v>
      </c>
      <c r="S41" s="410">
        <f>'11-χαρτόσ'!L41</f>
        <v>0</v>
      </c>
      <c r="T41" s="410">
        <f>'13-ντιΜιΧο'!BZ41+'13-ντιΜιΧο'!CA41</f>
        <v>5.86</v>
      </c>
      <c r="U41" s="292">
        <f>'13-ντιΜιΧο'!CB41</f>
        <v>0</v>
      </c>
      <c r="V41" s="336"/>
      <c r="W41" s="326"/>
      <c r="X41" s="326"/>
      <c r="Y41" s="326"/>
      <c r="Z41" s="326"/>
      <c r="AA41" s="326"/>
      <c r="AB41" s="329"/>
    </row>
    <row r="42" spans="1:28" s="5" customFormat="1">
      <c r="A42" s="547">
        <f>'1-συμβολαια'!A42</f>
        <v>4625</v>
      </c>
      <c r="B42" s="474">
        <f>'1-συμβολαια'!B42</f>
        <v>23</v>
      </c>
      <c r="C42" s="472" t="str">
        <f>'1-συμβολαια'!C42</f>
        <v>*γονική ΨΙΛΗΣ ΚΥΡΙΟΤΗΤΑΣ</v>
      </c>
      <c r="D42" s="475">
        <f>'1-συμβολαια'!D42</f>
        <v>3061.77</v>
      </c>
      <c r="E42" s="451"/>
      <c r="F42" s="451"/>
      <c r="G42" s="451"/>
      <c r="H42" s="451"/>
      <c r="I42" s="451"/>
      <c r="J42" s="451"/>
      <c r="K42" s="410">
        <f>'1-συμβολαια'!N42</f>
        <v>78.870502000000016</v>
      </c>
      <c r="L42" s="410">
        <f>'2-δικαιώμ'!O42+'5-αντίγρ'!O42</f>
        <v>9.6294980000000017</v>
      </c>
      <c r="M42" s="410">
        <v>9.6300000000000008</v>
      </c>
      <c r="N42" s="476"/>
      <c r="O42" s="410">
        <f>'1-συμβολαια'!O42</f>
        <v>10.925319999999971</v>
      </c>
      <c r="P42" s="410"/>
      <c r="Q42" s="410"/>
      <c r="R42" s="476">
        <f>'10-φπα'!E42</f>
        <v>0</v>
      </c>
      <c r="S42" s="410">
        <f>'11-χαρτόσ'!L42</f>
        <v>0</v>
      </c>
      <c r="T42" s="410">
        <f>'13-ντιΜιΧο'!BZ42+'13-ντιΜιΧο'!CA42</f>
        <v>190.69000000000003</v>
      </c>
      <c r="U42" s="292">
        <f>'13-ντιΜιΧο'!CB42</f>
        <v>0</v>
      </c>
      <c r="V42" s="336"/>
      <c r="W42" s="326"/>
      <c r="X42" s="326"/>
      <c r="Y42" s="326"/>
      <c r="Z42" s="326"/>
      <c r="AA42" s="326"/>
      <c r="AB42" s="329"/>
    </row>
    <row r="43" spans="1:28">
      <c r="A43" s="547">
        <f>'1-συμβολαια'!A43</f>
        <v>0</v>
      </c>
      <c r="B43" s="474">
        <f>'1-συμβολαια'!B43</f>
        <v>0</v>
      </c>
      <c r="C43" s="472" t="str">
        <f>'1-συμβολαια'!C43</f>
        <v>ΧΡΗΣΙΚΤΗΣΙΑ αγροτεμαχίου = 19?? πατρός ΔΩΡΕΑ άτυπη</v>
      </c>
      <c r="D43" s="475">
        <f>'1-συμβολαια'!D43</f>
        <v>1111</v>
      </c>
      <c r="E43" s="451"/>
      <c r="F43" s="451"/>
      <c r="G43" s="451"/>
      <c r="H43" s="451"/>
      <c r="I43" s="451"/>
      <c r="J43" s="451"/>
      <c r="K43" s="410"/>
      <c r="L43" s="410">
        <f>'2-δικαιώμ'!O43+'5-αντίγρ'!O43</f>
        <v>3.2757120000000004</v>
      </c>
      <c r="M43" s="410"/>
      <c r="N43" s="476"/>
      <c r="O43" s="410">
        <f>'1-συμβολαια'!O43</f>
        <v>34.570368000000002</v>
      </c>
      <c r="P43" s="410">
        <f t="shared" si="0"/>
        <v>3.2757120000000004</v>
      </c>
      <c r="Q43" s="410">
        <f>'8-κ-15-17'!AG43</f>
        <v>8.6102500000000006</v>
      </c>
      <c r="R43" s="476">
        <f>'10-φπα'!E43</f>
        <v>0</v>
      </c>
      <c r="S43" s="410">
        <f>'11-χαρτόσ'!L43</f>
        <v>0</v>
      </c>
      <c r="T43" s="410">
        <f>'13-ντιΜιΧο'!BZ43+'13-ντιΜιΧο'!CA43</f>
        <v>5.86</v>
      </c>
      <c r="U43" s="292">
        <f>'13-ντιΜιΧο'!CB43</f>
        <v>0</v>
      </c>
      <c r="V43" s="336"/>
      <c r="W43" s="326"/>
      <c r="X43" s="326"/>
      <c r="Y43" s="326"/>
      <c r="Z43" s="326"/>
      <c r="AA43" s="326"/>
      <c r="AB43" s="224"/>
    </row>
    <row r="44" spans="1:28">
      <c r="A44" s="473">
        <f>'1-συμβολαια'!A44</f>
        <v>4626</v>
      </c>
      <c r="B44" s="474">
        <f>'1-συμβολαια'!B44</f>
        <v>23</v>
      </c>
      <c r="C44" s="472" t="str">
        <f>'1-συμβολαια'!C44</f>
        <v>*γονική ΨΙΛΗΣ ΚΥΡΙΟΤΗΤΑΣ</v>
      </c>
      <c r="D44" s="475">
        <f>'1-συμβολαια'!D44</f>
        <v>5079.72</v>
      </c>
      <c r="E44" s="451"/>
      <c r="F44" s="451"/>
      <c r="G44" s="451"/>
      <c r="H44" s="451"/>
      <c r="I44" s="451"/>
      <c r="J44" s="451"/>
      <c r="K44" s="410">
        <f>'1-συμβολαια'!N44</f>
        <v>108.12759199999999</v>
      </c>
      <c r="L44" s="410">
        <f>'2-δικαιώμ'!O44+'5-αντίγρ'!O44</f>
        <v>13.972408000000001</v>
      </c>
      <c r="M44" s="410">
        <v>13.97</v>
      </c>
      <c r="N44" s="476"/>
      <c r="O44" s="410">
        <f>'1-συμβολαια'!O44</f>
        <v>10.930719999999994</v>
      </c>
      <c r="P44" s="410"/>
      <c r="Q44" s="410"/>
      <c r="R44" s="476">
        <f>'10-φπα'!E44</f>
        <v>0</v>
      </c>
      <c r="S44" s="410">
        <f>'11-χαρτόσ'!L44</f>
        <v>0</v>
      </c>
      <c r="T44" s="410">
        <f>'13-ντιΜιΧο'!BZ44+'13-ντιΜιΧο'!CA44</f>
        <v>303.35999999999996</v>
      </c>
      <c r="U44" s="292">
        <f>'13-ντιΜιΧο'!CB44</f>
        <v>0</v>
      </c>
      <c r="V44" s="336"/>
      <c r="W44" s="326"/>
      <c r="X44" s="326"/>
      <c r="Y44" s="326"/>
      <c r="Z44" s="326"/>
      <c r="AA44" s="326"/>
      <c r="AB44" s="224"/>
    </row>
    <row r="45" spans="1:28">
      <c r="A45" s="473">
        <f>'1-συμβολαια'!A45</f>
        <v>0</v>
      </c>
      <c r="B45" s="474">
        <f>'1-συμβολαια'!B45</f>
        <v>0</v>
      </c>
      <c r="C45" s="472" t="str">
        <f>'1-συμβολαια'!C45</f>
        <v>ΧΡΗΣΙΚΤΗΣΙΑ αγροτεμαχίου = 1979 ΑΝΑΔΑΣΜΟΣ</v>
      </c>
      <c r="D45" s="475">
        <f>'1-συμβολαια'!D45</f>
        <v>1111</v>
      </c>
      <c r="E45" s="451"/>
      <c r="F45" s="451"/>
      <c r="G45" s="451"/>
      <c r="H45" s="451"/>
      <c r="I45" s="451"/>
      <c r="J45" s="451"/>
      <c r="K45" s="410"/>
      <c r="L45" s="410">
        <f>'2-δικαιώμ'!O45+'5-αντίγρ'!O45</f>
        <v>3.2757120000000004</v>
      </c>
      <c r="M45" s="410"/>
      <c r="N45" s="476"/>
      <c r="O45" s="410">
        <f>'1-συμβολαια'!O45</f>
        <v>37.500368000000002</v>
      </c>
      <c r="P45" s="410">
        <f t="shared" si="0"/>
        <v>3.2757120000000004</v>
      </c>
      <c r="Q45" s="410">
        <f>'8-κ-15-17'!AG45</f>
        <v>8.6102500000000006</v>
      </c>
      <c r="R45" s="476">
        <f>'10-φπα'!E45</f>
        <v>0</v>
      </c>
      <c r="S45" s="410">
        <f>'11-χαρτόσ'!L45</f>
        <v>0</v>
      </c>
      <c r="T45" s="410">
        <f>'13-ντιΜιΧο'!BZ45+'13-ντιΜιΧο'!CA45</f>
        <v>0</v>
      </c>
      <c r="U45" s="292">
        <f>'13-ντιΜιΧο'!CB45</f>
        <v>0</v>
      </c>
      <c r="V45" s="336"/>
      <c r="W45" s="326"/>
      <c r="X45" s="326"/>
      <c r="Y45" s="326"/>
      <c r="Z45" s="326"/>
      <c r="AA45" s="326"/>
      <c r="AB45" s="224"/>
    </row>
    <row r="46" spans="1:28">
      <c r="A46" s="473">
        <f>'1-συμβολαια'!A46</f>
        <v>0</v>
      </c>
      <c r="B46" s="474">
        <f>'1-συμβολαια'!B46</f>
        <v>0</v>
      </c>
      <c r="C46" s="472" t="str">
        <f>'1-συμβολαια'!C46</f>
        <v>ΧΡΗΣΙΚΤΗΣΙΑ αγροτεμαχίων = 1957 τακοΑναστασιο ΑΓΟΡΑΠΩΛΗΣΙΑ άτυπη</v>
      </c>
      <c r="D46" s="475">
        <f>'1-συμβολαια'!D46</f>
        <v>1111</v>
      </c>
      <c r="E46" s="451"/>
      <c r="F46" s="451"/>
      <c r="G46" s="451"/>
      <c r="H46" s="451"/>
      <c r="I46" s="451"/>
      <c r="J46" s="451"/>
      <c r="K46" s="410"/>
      <c r="L46" s="410">
        <f>'2-δικαιώμ'!O46+'5-αντίγρ'!O46</f>
        <v>3.2757120000000004</v>
      </c>
      <c r="M46" s="410"/>
      <c r="N46" s="476"/>
      <c r="O46" s="410">
        <f>'1-συμβολαια'!O46</f>
        <v>37.500368000000002</v>
      </c>
      <c r="P46" s="410">
        <f t="shared" si="0"/>
        <v>3.2757120000000004</v>
      </c>
      <c r="Q46" s="410">
        <f>'8-κ-15-17'!AG46</f>
        <v>8.6102500000000006</v>
      </c>
      <c r="R46" s="476">
        <f>'10-φπα'!E46</f>
        <v>0</v>
      </c>
      <c r="S46" s="410">
        <f>'11-χαρτόσ'!L46</f>
        <v>0</v>
      </c>
      <c r="T46" s="410">
        <f>'13-ντιΜιΧο'!BZ46+'13-ντιΜιΧο'!CA46</f>
        <v>5.86</v>
      </c>
      <c r="U46" s="292">
        <f>'13-ντιΜιΧο'!CB46</f>
        <v>0</v>
      </c>
      <c r="V46" s="336"/>
      <c r="W46" s="326"/>
      <c r="X46" s="326"/>
      <c r="Y46" s="326"/>
      <c r="Z46" s="326"/>
      <c r="AA46" s="326"/>
      <c r="AB46" s="224"/>
    </row>
    <row r="47" spans="1:28">
      <c r="A47" s="547">
        <f>'1-συμβολαια'!A47</f>
        <v>4627</v>
      </c>
      <c r="B47" s="474">
        <f>'1-συμβολαια'!B47</f>
        <v>23</v>
      </c>
      <c r="C47" s="472" t="str">
        <f>'1-συμβολαια'!C47</f>
        <v>*δωρεά ΑΙΤΙΑ θανάτου</v>
      </c>
      <c r="D47" s="475">
        <f>'1-συμβολαια'!D47</f>
        <v>0</v>
      </c>
      <c r="E47" s="451"/>
      <c r="F47" s="451"/>
      <c r="G47" s="451"/>
      <c r="H47" s="451"/>
      <c r="I47" s="451"/>
      <c r="J47" s="451"/>
      <c r="K47" s="410">
        <f>'1-συμβολαια'!N47</f>
        <v>17.5608</v>
      </c>
      <c r="L47" s="410">
        <f>'2-δικαιώμ'!O47+'5-αντίγρ'!O47</f>
        <v>1.9792000000000001</v>
      </c>
      <c r="M47" s="410">
        <v>2.39</v>
      </c>
      <c r="N47" s="476"/>
      <c r="O47" s="410">
        <f>'1-συμβολαια'!O47</f>
        <v>20.67</v>
      </c>
      <c r="P47" s="410"/>
      <c r="Q47" s="410"/>
      <c r="R47" s="476">
        <f>'10-φπα'!E47</f>
        <v>0</v>
      </c>
      <c r="S47" s="410">
        <f>'11-χαρτόσ'!L47</f>
        <v>0</v>
      </c>
      <c r="T47" s="410">
        <f>'13-ντιΜιΧο'!BZ47+'13-ντιΜιΧο'!CA47</f>
        <v>137.26000000000002</v>
      </c>
      <c r="U47" s="292">
        <f>'13-ντιΜιΧο'!CB47</f>
        <v>0</v>
      </c>
      <c r="V47" s="336"/>
      <c r="W47" s="326"/>
      <c r="X47" s="326"/>
      <c r="Y47" s="326"/>
      <c r="Z47" s="326"/>
      <c r="AA47" s="326"/>
      <c r="AB47" s="224"/>
    </row>
    <row r="48" spans="1:28">
      <c r="A48" s="547">
        <f>'1-συμβολαια'!A48</f>
        <v>0</v>
      </c>
      <c r="B48" s="474">
        <f>'1-συμβολαια'!B48</f>
        <v>0</v>
      </c>
      <c r="C48" s="472" t="str">
        <f>'1-συμβολαια'!C48</f>
        <v>ΧΡΗΣΙΚΤΗΣΙΑ αγροτεμαχίου [νυν οικόπεδο ΜΕ οικοδομή] ] = 1970 ΑΝΑΔΑΣΜΟΣ</v>
      </c>
      <c r="D48" s="475">
        <f>'1-συμβολαια'!D48</f>
        <v>1111</v>
      </c>
      <c r="E48" s="451"/>
      <c r="F48" s="451"/>
      <c r="G48" s="451"/>
      <c r="H48" s="451"/>
      <c r="I48" s="451"/>
      <c r="J48" s="451"/>
      <c r="K48" s="410"/>
      <c r="L48" s="410">
        <f>'2-δικαιώμ'!O48+'5-αντίγρ'!O48</f>
        <v>3.2757120000000004</v>
      </c>
      <c r="M48" s="410"/>
      <c r="N48" s="476"/>
      <c r="O48" s="410">
        <f>'1-συμβολαια'!O48</f>
        <v>22.250368000000002</v>
      </c>
      <c r="P48" s="410">
        <f t="shared" si="0"/>
        <v>3.2757120000000004</v>
      </c>
      <c r="Q48" s="410">
        <f>'8-κ-15-17'!AG48</f>
        <v>8.6102500000000006</v>
      </c>
      <c r="R48" s="476">
        <f>'10-φπα'!E48</f>
        <v>0</v>
      </c>
      <c r="S48" s="410">
        <f>'11-χαρτόσ'!L48</f>
        <v>0</v>
      </c>
      <c r="T48" s="410">
        <f>'13-ντιΜιΧο'!BZ48+'13-ντιΜιΧο'!CA48</f>
        <v>0</v>
      </c>
      <c r="U48" s="292">
        <f>'13-ντιΜιΧο'!CB48</f>
        <v>0</v>
      </c>
      <c r="V48" s="336"/>
      <c r="W48" s="326"/>
      <c r="X48" s="326"/>
      <c r="Y48" s="326"/>
      <c r="Z48" s="326"/>
      <c r="AA48" s="326"/>
      <c r="AB48" s="224"/>
    </row>
    <row r="49" spans="1:32">
      <c r="A49" s="547">
        <f>'1-συμβολαια'!A49</f>
        <v>0</v>
      </c>
      <c r="B49" s="474">
        <f>'1-συμβολαια'!B49</f>
        <v>0</v>
      </c>
      <c r="C49" s="472" t="str">
        <f>'1-συμβολαια'!C49</f>
        <v>*γονικής 1262  ΕΠΙΚΑΡΠΙΑ …  ΔΩΡΕΑ αιτία θανάτου</v>
      </c>
      <c r="D49" s="475">
        <f>'1-συμβολαια'!D49</f>
        <v>8888</v>
      </c>
      <c r="E49" s="451"/>
      <c r="F49" s="451"/>
      <c r="G49" s="451"/>
      <c r="H49" s="451"/>
      <c r="I49" s="451"/>
      <c r="J49" s="451"/>
      <c r="K49" s="410"/>
      <c r="L49" s="410">
        <f>'2-δικαιώμ'!O49+'5-αντίγρ'!O49</f>
        <v>17.274312000000002</v>
      </c>
      <c r="M49" s="410"/>
      <c r="N49" s="476"/>
      <c r="O49" s="410">
        <f>'1-συμβολαια'!O49</f>
        <v>120.355768</v>
      </c>
      <c r="P49" s="410">
        <f t="shared" si="0"/>
        <v>17.274312000000002</v>
      </c>
      <c r="Q49" s="410">
        <f>'8-κ-15-17'!AG49</f>
        <v>68.882000000000005</v>
      </c>
      <c r="R49" s="476">
        <f>'10-φπα'!E49</f>
        <v>0</v>
      </c>
      <c r="S49" s="410">
        <f>'11-χαρτόσ'!L49</f>
        <v>0</v>
      </c>
      <c r="T49" s="410">
        <f>'13-ντιΜιΧο'!BZ49+'13-ντιΜιΧο'!CA49</f>
        <v>198.41</v>
      </c>
      <c r="U49" s="292">
        <f>'13-ντιΜιΧο'!CB49</f>
        <v>0</v>
      </c>
      <c r="V49" s="336"/>
      <c r="W49" s="326"/>
      <c r="X49" s="326"/>
      <c r="Y49" s="326"/>
      <c r="Z49" s="326"/>
      <c r="AA49" s="326"/>
      <c r="AB49" s="224"/>
    </row>
    <row r="50" spans="1:32">
      <c r="A50" s="434">
        <f>'1-συμβολαια'!A50</f>
        <v>4628</v>
      </c>
      <c r="B50" s="474">
        <f>'1-συμβολαια'!B50</f>
        <v>24</v>
      </c>
      <c r="C50" s="472" t="str">
        <f>'1-συμβολαια'!C50</f>
        <v>πληρεξούσιο</v>
      </c>
      <c r="D50" s="475">
        <f>'1-συμβολαια'!D50</f>
        <v>0</v>
      </c>
      <c r="E50" s="451"/>
      <c r="F50" s="451"/>
      <c r="G50" s="451"/>
      <c r="H50" s="451"/>
      <c r="I50" s="451"/>
      <c r="J50" s="451"/>
      <c r="K50" s="410">
        <f>'1-συμβολαια'!N50</f>
        <v>19.2714</v>
      </c>
      <c r="L50" s="410">
        <f>'2-δικαιώμ'!O50+'5-αντίγρ'!O50</f>
        <v>1.2686000000000002</v>
      </c>
      <c r="M50" s="410">
        <v>1.68</v>
      </c>
      <c r="N50" s="476"/>
      <c r="O50" s="410">
        <f>'1-συμβολαια'!O50</f>
        <v>-2.3500000000000014</v>
      </c>
      <c r="P50" s="410"/>
      <c r="Q50" s="410">
        <f>'8-κ-15-17'!AG50</f>
        <v>0</v>
      </c>
      <c r="R50" s="476">
        <f>'10-φπα'!E50</f>
        <v>0</v>
      </c>
      <c r="S50" s="410">
        <f>'11-χαρτόσ'!L50</f>
        <v>0</v>
      </c>
      <c r="T50" s="410">
        <f>'13-ντιΜιΧο'!BZ50+'13-ντιΜιΧο'!CA50</f>
        <v>0.3</v>
      </c>
      <c r="U50" s="292">
        <f>'13-ντιΜιΧο'!CB50</f>
        <v>0</v>
      </c>
      <c r="V50" s="336"/>
      <c r="W50" s="326"/>
      <c r="X50" s="326"/>
      <c r="Y50" s="326"/>
      <c r="Z50" s="326"/>
      <c r="AA50" s="326"/>
      <c r="AB50" s="224"/>
    </row>
    <row r="51" spans="1:32">
      <c r="A51" s="473">
        <f>'1-συμβολαια'!A51</f>
        <v>4629</v>
      </c>
      <c r="B51" s="474">
        <f>'1-συμβολαια'!B51</f>
        <v>24</v>
      </c>
      <c r="C51" s="472" t="str">
        <f>'1-συμβολαια'!C51</f>
        <v>κληρονομιάς ΑΠΟΔΟΧΗ</v>
      </c>
      <c r="D51" s="475">
        <f>'1-συμβολαια'!D51</f>
        <v>0</v>
      </c>
      <c r="E51" s="451"/>
      <c r="F51" s="451"/>
      <c r="G51" s="451"/>
      <c r="H51" s="451"/>
      <c r="I51" s="451"/>
      <c r="J51" s="451"/>
      <c r="K51" s="410">
        <f>'1-συμβολαια'!N51</f>
        <v>72.337899999999991</v>
      </c>
      <c r="L51" s="410">
        <f>'2-δικαιώμ'!O51+'5-αντίγρ'!O51</f>
        <v>7.4921000000000006</v>
      </c>
      <c r="M51" s="410">
        <v>7.49</v>
      </c>
      <c r="N51" s="476"/>
      <c r="O51" s="410">
        <f>'1-συμβολαια'!O51</f>
        <v>54</v>
      </c>
      <c r="P51" s="410"/>
      <c r="Q51" s="410"/>
      <c r="R51" s="476">
        <f>'10-φπα'!E51</f>
        <v>0</v>
      </c>
      <c r="S51" s="410">
        <f>'11-χαρτόσ'!L51</f>
        <v>0</v>
      </c>
      <c r="T51" s="410">
        <f>'13-ντιΜιΧο'!BZ51+'13-ντιΜιΧο'!CA51</f>
        <v>501.12</v>
      </c>
      <c r="U51" s="292">
        <f>'13-ντιΜιΧο'!CB51</f>
        <v>0</v>
      </c>
      <c r="V51" s="336"/>
      <c r="W51" s="326"/>
      <c r="X51" s="326"/>
      <c r="Y51" s="326"/>
      <c r="Z51" s="326"/>
      <c r="AA51" s="326"/>
      <c r="AB51" s="224"/>
    </row>
    <row r="52" spans="1:32">
      <c r="A52" s="473">
        <f>'1-συμβολαια'!A52</f>
        <v>0</v>
      </c>
      <c r="B52" s="474">
        <f>'1-συμβολαια'!B52</f>
        <v>0</v>
      </c>
      <c r="C52" s="472" t="str">
        <f>'1-συμβολαια'!C52</f>
        <v>ΧΡΗΣΙΚΤΗΣΙΑ αγροτεμαχίου = 1980 πατρός ΚΛΗΡΟΝΟΜΙΑ άτυπη</v>
      </c>
      <c r="D52" s="475">
        <f>'1-συμβολαια'!D52</f>
        <v>1111</v>
      </c>
      <c r="E52" s="451"/>
      <c r="F52" s="451"/>
      <c r="G52" s="451"/>
      <c r="H52" s="451"/>
      <c r="I52" s="451"/>
      <c r="J52" s="451"/>
      <c r="K52" s="410"/>
      <c r="L52" s="410">
        <f>'2-δικαιώμ'!O52+'5-αντίγρ'!O52</f>
        <v>4.2555160000000001</v>
      </c>
      <c r="M52" s="410"/>
      <c r="N52" s="476"/>
      <c r="O52" s="410">
        <f>'1-συμβολαια'!O52</f>
        <v>33.590564000000001</v>
      </c>
      <c r="P52" s="410">
        <f t="shared" si="0"/>
        <v>4.2555160000000001</v>
      </c>
      <c r="Q52" s="410">
        <f>'8-κ-15-17'!AG52</f>
        <v>8.6102500000000006</v>
      </c>
      <c r="R52" s="476">
        <f>'10-φπα'!E52</f>
        <v>0</v>
      </c>
      <c r="S52" s="410">
        <f>'11-χαρτόσ'!L52</f>
        <v>0</v>
      </c>
      <c r="T52" s="410">
        <f>'13-ντιΜιΧο'!BZ52+'13-ντιΜιΧο'!CA52</f>
        <v>5.86</v>
      </c>
      <c r="U52" s="292">
        <f>'13-ντιΜιΧο'!CB52</f>
        <v>0</v>
      </c>
      <c r="V52" s="336"/>
      <c r="W52" s="326"/>
      <c r="X52" s="326"/>
      <c r="Y52" s="326"/>
      <c r="Z52" s="326"/>
      <c r="AA52" s="326"/>
      <c r="AB52" s="224"/>
    </row>
    <row r="53" spans="1:32">
      <c r="A53" s="473">
        <f>'1-συμβολαια'!A53</f>
        <v>0</v>
      </c>
      <c r="B53" s="474">
        <f>'1-συμβολαια'!B53</f>
        <v>0</v>
      </c>
      <c r="C53" s="472" t="str">
        <f>'1-συμβολαια'!C53</f>
        <v>ΧΡΗΣΙΚΤΗΣΙΑ αγροτεμαχίου = 1980 ΔΙΑΝΟΜΗ άτυπη</v>
      </c>
      <c r="D53" s="475">
        <f>'1-συμβολαια'!D53</f>
        <v>11</v>
      </c>
      <c r="E53" s="451"/>
      <c r="F53" s="451"/>
      <c r="G53" s="451"/>
      <c r="H53" s="451"/>
      <c r="I53" s="451"/>
      <c r="J53" s="451"/>
      <c r="K53" s="410"/>
      <c r="L53" s="410">
        <f>'2-δικαιώμ'!O53+'5-αντίγρ'!O53</f>
        <v>0.55799999999999994</v>
      </c>
      <c r="M53" s="410"/>
      <c r="N53" s="476"/>
      <c r="O53" s="410">
        <f>'1-συμβολαια'!O53</f>
        <v>23.492000000000004</v>
      </c>
      <c r="P53" s="410">
        <f t="shared" si="0"/>
        <v>0.55799999999999994</v>
      </c>
      <c r="Q53" s="410">
        <f>'8-κ-15-17'!AG53</f>
        <v>8.5250000000000006E-2</v>
      </c>
      <c r="R53" s="476">
        <f>'10-φπα'!E53</f>
        <v>0</v>
      </c>
      <c r="S53" s="410">
        <f>'11-χαρτόσ'!L53</f>
        <v>0</v>
      </c>
      <c r="T53" s="410">
        <f>'13-ντιΜιΧο'!BZ53+'13-ντιΜιΧο'!CA53</f>
        <v>5.86</v>
      </c>
      <c r="U53" s="292">
        <f>'13-ντιΜιΧο'!CB53</f>
        <v>0</v>
      </c>
      <c r="V53" s="336"/>
      <c r="W53" s="326"/>
      <c r="X53" s="326"/>
      <c r="Y53" s="326"/>
      <c r="Z53" s="326"/>
      <c r="AA53" s="326"/>
      <c r="AB53" s="224"/>
    </row>
    <row r="54" spans="1:32">
      <c r="A54" s="547">
        <f>'1-συμβολαια'!A54</f>
        <v>4630</v>
      </c>
      <c r="B54" s="474">
        <f>'1-συμβολαια'!B54</f>
        <v>28</v>
      </c>
      <c r="C54" s="472" t="str">
        <f>'1-συμβολαια'!C54</f>
        <v xml:space="preserve">αγοραπωλησίας ΠΡΟΣΥΜΦΩΝΟ τίμημα = αρραβών = </v>
      </c>
      <c r="D54" s="475">
        <f>'1-συμβολαια'!D54</f>
        <v>8804.1</v>
      </c>
      <c r="E54" s="451"/>
      <c r="F54" s="451"/>
      <c r="G54" s="451"/>
      <c r="H54" s="451"/>
      <c r="I54" s="451"/>
      <c r="J54" s="451"/>
      <c r="K54" s="410">
        <f>'1-συμβολαια'!N54</f>
        <v>128.52490799999998</v>
      </c>
      <c r="L54" s="410">
        <f>'2-δικαιώμ'!O54+'5-αντίγρ'!O54</f>
        <v>19.255092000000005</v>
      </c>
      <c r="M54" s="410">
        <v>19.260000000000002</v>
      </c>
      <c r="N54" s="476"/>
      <c r="O54" s="410">
        <f>'1-συμβολαια'!O54</f>
        <v>-7.6267199999999917</v>
      </c>
      <c r="P54" s="410"/>
      <c r="Q54" s="410"/>
      <c r="R54" s="476">
        <f>'10-φπα'!E54</f>
        <v>0</v>
      </c>
      <c r="S54" s="410">
        <f>'11-χαρτόσ'!L54</f>
        <v>0</v>
      </c>
      <c r="T54" s="410">
        <f>'13-ντιΜιΧο'!BZ54+'13-ντιΜιΧο'!CA54</f>
        <v>13.22</v>
      </c>
      <c r="U54" s="292">
        <f>'13-ντιΜιΧο'!CB54</f>
        <v>0</v>
      </c>
      <c r="V54" s="336"/>
      <c r="W54" s="326"/>
      <c r="X54" s="326"/>
      <c r="Y54" s="326"/>
      <c r="Z54" s="326"/>
      <c r="AA54" s="326"/>
      <c r="AB54" s="224"/>
    </row>
    <row r="55" spans="1:32">
      <c r="A55" s="547">
        <f>'1-συμβολαια'!A55</f>
        <v>0</v>
      </c>
      <c r="B55" s="474">
        <f>'1-συμβολαια'!B55</f>
        <v>0</v>
      </c>
      <c r="C55" s="472" t="str">
        <f>'1-συμβολαια'!C55</f>
        <v>ΧΡΗΣΙΚΤΗΣΙΑ αγροτεμαχίου = 1970 συζύγου ΔΩΡΕΑ άτυπη</v>
      </c>
      <c r="D55" s="475">
        <f>'1-συμβολαια'!D55</f>
        <v>5555</v>
      </c>
      <c r="E55" s="451"/>
      <c r="F55" s="451"/>
      <c r="G55" s="451"/>
      <c r="H55" s="451"/>
      <c r="I55" s="451"/>
      <c r="J55" s="451"/>
      <c r="K55" s="410"/>
      <c r="L55" s="410">
        <f>'2-δικαιώμ'!O55+'5-αντίγρ'!O55</f>
        <v>11.274912</v>
      </c>
      <c r="M55" s="410"/>
      <c r="N55" s="476"/>
      <c r="O55" s="410">
        <f>'1-συμβολαια'!O55</f>
        <v>70.509168000000003</v>
      </c>
      <c r="P55" s="410">
        <f t="shared" si="0"/>
        <v>11.274912</v>
      </c>
      <c r="Q55" s="410"/>
      <c r="R55" s="476">
        <f>'10-φπα'!E55</f>
        <v>0</v>
      </c>
      <c r="S55" s="410">
        <f>'11-χαρτόσ'!L55</f>
        <v>0</v>
      </c>
      <c r="T55" s="410">
        <f>'13-ντιΜιΧο'!BZ55+'13-ντιΜιΧο'!CA55</f>
        <v>0</v>
      </c>
      <c r="U55" s="292">
        <f>'13-ντιΜιΧο'!CB55</f>
        <v>0</v>
      </c>
      <c r="V55" s="336"/>
      <c r="W55" s="326"/>
      <c r="X55" s="326"/>
      <c r="Y55" s="326"/>
      <c r="Z55" s="326"/>
      <c r="AA55" s="326"/>
      <c r="AB55" s="224"/>
    </row>
    <row r="56" spans="1:32">
      <c r="A56" s="434">
        <f>'1-συμβολαια'!A56</f>
        <v>4631</v>
      </c>
      <c r="B56" s="474">
        <f>'1-συμβολαια'!B56</f>
        <v>28</v>
      </c>
      <c r="C56" s="472" t="str">
        <f>'1-συμβολαια'!C56</f>
        <v>αγοραπωλησίας 4.191 ΕΞΟΦΛΗΣΗ</v>
      </c>
      <c r="D56" s="475">
        <f>'1-συμβολαια'!D56</f>
        <v>0</v>
      </c>
      <c r="E56" s="451"/>
      <c r="F56" s="451"/>
      <c r="G56" s="451"/>
      <c r="H56" s="451"/>
      <c r="I56" s="451"/>
      <c r="J56" s="451"/>
      <c r="K56" s="410">
        <f>'1-συμβολαια'!N56</f>
        <v>26.672000000000001</v>
      </c>
      <c r="L56" s="410">
        <f>'2-δικαιώμ'!O56+'5-αντίγρ'!O56</f>
        <v>0.55800000000000005</v>
      </c>
      <c r="M56" s="410">
        <v>0.56000000000000005</v>
      </c>
      <c r="N56" s="476"/>
      <c r="O56" s="410">
        <f>'1-συμβολαια'!O56</f>
        <v>-15.5</v>
      </c>
      <c r="P56" s="410"/>
      <c r="Q56" s="410"/>
      <c r="R56" s="476">
        <f>'10-φπα'!E56</f>
        <v>0</v>
      </c>
      <c r="S56" s="410">
        <f>'11-χαρτόσ'!L56</f>
        <v>0</v>
      </c>
      <c r="T56" s="410">
        <f>'13-ντιΜιΧο'!BZ56+'13-ντιΜιΧο'!CA56</f>
        <v>11.61</v>
      </c>
      <c r="U56" s="292">
        <f>'13-ντιΜιΧο'!CB56</f>
        <v>0</v>
      </c>
      <c r="V56" s="336"/>
      <c r="W56" s="326"/>
      <c r="X56" s="326"/>
      <c r="Y56" s="326"/>
      <c r="Z56" s="326"/>
      <c r="AA56" s="326"/>
      <c r="AB56" s="224"/>
    </row>
    <row r="57" spans="1:32">
      <c r="A57" s="434"/>
      <c r="B57" s="474"/>
      <c r="C57" s="472"/>
      <c r="D57" s="475"/>
      <c r="E57" s="451"/>
      <c r="F57" s="451"/>
      <c r="G57" s="451"/>
      <c r="H57" s="451"/>
      <c r="I57" s="451"/>
      <c r="J57" s="451"/>
      <c r="K57" s="410"/>
      <c r="L57" s="410"/>
      <c r="M57" s="410"/>
      <c r="N57" s="476"/>
      <c r="O57" s="410">
        <f>'1-συμβολαια'!O57</f>
        <v>0</v>
      </c>
      <c r="P57" s="410"/>
      <c r="Q57" s="410"/>
      <c r="R57" s="476">
        <f>'10-φπα'!E57</f>
        <v>0</v>
      </c>
      <c r="S57" s="410">
        <f>'11-χαρτόσ'!L57</f>
        <v>0</v>
      </c>
      <c r="T57" s="410">
        <f>'13-ντιΜιΧο'!BZ57+'13-ντιΜιΧο'!CA57</f>
        <v>0</v>
      </c>
      <c r="U57" s="292">
        <f>'13-ντιΜιΧο'!CB57</f>
        <v>0</v>
      </c>
      <c r="V57" s="336"/>
      <c r="W57" s="326"/>
      <c r="X57" s="326"/>
      <c r="Y57" s="326"/>
      <c r="Z57" s="326"/>
      <c r="AA57" s="326"/>
      <c r="AB57" s="224"/>
    </row>
    <row r="58" spans="1:32">
      <c r="A58" s="434"/>
      <c r="B58" s="474"/>
      <c r="C58" s="472"/>
      <c r="D58" s="475"/>
      <c r="E58" s="451"/>
      <c r="F58" s="451"/>
      <c r="G58" s="451"/>
      <c r="H58" s="451"/>
      <c r="I58" s="451"/>
      <c r="J58" s="451"/>
      <c r="K58" s="410"/>
      <c r="L58" s="410"/>
      <c r="M58" s="410"/>
      <c r="N58" s="476"/>
      <c r="O58" s="410">
        <f>'1-συμβολαια'!O58</f>
        <v>0</v>
      </c>
      <c r="P58" s="410"/>
      <c r="Q58" s="410"/>
      <c r="R58" s="476">
        <f>'10-φπα'!E58</f>
        <v>0</v>
      </c>
      <c r="S58" s="410">
        <f>'11-χαρτόσ'!L58</f>
        <v>0</v>
      </c>
      <c r="T58" s="410">
        <f>'13-ντιΜιΧο'!BZ58+'13-ντιΜιΧο'!CA58</f>
        <v>0</v>
      </c>
      <c r="U58" s="292">
        <f>'13-ντιΜιΧο'!CB58</f>
        <v>0</v>
      </c>
      <c r="V58" s="336"/>
      <c r="W58" s="326"/>
      <c r="X58" s="326"/>
      <c r="Y58" s="326"/>
      <c r="Z58" s="326"/>
      <c r="AA58" s="326"/>
      <c r="AB58" s="224"/>
    </row>
    <row r="59" spans="1:32">
      <c r="A59" s="803" t="s">
        <v>56</v>
      </c>
      <c r="B59" s="803"/>
      <c r="C59" s="803"/>
      <c r="D59" s="803"/>
      <c r="E59" s="11">
        <f t="shared" ref="E59:AB59" si="1">SUM(E3:E58)</f>
        <v>0</v>
      </c>
      <c r="F59" s="11">
        <f t="shared" si="1"/>
        <v>0</v>
      </c>
      <c r="G59" s="11">
        <f t="shared" si="1"/>
        <v>0</v>
      </c>
      <c r="H59" s="11">
        <f t="shared" si="1"/>
        <v>0</v>
      </c>
      <c r="I59" s="11">
        <f t="shared" si="1"/>
        <v>0</v>
      </c>
      <c r="J59" s="11">
        <f t="shared" si="1"/>
        <v>0</v>
      </c>
      <c r="K59" s="11">
        <f t="shared" si="1"/>
        <v>3159.0254280000008</v>
      </c>
      <c r="L59" s="11">
        <f t="shared" si="1"/>
        <v>538.18397999999979</v>
      </c>
      <c r="M59" s="11">
        <f t="shared" si="1"/>
        <v>424.56</v>
      </c>
      <c r="N59" s="477">
        <f t="shared" si="1"/>
        <v>0</v>
      </c>
      <c r="O59" s="11">
        <f t="shared" si="1"/>
        <v>2488.9950824999996</v>
      </c>
      <c r="P59" s="11">
        <f t="shared" si="1"/>
        <v>126.372384</v>
      </c>
      <c r="Q59" s="11">
        <f t="shared" si="1"/>
        <v>347.09727500000002</v>
      </c>
      <c r="R59" s="477">
        <f t="shared" si="1"/>
        <v>0</v>
      </c>
      <c r="S59" s="11">
        <f t="shared" si="1"/>
        <v>0</v>
      </c>
      <c r="T59" s="11">
        <f t="shared" si="1"/>
        <v>5018.4881999999998</v>
      </c>
      <c r="U59" s="293">
        <f t="shared" si="1"/>
        <v>0</v>
      </c>
      <c r="V59" s="337">
        <f t="shared" si="1"/>
        <v>0</v>
      </c>
      <c r="W59" s="337">
        <f t="shared" si="1"/>
        <v>0</v>
      </c>
      <c r="X59" s="337">
        <f t="shared" si="1"/>
        <v>0</v>
      </c>
      <c r="Y59" s="337">
        <f t="shared" si="1"/>
        <v>0</v>
      </c>
      <c r="Z59" s="337">
        <f t="shared" si="1"/>
        <v>0</v>
      </c>
      <c r="AA59" s="337">
        <f t="shared" si="1"/>
        <v>0</v>
      </c>
      <c r="AB59" s="338">
        <f t="shared" si="1"/>
        <v>0</v>
      </c>
    </row>
    <row r="61" spans="1:32" ht="15.75" customHeight="1">
      <c r="E61" s="72"/>
      <c r="F61" s="72"/>
      <c r="G61" s="72"/>
      <c r="H61" s="72"/>
      <c r="I61" s="72"/>
      <c r="J61" s="72"/>
      <c r="K61" s="73">
        <f>E59+G59+K59</f>
        <v>3159.0254280000008</v>
      </c>
      <c r="L61" s="73"/>
      <c r="M61" s="73"/>
      <c r="V61" s="2"/>
      <c r="W61" s="2"/>
      <c r="X61" s="2"/>
      <c r="Y61" s="2"/>
      <c r="Z61" s="2"/>
    </row>
    <row r="62" spans="1:32">
      <c r="W62" s="100"/>
      <c r="X62" s="100"/>
      <c r="Y62" s="100"/>
      <c r="Z62" s="100"/>
      <c r="AA62" s="100"/>
      <c r="AB62" s="100"/>
      <c r="AC62" s="100"/>
      <c r="AD62" s="100"/>
      <c r="AE62" s="100"/>
      <c r="AF62" s="100"/>
    </row>
    <row r="63" spans="1:32">
      <c r="W63" s="100"/>
      <c r="X63" s="100"/>
      <c r="Y63" s="100"/>
      <c r="Z63" s="100"/>
      <c r="AA63" s="100"/>
      <c r="AB63" s="100"/>
      <c r="AC63" s="100"/>
      <c r="AD63" s="100"/>
      <c r="AE63" s="100"/>
      <c r="AF63" s="100"/>
    </row>
    <row r="64" spans="1:32" s="5" customFormat="1">
      <c r="A64" s="66"/>
      <c r="B64" s="136"/>
      <c r="C64" s="137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100"/>
      <c r="W64" s="100"/>
      <c r="X64" s="100"/>
      <c r="Y64" s="100"/>
      <c r="Z64" s="100"/>
      <c r="AA64" s="100"/>
      <c r="AB64" s="100"/>
      <c r="AC64" s="100"/>
      <c r="AD64" s="100"/>
      <c r="AE64" s="100"/>
      <c r="AF64" s="100"/>
    </row>
    <row r="65" spans="1:32" s="5" customFormat="1">
      <c r="A65" s="66"/>
      <c r="B65" s="136"/>
      <c r="C65" s="255" t="s">
        <v>613</v>
      </c>
      <c r="E65" s="4"/>
      <c r="F65" s="4"/>
      <c r="G65" s="4"/>
      <c r="H65" s="4"/>
      <c r="I65" s="4"/>
      <c r="J65" s="4"/>
      <c r="K65" s="4"/>
      <c r="L65" s="582"/>
      <c r="M65" s="4"/>
      <c r="N65" s="4"/>
      <c r="O65" s="582">
        <f>O3+O5+O6+O8+O9+O10+O11+O12+O13+O14+O15+O16+O19+O20+O21+O22+O24+O28+O29+O30+O32+O33+O35+O37+O38+O39+O42+O44+O47+O50+O51+O54+O56</f>
        <v>1302.8777305000001</v>
      </c>
      <c r="P65" s="582">
        <f t="shared" ref="P65:Q65" si="2">P3+P5+P6+P8+P9+P10+P11+P12+P13+P14+P15+P16+P19+P20+P21+P22+P24+P28+P29+P30+P32+P33+P35+P37+P38+P39+P42+P44+P47+P50+P51+P54+P56</f>
        <v>7.5114000000000001</v>
      </c>
      <c r="Q65" s="582">
        <f t="shared" si="2"/>
        <v>19.822525000000006</v>
      </c>
      <c r="R65" s="4"/>
      <c r="S65" s="4"/>
      <c r="T65" s="161"/>
      <c r="U65" s="4"/>
      <c r="V65" s="100"/>
      <c r="W65" s="3"/>
      <c r="X65" s="100"/>
      <c r="Y65" s="100"/>
      <c r="Z65" s="100"/>
      <c r="AA65" s="497">
        <f>'1-συμβολαια'!K69+'2-δικαιώμ'!E81+'4-πολλυπρ'!P66+'6-μεταγρ'!U69+'12-πολλαπλές'!C77+'13-ντιΜιΧο'!CA82+'14-βιβλΕσ'!O65+'14-βιβλΕσ'!P65+'14-βιβλΕσ'!Q65</f>
        <v>2295.6511234999998</v>
      </c>
      <c r="AB65" s="100" t="s">
        <v>47</v>
      </c>
      <c r="AC65" s="100"/>
      <c r="AD65" s="100"/>
      <c r="AE65" s="100"/>
      <c r="AF65" s="100"/>
    </row>
    <row r="66" spans="1:32" s="5" customFormat="1">
      <c r="A66" s="66"/>
      <c r="B66" s="136"/>
      <c r="C66" s="254" t="s">
        <v>614</v>
      </c>
      <c r="E66" s="4"/>
      <c r="F66" s="4"/>
      <c r="G66" s="4"/>
      <c r="H66" s="4"/>
      <c r="I66" s="4"/>
      <c r="J66" s="4"/>
      <c r="K66" s="4"/>
      <c r="L66" s="584"/>
      <c r="M66" s="4"/>
      <c r="N66" s="4"/>
      <c r="O66" s="584">
        <f>O59-O65</f>
        <v>1186.1173519999995</v>
      </c>
      <c r="P66" s="584">
        <f t="shared" ref="P66:Q66" si="3">P59-P65</f>
        <v>118.860984</v>
      </c>
      <c r="Q66" s="584">
        <f t="shared" si="3"/>
        <v>327.27475000000004</v>
      </c>
      <c r="R66" s="4"/>
      <c r="S66" s="4"/>
      <c r="T66" s="4"/>
      <c r="U66" s="4"/>
      <c r="V66" s="4"/>
      <c r="W66" s="4"/>
      <c r="X66" s="4"/>
      <c r="Y66" s="4"/>
      <c r="Z66" s="4"/>
      <c r="AA66" s="584">
        <f>'3-φύλλα2α'!F66+'5-αντίγρ'!AP83+'6-μεταγρ'!U70+'7-προςΔΟΥ'!R67+'8-κ-15-17'!AE72+'12-πολλαπλές'!C78+'13-ντιΜιΧο'!CA83+'14-βιβλΕσ'!O66+'14-βιβλΕσ'!P66+'14-βιβλΕσ'!Q66</f>
        <v>8515.8398269999998</v>
      </c>
      <c r="AB66" s="100" t="s">
        <v>47</v>
      </c>
      <c r="AC66" s="100"/>
      <c r="AD66" s="100"/>
      <c r="AE66" s="100"/>
      <c r="AF66" s="100"/>
    </row>
    <row r="67" spans="1:32" s="5" customFormat="1">
      <c r="A67" s="66"/>
      <c r="B67" s="136"/>
      <c r="C67" s="13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100"/>
      <c r="W67" s="100"/>
      <c r="X67" s="100"/>
      <c r="Y67" s="100"/>
      <c r="Z67" s="100"/>
      <c r="AA67" s="100"/>
      <c r="AB67" s="100"/>
      <c r="AC67" s="100"/>
      <c r="AD67" s="100"/>
      <c r="AE67" s="100"/>
      <c r="AF67" s="100"/>
    </row>
    <row r="68" spans="1:32" s="5" customFormat="1">
      <c r="A68" s="66"/>
      <c r="B68" s="136"/>
      <c r="C68" s="137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</row>
    <row r="69" spans="1:32">
      <c r="L69" s="4"/>
      <c r="P69" s="4"/>
      <c r="Q69" s="4"/>
      <c r="W69" s="100"/>
      <c r="X69" s="100"/>
      <c r="Y69" s="100"/>
      <c r="Z69" s="100"/>
      <c r="AA69" s="100"/>
      <c r="AB69" s="100"/>
      <c r="AC69" s="100"/>
      <c r="AD69" s="100"/>
      <c r="AE69" s="100"/>
      <c r="AF69" s="100"/>
    </row>
    <row r="70" spans="1:32">
      <c r="L70" s="4"/>
      <c r="P70" s="4"/>
    </row>
    <row r="71" spans="1:32">
      <c r="L71" s="4"/>
    </row>
    <row r="72" spans="1:32">
      <c r="L72" s="4"/>
    </row>
  </sheetData>
  <mergeCells count="14">
    <mergeCell ref="E1:F1"/>
    <mergeCell ref="G1:H1"/>
    <mergeCell ref="I1:J1"/>
    <mergeCell ref="A59:D59"/>
    <mergeCell ref="A1:A2"/>
    <mergeCell ref="B1:B2"/>
    <mergeCell ref="C1:C2"/>
    <mergeCell ref="D1:D2"/>
    <mergeCell ref="V1:AB1"/>
    <mergeCell ref="V2:AA2"/>
    <mergeCell ref="O1:U1"/>
    <mergeCell ref="N1:N2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61"/>
  <sheetViews>
    <sheetView workbookViewId="0">
      <pane ySplit="2" topLeftCell="A35" activePane="bottomLeft" state="frozen"/>
      <selection pane="bottomLeft" activeCell="D64" sqref="D64"/>
    </sheetView>
  </sheetViews>
  <sheetFormatPr defaultRowHeight="11.25"/>
  <cols>
    <col min="1" max="1" width="8.140625" style="8" bestFit="1" customWidth="1"/>
    <col min="2" max="2" width="5.7109375" style="8" bestFit="1" customWidth="1"/>
    <col min="3" max="3" width="35.28515625" style="109" customWidth="1"/>
    <col min="4" max="4" width="17" style="3" customWidth="1"/>
    <col min="5" max="5" width="9.28515625" style="2" customWidth="1"/>
    <col min="6" max="6" width="7.5703125" style="2" bestFit="1" customWidth="1"/>
    <col min="7" max="7" width="9.42578125" style="2" bestFit="1" customWidth="1"/>
    <col min="8" max="9" width="15" style="2" customWidth="1"/>
    <col min="10" max="10" width="9.85546875" style="2" customWidth="1"/>
    <col min="11" max="11" width="11.140625" style="3" bestFit="1" customWidth="1"/>
    <col min="12" max="12" width="9.42578125" style="3" bestFit="1" customWidth="1"/>
    <col min="13" max="16384" width="9.140625" style="3"/>
  </cols>
  <sheetData>
    <row r="1" spans="1:11" ht="15.75">
      <c r="A1" s="811" t="s">
        <v>99</v>
      </c>
      <c r="B1" s="811"/>
      <c r="C1" s="811"/>
      <c r="D1" s="811"/>
      <c r="E1" s="811"/>
      <c r="F1" s="811"/>
      <c r="G1" s="811"/>
      <c r="H1" s="811"/>
      <c r="I1" s="811"/>
      <c r="J1" s="811"/>
    </row>
    <row r="2" spans="1:11" s="55" customFormat="1" ht="32.25" thickBot="1">
      <c r="A2" s="106" t="s">
        <v>1</v>
      </c>
      <c r="B2" s="105" t="s">
        <v>95</v>
      </c>
      <c r="C2" s="116" t="s">
        <v>0</v>
      </c>
      <c r="D2" s="56" t="s">
        <v>7</v>
      </c>
      <c r="E2" s="74" t="s">
        <v>6</v>
      </c>
      <c r="F2" s="75" t="s">
        <v>5</v>
      </c>
      <c r="G2" s="76" t="s">
        <v>88</v>
      </c>
      <c r="H2" s="94" t="s">
        <v>87</v>
      </c>
      <c r="I2" s="294" t="s">
        <v>461</v>
      </c>
      <c r="J2" s="77" t="s">
        <v>83</v>
      </c>
      <c r="K2" s="164"/>
    </row>
    <row r="3" spans="1:11" s="5" customFormat="1">
      <c r="A3" s="53">
        <f>'1-συμβολαια'!A3</f>
        <v>4600</v>
      </c>
      <c r="B3" s="53">
        <f>'1-συμβολαια'!B3</f>
        <v>2</v>
      </c>
      <c r="C3" s="114" t="str">
        <f>'1-συμβολαια'!C3</f>
        <v>δωρεά</v>
      </c>
      <c r="D3" s="54">
        <f>'1-συμβολαια'!D3</f>
        <v>5727.22</v>
      </c>
      <c r="E3" s="40">
        <f>'14-βιβλΕσ'!E3</f>
        <v>0</v>
      </c>
      <c r="F3" s="40">
        <f>'14-βιβλΕσ'!G3</f>
        <v>0</v>
      </c>
      <c r="G3" s="40">
        <f>'14-βιβλΕσ'!I3</f>
        <v>0</v>
      </c>
      <c r="H3" s="17">
        <f>'14-βιβλΕσ'!K3</f>
        <v>118.44269199999998</v>
      </c>
      <c r="I3" s="17">
        <f>'14-βιβλΕσ'!L3</f>
        <v>14.427308</v>
      </c>
      <c r="J3" s="295">
        <f>'14-βιβλΕσ'!N3</f>
        <v>0</v>
      </c>
    </row>
    <row r="4" spans="1:11" s="5" customFormat="1">
      <c r="A4" s="53">
        <f>'1-συμβολαια'!A4</f>
        <v>0</v>
      </c>
      <c r="B4" s="53">
        <f>'1-συμβολαια'!B4</f>
        <v>0</v>
      </c>
      <c r="C4" s="114" t="str">
        <f>'1-συμβολαια'!C4</f>
        <v>ΧΡΗΣΙΚΤΗΣΙΑ οικοπέδου &amp; οικίας = 1930 πατρός ΔΩΡΕΑ άτυπη</v>
      </c>
      <c r="D4" s="54">
        <f>'1-συμβολαια'!D4</f>
        <v>3333</v>
      </c>
      <c r="E4" s="40">
        <f>'14-βιβλΕσ'!E4</f>
        <v>0</v>
      </c>
      <c r="F4" s="40">
        <f>'14-βιβλΕσ'!G4</f>
        <v>0</v>
      </c>
      <c r="G4" s="40">
        <f>'14-βιβλΕσ'!I4</f>
        <v>0</v>
      </c>
      <c r="H4" s="17">
        <f>'14-βιβλΕσ'!K4</f>
        <v>0</v>
      </c>
      <c r="I4" s="17">
        <f>'14-βιβλΕσ'!L4</f>
        <v>7.2753120000000013</v>
      </c>
      <c r="J4" s="295">
        <f>'14-βιβλΕσ'!N4</f>
        <v>0</v>
      </c>
    </row>
    <row r="5" spans="1:11" s="5" customFormat="1">
      <c r="A5" s="53">
        <f>'1-συμβολαια'!A5</f>
        <v>4601</v>
      </c>
      <c r="B5" s="53">
        <f>'1-συμβολαια'!B5</f>
        <v>9</v>
      </c>
      <c r="C5" s="114" t="str">
        <f>'1-συμβολαια'!C5</f>
        <v>αγοραπωλησίας 13.835κ ΕΞΟΦΛΗΣΗ</v>
      </c>
      <c r="D5" s="54">
        <f>'1-συμβολαια'!D5</f>
        <v>0</v>
      </c>
      <c r="E5" s="40">
        <f>'14-βιβλΕσ'!E5</f>
        <v>0</v>
      </c>
      <c r="F5" s="40">
        <f>'14-βιβλΕσ'!G5</f>
        <v>0</v>
      </c>
      <c r="G5" s="40">
        <f>'14-βιβλΕσ'!I5</f>
        <v>0</v>
      </c>
      <c r="H5" s="17">
        <f>'14-βιβλΕσ'!K5</f>
        <v>31.350200000000001</v>
      </c>
      <c r="I5" s="17">
        <f>'14-βιβλΕσ'!L5</f>
        <v>2.6898</v>
      </c>
      <c r="J5" s="295">
        <f>'14-βιβλΕσ'!N5</f>
        <v>0</v>
      </c>
      <c r="K5" s="66"/>
    </row>
    <row r="6" spans="1:11" s="5" customFormat="1">
      <c r="A6" s="53">
        <f>'1-συμβολαια'!A6</f>
        <v>4602</v>
      </c>
      <c r="B6" s="53">
        <f>'1-συμβολαια'!B6</f>
        <v>10</v>
      </c>
      <c r="C6" s="114" t="str">
        <f>'1-συμβολαια'!C6</f>
        <v>κληρονομιάς ΑΠΟΔΟΧΗ</v>
      </c>
      <c r="D6" s="54">
        <f>'1-συμβολαια'!D6</f>
        <v>0</v>
      </c>
      <c r="E6" s="40">
        <f>'14-βιβλΕσ'!E6</f>
        <v>0</v>
      </c>
      <c r="F6" s="40">
        <f>'14-βιβλΕσ'!G6</f>
        <v>0</v>
      </c>
      <c r="G6" s="40">
        <f>'14-βιβλΕσ'!I6</f>
        <v>0</v>
      </c>
      <c r="H6" s="17">
        <f>'14-βιβλΕσ'!K6</f>
        <v>40.350299999999997</v>
      </c>
      <c r="I6" s="17">
        <f>'14-βιβλΕσ'!L6</f>
        <v>4.6497000000000002</v>
      </c>
      <c r="J6" s="295">
        <f>'14-βιβλΕσ'!N6</f>
        <v>0</v>
      </c>
      <c r="K6" s="4"/>
    </row>
    <row r="7" spans="1:11" s="5" customFormat="1">
      <c r="A7" s="53">
        <f>'1-συμβολαια'!A7</f>
        <v>0</v>
      </c>
      <c r="B7" s="53">
        <f>'1-συμβολαια'!B7</f>
        <v>0</v>
      </c>
      <c r="C7" s="114" t="str">
        <f>'1-συμβολαια'!C7</f>
        <v>ΧΡΗΣΙΚΤΗΣΙΑ αγροτεμαχίου = 19?? ΑΝΑΔΑΣΜΟΣ</v>
      </c>
      <c r="D7" s="54">
        <f>'1-συμβολαια'!D7</f>
        <v>1111</v>
      </c>
      <c r="E7" s="40">
        <f>'14-βιβλΕσ'!E7</f>
        <v>0</v>
      </c>
      <c r="F7" s="40">
        <f>'14-βιβλΕσ'!G7</f>
        <v>0</v>
      </c>
      <c r="G7" s="40">
        <f>'14-βιβλΕσ'!I7</f>
        <v>0</v>
      </c>
      <c r="H7" s="17">
        <f>'14-βιβλΕσ'!K7</f>
        <v>0</v>
      </c>
      <c r="I7" s="17">
        <f>'14-βιβλΕσ'!L7</f>
        <v>3.2757120000000004</v>
      </c>
      <c r="J7" s="295">
        <f>'14-βιβλΕσ'!N7</f>
        <v>0</v>
      </c>
      <c r="K7" s="4"/>
    </row>
    <row r="8" spans="1:11" s="5" customFormat="1">
      <c r="A8" s="53">
        <f>'1-συμβολαια'!A8</f>
        <v>4603</v>
      </c>
      <c r="B8" s="53">
        <f>'1-συμβολαια'!B8</f>
        <v>10</v>
      </c>
      <c r="C8" s="114" t="str">
        <f>'1-συμβολαια'!C8</f>
        <v>γονικής 11.618καπολα ΔΙΟΡΘΩΣΗ</v>
      </c>
      <c r="D8" s="54">
        <f>'1-συμβολαια'!D8</f>
        <v>0</v>
      </c>
      <c r="E8" s="40">
        <f>'14-βιβλΕσ'!E8</f>
        <v>0</v>
      </c>
      <c r="F8" s="40">
        <f>'14-βιβλΕσ'!G8</f>
        <v>0</v>
      </c>
      <c r="G8" s="40">
        <f>'14-βιβλΕσ'!I8</f>
        <v>0</v>
      </c>
      <c r="H8" s="17">
        <f>'14-βιβλΕσ'!K8</f>
        <v>24.8902</v>
      </c>
      <c r="I8" s="17">
        <f>'14-βιβλΕσ'!L8</f>
        <v>2.6898</v>
      </c>
      <c r="J8" s="295">
        <f>'14-βιβλΕσ'!N8</f>
        <v>0</v>
      </c>
      <c r="K8" s="4"/>
    </row>
    <row r="9" spans="1:11" s="5" customFormat="1">
      <c r="A9" s="53">
        <f>'1-συμβολαια'!A9</f>
        <v>4604</v>
      </c>
      <c r="B9" s="53">
        <f>'1-συμβολαια'!B9</f>
        <v>10</v>
      </c>
      <c r="C9" s="114" t="str">
        <f>'1-συμβολαια'!C9</f>
        <v>γονικής 11.619καπολα ΔΙΟΡΘΩΣΗ</v>
      </c>
      <c r="D9" s="54">
        <f>'1-συμβολαια'!D9</f>
        <v>0</v>
      </c>
      <c r="E9" s="40">
        <f>'14-βιβλΕσ'!E9</f>
        <v>0</v>
      </c>
      <c r="F9" s="40">
        <f>'14-βιβλΕσ'!G9</f>
        <v>0</v>
      </c>
      <c r="G9" s="40">
        <f>'14-βιβλΕσ'!I9</f>
        <v>0</v>
      </c>
      <c r="H9" s="17">
        <f>'14-βιβλΕσ'!K9</f>
        <v>34.280200000000001</v>
      </c>
      <c r="I9" s="17">
        <f>'14-βιβλΕσ'!L9</f>
        <v>2.6898</v>
      </c>
      <c r="J9" s="295">
        <f>'14-βιβλΕσ'!N9</f>
        <v>0</v>
      </c>
      <c r="K9" s="4"/>
    </row>
    <row r="10" spans="1:11" s="5" customFormat="1">
      <c r="A10" s="53">
        <f>'1-συμβολαια'!A10</f>
        <v>4605</v>
      </c>
      <c r="B10" s="53">
        <f>'1-συμβολαια'!B10</f>
        <v>10</v>
      </c>
      <c r="C10" s="114" t="str">
        <f>'1-συμβολαια'!C10</f>
        <v>* γονικής 11.618καπολα επικαρπίας ΕΝΣΩΜΑΤΩΣΗ {= παραίτηση αδερφής δικαιώματος οίκησης</v>
      </c>
      <c r="D10" s="54">
        <f>'1-συμβολαια'!D10</f>
        <v>2222</v>
      </c>
      <c r="E10" s="40">
        <f>'14-βιβλΕσ'!E10</f>
        <v>0</v>
      </c>
      <c r="F10" s="40">
        <f>'14-βιβλΕσ'!G10</f>
        <v>0</v>
      </c>
      <c r="G10" s="40">
        <f>'14-βιβλΕσ'!I10</f>
        <v>0</v>
      </c>
      <c r="H10" s="17">
        <f>'14-βιβλΕσ'!K10</f>
        <v>29.113288000000004</v>
      </c>
      <c r="I10" s="17">
        <f>'14-βιβλΕσ'!L10</f>
        <v>6.6967119999999998</v>
      </c>
      <c r="J10" s="295">
        <f>'14-βιβλΕσ'!N10</f>
        <v>0</v>
      </c>
      <c r="K10" s="4"/>
    </row>
    <row r="11" spans="1:11" s="5" customFormat="1">
      <c r="A11" s="53">
        <f>'1-συμβολαια'!A11</f>
        <v>4606</v>
      </c>
      <c r="B11" s="53">
        <f>'1-συμβολαια'!B11</f>
        <v>40</v>
      </c>
      <c r="C11" s="114" t="str">
        <f>'1-συμβολαια'!C11</f>
        <v>πληρεξούσιο</v>
      </c>
      <c r="D11" s="54">
        <f>'1-συμβολαια'!D11</f>
        <v>0</v>
      </c>
      <c r="E11" s="40">
        <f>'14-βιβλΕσ'!E11</f>
        <v>0</v>
      </c>
      <c r="F11" s="40">
        <f>'14-βιβλΕσ'!G11</f>
        <v>0</v>
      </c>
      <c r="G11" s="40">
        <f>'14-βιβλΕσ'!I11</f>
        <v>0</v>
      </c>
      <c r="H11" s="17">
        <f>'14-βιβλΕσ'!K11</f>
        <v>22.376100000000001</v>
      </c>
      <c r="I11" s="17">
        <f>'14-βιβλΕσ'!L11</f>
        <v>1.6239000000000001</v>
      </c>
      <c r="J11" s="295">
        <f>'14-βιβλΕσ'!N11</f>
        <v>0</v>
      </c>
      <c r="K11" s="4"/>
    </row>
    <row r="12" spans="1:11" s="5" customFormat="1">
      <c r="A12" s="53">
        <f>'1-συμβολαια'!A12</f>
        <v>4607</v>
      </c>
      <c r="B12" s="53">
        <f>'1-συμβολαια'!B12</f>
        <v>11</v>
      </c>
      <c r="C12" s="114" t="str">
        <f>'1-συμβολαια'!C12</f>
        <v>αγοραπωλησίας 3.919 ΔΙΟΡΘΩΣΗ</v>
      </c>
      <c r="D12" s="54">
        <f>'1-συμβολαια'!D12</f>
        <v>0</v>
      </c>
      <c r="E12" s="40">
        <f>'14-βιβλΕσ'!E12</f>
        <v>0</v>
      </c>
      <c r="F12" s="40">
        <f>'14-βιβλΕσ'!G12</f>
        <v>0</v>
      </c>
      <c r="G12" s="40">
        <f>'14-βιβλΕσ'!I12</f>
        <v>0</v>
      </c>
      <c r="H12" s="17">
        <f>'14-βιβλΕσ'!K12</f>
        <v>43.670200000000001</v>
      </c>
      <c r="I12" s="17">
        <f>'14-βιβλΕσ'!L12</f>
        <v>2.6898</v>
      </c>
      <c r="J12" s="295">
        <f>'14-βιβλΕσ'!N12</f>
        <v>0</v>
      </c>
      <c r="K12" s="4"/>
    </row>
    <row r="13" spans="1:11">
      <c r="A13" s="53">
        <f>'1-συμβολαια'!A13</f>
        <v>4608</v>
      </c>
      <c r="B13" s="53">
        <f>'1-συμβολαια'!B13</f>
        <v>14</v>
      </c>
      <c r="C13" s="114" t="str">
        <f>'1-συμβολαια'!C13</f>
        <v>αγοραπωλησία τίμημα = Δ.Ο.Υ. =</v>
      </c>
      <c r="D13" s="31">
        <f>'1-συμβολαια'!D13</f>
        <v>1572.77</v>
      </c>
      <c r="E13" s="40">
        <f>'14-βιβλΕσ'!E13</f>
        <v>0</v>
      </c>
      <c r="F13" s="40">
        <f>'14-βιβλΕσ'!G13</f>
        <v>0</v>
      </c>
      <c r="G13" s="40">
        <f>'14-βιβλΕσ'!I13</f>
        <v>0</v>
      </c>
      <c r="H13" s="17">
        <f>'14-βιβλΕσ'!K13</f>
        <v>63.450702000000007</v>
      </c>
      <c r="I13" s="17">
        <f>'14-βιβλΕσ'!L13</f>
        <v>6.9492979999999989</v>
      </c>
      <c r="J13" s="295">
        <f>'14-βιβλΕσ'!N13</f>
        <v>0</v>
      </c>
      <c r="K13" s="2"/>
    </row>
    <row r="14" spans="1:11">
      <c r="A14" s="53">
        <f>'1-συμβολαια'!A14</f>
        <v>4609</v>
      </c>
      <c r="B14" s="53">
        <f>'1-συμβολαια'!B14</f>
        <v>14</v>
      </c>
      <c r="C14" s="114" t="str">
        <f>'1-συμβολαια'!C14</f>
        <v>αγοραπωλησία τίμημα = 6.057,27 Δ.Ο.Υ. =</v>
      </c>
      <c r="D14" s="31">
        <f>'1-συμβολαια'!D14</f>
        <v>18257.27</v>
      </c>
      <c r="E14" s="40">
        <f>'14-βιβλΕσ'!E14</f>
        <v>0</v>
      </c>
      <c r="F14" s="40">
        <f>'14-βιβλΕσ'!G14</f>
        <v>0</v>
      </c>
      <c r="G14" s="40">
        <f>'14-βιβλΕσ'!I14</f>
        <v>0</v>
      </c>
      <c r="H14" s="17">
        <f>'14-βιβλΕσ'!K14</f>
        <v>253.008602</v>
      </c>
      <c r="I14" s="17">
        <f>'14-βιβλΕσ'!L14</f>
        <v>36.981397999999999</v>
      </c>
      <c r="J14" s="295">
        <f>'14-βιβλΕσ'!N14</f>
        <v>0</v>
      </c>
      <c r="K14" s="2"/>
    </row>
    <row r="15" spans="1:11">
      <c r="A15" s="53">
        <f>'1-συμβολαια'!A15</f>
        <v>4610</v>
      </c>
      <c r="B15" s="53">
        <f>'1-συμβολαια'!B15</f>
        <v>14</v>
      </c>
      <c r="C15" s="114" t="str">
        <f>'1-συμβολαια'!C15</f>
        <v>πληρεξούσιο</v>
      </c>
      <c r="D15" s="31">
        <f>'1-συμβολαια'!D15</f>
        <v>0</v>
      </c>
      <c r="E15" s="40">
        <f>'14-βιβλΕσ'!E15</f>
        <v>0</v>
      </c>
      <c r="F15" s="40">
        <f>'14-βιβλΕσ'!G15</f>
        <v>0</v>
      </c>
      <c r="G15" s="40">
        <f>'14-βιβλΕσ'!I15</f>
        <v>0</v>
      </c>
      <c r="H15" s="17">
        <f>'14-βιβλΕσ'!K15</f>
        <v>25.6114</v>
      </c>
      <c r="I15" s="17">
        <f>'14-βιβλΕσ'!L15</f>
        <v>1.2686000000000002</v>
      </c>
      <c r="J15" s="295">
        <f>'14-βιβλΕσ'!N15</f>
        <v>0</v>
      </c>
      <c r="K15" s="2"/>
    </row>
    <row r="16" spans="1:11">
      <c r="A16" s="53">
        <f>'1-συμβολαια'!A16</f>
        <v>4611</v>
      </c>
      <c r="B16" s="53">
        <f>'1-συμβολαια'!B16</f>
        <v>15</v>
      </c>
      <c r="C16" s="114" t="str">
        <f>'1-συμβολαια'!C16</f>
        <v>γονική</v>
      </c>
      <c r="D16" s="31">
        <f>'1-συμβολαια'!D16</f>
        <v>33521.660000000003</v>
      </c>
      <c r="E16" s="40">
        <f>'14-βιβλΕσ'!E16</f>
        <v>0</v>
      </c>
      <c r="F16" s="40">
        <f>'14-βιβλΕσ'!G16</f>
        <v>0</v>
      </c>
      <c r="G16" s="40">
        <f>'14-βιβλΕσ'!I16</f>
        <v>0</v>
      </c>
      <c r="H16" s="17">
        <f>'14-βιβλΕσ'!K16</f>
        <v>409.91150000000005</v>
      </c>
      <c r="I16" s="17">
        <f>'14-βιβλΕσ'!L16</f>
        <v>65.878500000000003</v>
      </c>
      <c r="J16" s="295">
        <f>'14-βιβλΕσ'!N16</f>
        <v>0</v>
      </c>
      <c r="K16" s="2"/>
    </row>
    <row r="17" spans="1:12">
      <c r="A17" s="53">
        <f>'1-συμβολαια'!A17</f>
        <v>0</v>
      </c>
      <c r="B17" s="53">
        <f>'1-συμβολαια'!B17</f>
        <v>0</v>
      </c>
      <c r="C17" s="114" t="str">
        <f>'1-συμβολαια'!C17</f>
        <v>ΧΡΗΣΙΚΤΗΣΙΑ οικοπέδου = 1973 κυπαρισσίουΠαναγιώτη ΑΓΟΡΑΠΩΛΗΣΙΑ άτυπη</v>
      </c>
      <c r="D17" s="31">
        <f>'1-συμβολαια'!D17</f>
        <v>2222</v>
      </c>
      <c r="E17" s="40">
        <f>'14-βιβλΕσ'!E17</f>
        <v>0</v>
      </c>
      <c r="F17" s="40">
        <f>'14-βιβλΕσ'!G17</f>
        <v>0</v>
      </c>
      <c r="G17" s="40">
        <f>'14-βιβλΕσ'!I17</f>
        <v>0</v>
      </c>
      <c r="H17" s="17">
        <f>'14-βιβλΕσ'!K17</f>
        <v>0</v>
      </c>
      <c r="I17" s="17">
        <f>'14-βιβλΕσ'!L17</f>
        <v>5.275512</v>
      </c>
      <c r="J17" s="295">
        <f>'14-βιβλΕσ'!N17</f>
        <v>0</v>
      </c>
      <c r="K17" s="2"/>
    </row>
    <row r="18" spans="1:12">
      <c r="A18" s="53">
        <f>'1-συμβολαια'!A18</f>
        <v>0</v>
      </c>
      <c r="B18" s="53">
        <f>'1-συμβολαια'!B18</f>
        <v>0</v>
      </c>
      <c r="C18" s="114" t="str">
        <f>'1-συμβολαια'!C18</f>
        <v>οριζόντιος ΣΥΣΤΑΣΗ</v>
      </c>
      <c r="D18" s="31">
        <f>'1-συμβολαια'!D18</f>
        <v>0</v>
      </c>
      <c r="E18" s="40">
        <f>'14-βιβλΕσ'!E18</f>
        <v>0</v>
      </c>
      <c r="F18" s="40">
        <f>'14-βιβλΕσ'!G18</f>
        <v>0</v>
      </c>
      <c r="G18" s="40">
        <f>'14-βιβλΕσ'!I18</f>
        <v>0</v>
      </c>
      <c r="H18" s="17">
        <f>'14-βιβλΕσ'!K18</f>
        <v>0</v>
      </c>
      <c r="I18" s="17">
        <f>'14-βιβλΕσ'!L18</f>
        <v>4.6069000000000004</v>
      </c>
      <c r="J18" s="295">
        <f>'14-βιβλΕσ'!N18</f>
        <v>0</v>
      </c>
      <c r="K18" s="2"/>
    </row>
    <row r="19" spans="1:12">
      <c r="A19" s="53">
        <f>'1-συμβολαια'!A19</f>
        <v>4612</v>
      </c>
      <c r="B19" s="53">
        <f>'1-συμβολαια'!B19</f>
        <v>15</v>
      </c>
      <c r="C19" s="114" t="str">
        <f>'1-συμβολαια'!C19</f>
        <v>κληρονομιάς ΑΠΟΔΟΧΗ</v>
      </c>
      <c r="D19" s="31">
        <f>'1-συμβολαια'!D19</f>
        <v>0</v>
      </c>
      <c r="E19" s="40">
        <f>'14-βιβλΕσ'!E19</f>
        <v>0</v>
      </c>
      <c r="F19" s="40">
        <f>'14-βιβλΕσ'!G19</f>
        <v>0</v>
      </c>
      <c r="G19" s="40">
        <f>'14-βιβλΕσ'!I19</f>
        <v>0</v>
      </c>
      <c r="H19" s="17">
        <f>'14-βιβλΕσ'!K19</f>
        <v>67.643799999999999</v>
      </c>
      <c r="I19" s="17">
        <f>'14-βιβλΕσ'!L19</f>
        <v>6.4262000000000006</v>
      </c>
      <c r="J19" s="295">
        <f>'14-βιβλΕσ'!N19</f>
        <v>0</v>
      </c>
      <c r="K19" s="2"/>
    </row>
    <row r="20" spans="1:12">
      <c r="A20" s="53">
        <f>'1-συμβολαια'!A20</f>
        <v>4613</v>
      </c>
      <c r="B20" s="53">
        <f>'1-συμβολαια'!B20</f>
        <v>15</v>
      </c>
      <c r="C20" s="114" t="str">
        <f>'1-συμβολαια'!C20</f>
        <v>γονική</v>
      </c>
      <c r="D20" s="31">
        <f>'1-συμβολαια'!D20</f>
        <v>6213.36</v>
      </c>
      <c r="E20" s="40">
        <f>'14-βιβλΕσ'!E20</f>
        <v>0</v>
      </c>
      <c r="F20" s="40">
        <f>'14-βιβλΕσ'!G20</f>
        <v>0</v>
      </c>
      <c r="G20" s="40">
        <f>'14-βιβλΕσ'!I20</f>
        <v>0</v>
      </c>
      <c r="H20" s="17">
        <f>'14-βιβλΕσ'!K20</f>
        <v>122.68704000000002</v>
      </c>
      <c r="I20" s="17">
        <f>'14-βιβλΕσ'!L20</f>
        <v>16.01296</v>
      </c>
      <c r="J20" s="295">
        <f>'14-βιβλΕσ'!N20</f>
        <v>0</v>
      </c>
      <c r="K20" s="2"/>
    </row>
    <row r="21" spans="1:12">
      <c r="A21" s="53">
        <f>'1-συμβολαια'!A21</f>
        <v>4614</v>
      </c>
      <c r="B21" s="53">
        <f>'1-συμβολαια'!B21</f>
        <v>15</v>
      </c>
      <c r="C21" s="114" t="str">
        <f>'1-συμβολαια'!C21</f>
        <v>διαθήκη</v>
      </c>
      <c r="D21" s="31">
        <f>'1-συμβολαια'!D21</f>
        <v>0</v>
      </c>
      <c r="E21" s="40">
        <f>'14-βιβλΕσ'!E21</f>
        <v>0</v>
      </c>
      <c r="F21" s="40">
        <f>'14-βιβλΕσ'!G21</f>
        <v>0</v>
      </c>
      <c r="G21" s="40">
        <f>'14-βιβλΕσ'!I21</f>
        <v>0</v>
      </c>
      <c r="H21" s="17">
        <f>'14-βιβλΕσ'!K21</f>
        <v>65.853099999999998</v>
      </c>
      <c r="I21" s="17">
        <f>'14-βιβλΕσ'!L21</f>
        <v>1.4668999999999999</v>
      </c>
      <c r="J21" s="295">
        <f>'14-βιβλΕσ'!N21</f>
        <v>0</v>
      </c>
      <c r="K21" s="2"/>
      <c r="L21" s="2"/>
    </row>
    <row r="22" spans="1:12">
      <c r="A22" s="53">
        <f>'1-συμβολαια'!A22</f>
        <v>4615</v>
      </c>
      <c r="B22" s="53">
        <f>'1-συμβολαια'!B22</f>
        <v>15</v>
      </c>
      <c r="C22" s="114" t="str">
        <f>'1-συμβολαια'!C22</f>
        <v>δωρεά</v>
      </c>
      <c r="D22" s="31">
        <f>'1-συμβολαια'!D22</f>
        <v>16035.1</v>
      </c>
      <c r="E22" s="40">
        <f>'14-βιβλΕσ'!E22</f>
        <v>0</v>
      </c>
      <c r="F22" s="40">
        <f>'14-βιβλΕσ'!G22</f>
        <v>0</v>
      </c>
      <c r="G22" s="40">
        <f>'14-βιβλΕσ'!I22</f>
        <v>0</v>
      </c>
      <c r="H22" s="17">
        <f>'14-βιβλΕσ'!K22</f>
        <v>243.65610799999999</v>
      </c>
      <c r="I22" s="17">
        <f>'14-βιβλΕσ'!L22</f>
        <v>35.823892000000001</v>
      </c>
      <c r="J22" s="295">
        <f>'14-βιβλΕσ'!N22</f>
        <v>0</v>
      </c>
      <c r="K22" s="2"/>
    </row>
    <row r="23" spans="1:12">
      <c r="A23" s="53">
        <f>'1-συμβολαια'!A23</f>
        <v>0</v>
      </c>
      <c r="B23" s="53">
        <f>'1-συμβολαια'!B23</f>
        <v>0</v>
      </c>
      <c r="C23" s="114" t="str">
        <f>'1-συμβολαια'!C23</f>
        <v>ΧΡΗΣΙΚΤΗΣΙΑ οικοπέδου &amp; οικίας = 1935 πατρός ΔΩΡΕΑ άτυπη</v>
      </c>
      <c r="D23" s="31">
        <f>'1-συμβολαια'!D23</f>
        <v>6666</v>
      </c>
      <c r="E23" s="40">
        <f>'14-βιβλΕσ'!E23</f>
        <v>0</v>
      </c>
      <c r="F23" s="40">
        <f>'14-βιβλΕσ'!G23</f>
        <v>0</v>
      </c>
      <c r="G23" s="40">
        <f>'14-βιβλΕσ'!I23</f>
        <v>0</v>
      </c>
      <c r="H23" s="17">
        <f>'14-βιβλΕσ'!K23</f>
        <v>0</v>
      </c>
      <c r="I23" s="17">
        <f>'14-βιβλΕσ'!L23</f>
        <v>13.274712000000001</v>
      </c>
      <c r="J23" s="295">
        <f>'14-βιβλΕσ'!N23</f>
        <v>0</v>
      </c>
      <c r="K23" s="2"/>
    </row>
    <row r="24" spans="1:12">
      <c r="A24" s="53">
        <f>'1-συμβολαια'!A24</f>
        <v>4616</v>
      </c>
      <c r="B24" s="53">
        <f>'1-συμβολαια'!B24</f>
        <v>17</v>
      </c>
      <c r="C24" s="114" t="str">
        <f>'1-συμβολαια'!C24</f>
        <v>δωρεά</v>
      </c>
      <c r="D24" s="31">
        <f>'1-συμβολαια'!D24</f>
        <v>9933.0499999999993</v>
      </c>
      <c r="E24" s="40">
        <f>'14-βιβλΕσ'!E24</f>
        <v>0</v>
      </c>
      <c r="F24" s="40">
        <f>'14-βιβλΕσ'!G24</f>
        <v>0</v>
      </c>
      <c r="G24" s="40">
        <f>'14-βιβλΕσ'!I24</f>
        <v>0</v>
      </c>
      <c r="H24" s="17">
        <f>'14-βιβλΕσ'!K24</f>
        <v>160.631598</v>
      </c>
      <c r="I24" s="17">
        <f>'14-βιβλΕσ'!L24</f>
        <v>22.708402</v>
      </c>
      <c r="J24" s="295">
        <f>'14-βιβλΕσ'!N24</f>
        <v>0</v>
      </c>
      <c r="K24" s="2"/>
    </row>
    <row r="25" spans="1:12">
      <c r="A25" s="53">
        <f>'1-συμβολαια'!A25</f>
        <v>0</v>
      </c>
      <c r="B25" s="53">
        <f>'1-συμβολαια'!B25</f>
        <v>0</v>
      </c>
      <c r="C25" s="114" t="str">
        <f>'1-συμβολαια'!C25</f>
        <v>ΧΡΗΣΙΚΤΗΣΙΑ αγροτεμαχίου = 1925 πατρός ΔΩΡΕΑ άτυπη</v>
      </c>
      <c r="D25" s="31">
        <f>'1-συμβολαια'!D25</f>
        <v>1111</v>
      </c>
      <c r="E25" s="40">
        <f>'14-βιβλΕσ'!E25</f>
        <v>0</v>
      </c>
      <c r="F25" s="40">
        <f>'14-βιβλΕσ'!G25</f>
        <v>0</v>
      </c>
      <c r="G25" s="40">
        <f>'14-βιβλΕσ'!I25</f>
        <v>0</v>
      </c>
      <c r="H25" s="17">
        <f>'14-βιβλΕσ'!K25</f>
        <v>0</v>
      </c>
      <c r="I25" s="17">
        <f>'14-βιβλΕσ'!L25</f>
        <v>3.275712</v>
      </c>
      <c r="J25" s="295">
        <f>'14-βιβλΕσ'!N25</f>
        <v>0</v>
      </c>
      <c r="K25" s="2"/>
    </row>
    <row r="26" spans="1:12">
      <c r="A26" s="53">
        <f>'1-συμβολαια'!A26</f>
        <v>0</v>
      </c>
      <c r="B26" s="53">
        <f>'1-συμβολαια'!B26</f>
        <v>0</v>
      </c>
      <c r="C26" s="114" t="str">
        <f>'1-συμβολαια'!C26</f>
        <v>ΧΡΗΣΙΚΤΗΣΙΑ αγροτεμαχίου (νυν οικόπεδο) = 1975 ΑΝΑΔΑΣΜΟΣ</v>
      </c>
      <c r="D26" s="31">
        <f>'1-συμβολαια'!D26</f>
        <v>3333</v>
      </c>
      <c r="E26" s="40">
        <f>'14-βιβλΕσ'!E26</f>
        <v>0</v>
      </c>
      <c r="F26" s="40">
        <f>'14-βιβλΕσ'!G26</f>
        <v>0</v>
      </c>
      <c r="G26" s="40">
        <f>'14-βιβλΕσ'!I26</f>
        <v>0</v>
      </c>
      <c r="H26" s="17">
        <f>'14-βιβλΕσ'!K26</f>
        <v>0</v>
      </c>
      <c r="I26" s="17">
        <f>'14-βιβλΕσ'!L26</f>
        <v>7.2753120000000013</v>
      </c>
      <c r="J26" s="295">
        <f>'14-βιβλΕσ'!N26</f>
        <v>0</v>
      </c>
      <c r="K26" s="2"/>
    </row>
    <row r="27" spans="1:12">
      <c r="A27" s="53">
        <f>'1-συμβολαια'!A27</f>
        <v>4617</v>
      </c>
      <c r="B27" s="53">
        <f>'1-συμβολαια'!B27</f>
        <v>17</v>
      </c>
      <c r="C27" s="114" t="str">
        <f>'1-συμβολαια'!C27</f>
        <v>προσύμφωνο μεταβιβάσεως ποσοστών οικοπέδου</v>
      </c>
      <c r="D27" s="31">
        <f>'1-συμβολαια'!D27</f>
        <v>0</v>
      </c>
      <c r="E27" s="40">
        <f>'14-βιβλΕσ'!E27</f>
        <v>0</v>
      </c>
      <c r="F27" s="40">
        <f>'14-βιβλΕσ'!G27</f>
        <v>0</v>
      </c>
      <c r="G27" s="40">
        <f>'14-βιβλΕσ'!I27</f>
        <v>0</v>
      </c>
      <c r="H27" s="17">
        <f>'14-βιβλΕσ'!K27</f>
        <v>-8.0739999999999998</v>
      </c>
      <c r="I27" s="17">
        <f>'14-βιβλΕσ'!L27</f>
        <v>8.0739999999999998</v>
      </c>
      <c r="J27" s="295">
        <f>'14-βιβλΕσ'!N27</f>
        <v>0</v>
      </c>
      <c r="K27" s="2"/>
    </row>
    <row r="28" spans="1:12">
      <c r="A28" s="53">
        <f>'1-συμβολαια'!A28</f>
        <v>0</v>
      </c>
      <c r="B28" s="53">
        <f>'1-συμβολαια'!B28</f>
        <v>0</v>
      </c>
      <c r="C28" s="114" t="str">
        <f>'1-συμβολαια'!C28</f>
        <v>εργολαβικό</v>
      </c>
      <c r="D28" s="31">
        <f>'1-συμβολαια'!D28</f>
        <v>200</v>
      </c>
      <c r="E28" s="40">
        <f>'14-βιβλΕσ'!E28</f>
        <v>0</v>
      </c>
      <c r="F28" s="40">
        <f>'14-βιβλΕσ'!G28</f>
        <v>0</v>
      </c>
      <c r="G28" s="40">
        <f>'14-βιβλΕσ'!I28</f>
        <v>0</v>
      </c>
      <c r="H28" s="17">
        <f>'14-βιβλΕσ'!K28</f>
        <v>46.894088000000004</v>
      </c>
      <c r="I28" s="17">
        <f>'14-βιβλΕσ'!L28</f>
        <v>1.635912</v>
      </c>
      <c r="J28" s="295">
        <f>'14-βιβλΕσ'!N28</f>
        <v>0</v>
      </c>
      <c r="K28" s="2"/>
    </row>
    <row r="29" spans="1:12">
      <c r="A29" s="53">
        <f>'1-συμβολαια'!A29</f>
        <v>4618</v>
      </c>
      <c r="B29" s="53">
        <f>'1-συμβολαια'!B29</f>
        <v>18</v>
      </c>
      <c r="C29" s="114" t="str">
        <f>'1-συμβολαια'!C29</f>
        <v>πληρεξούσιο</v>
      </c>
      <c r="D29" s="31">
        <f>'1-συμβολαια'!D29</f>
        <v>0</v>
      </c>
      <c r="E29" s="40">
        <f>'14-βιβλΕσ'!E29</f>
        <v>0</v>
      </c>
      <c r="F29" s="40">
        <f>'14-βιβλΕσ'!G29</f>
        <v>0</v>
      </c>
      <c r="G29" s="40">
        <f>'14-βιβλΕσ'!I29</f>
        <v>0</v>
      </c>
      <c r="H29" s="17">
        <f>'14-βιβλΕσ'!K29</f>
        <v>19.2714</v>
      </c>
      <c r="I29" s="17">
        <f>'14-βιβλΕσ'!L29</f>
        <v>1.2686000000000002</v>
      </c>
      <c r="J29" s="295">
        <f>'14-βιβλΕσ'!N29</f>
        <v>0</v>
      </c>
      <c r="K29" s="2"/>
    </row>
    <row r="30" spans="1:12">
      <c r="A30" s="53">
        <f>'1-συμβολαια'!A30</f>
        <v>4619</v>
      </c>
      <c r="B30" s="53">
        <f>'1-συμβολαια'!B30</f>
        <v>18</v>
      </c>
      <c r="C30" s="114" t="str">
        <f>'1-συμβολαια'!C30</f>
        <v>αγοραπωλησίας ΠΡΟΣΥΜΦΩΝΟ τίμημα = αρραβών =</v>
      </c>
      <c r="D30" s="31">
        <f>'1-συμβολαια'!D30</f>
        <v>1800</v>
      </c>
      <c r="E30" s="40">
        <f>'14-βιβλΕσ'!E30</f>
        <v>0</v>
      </c>
      <c r="F30" s="40">
        <f>'14-βιβλΕσ'!G30</f>
        <v>0</v>
      </c>
      <c r="G30" s="40">
        <f>'14-βιβλΕσ'!I30</f>
        <v>0</v>
      </c>
      <c r="H30" s="17">
        <f>'14-βιβλΕσ'!K30</f>
        <v>38.012287999999998</v>
      </c>
      <c r="I30" s="17">
        <f>'14-βιβλΕσ'!L30</f>
        <v>6.6477120000000003</v>
      </c>
      <c r="J30" s="295">
        <f>'14-βιβλΕσ'!N30</f>
        <v>0</v>
      </c>
      <c r="K30" s="2"/>
    </row>
    <row r="31" spans="1:12">
      <c r="A31" s="53">
        <f>'1-συμβολαια'!A31</f>
        <v>0</v>
      </c>
      <c r="B31" s="53">
        <f>'1-συμβολαια'!B31</f>
        <v>0</v>
      </c>
      <c r="C31" s="114" t="str">
        <f>'1-συμβολαια'!C31</f>
        <v>ΧΡΗΣΙΚΤΗΣΙΑ αγροτεμαχίου = 1975 πατρός ΔΩΡΕΑ άτυπη</v>
      </c>
      <c r="D31" s="31">
        <f>'1-συμβολαια'!D31</f>
        <v>1111</v>
      </c>
      <c r="E31" s="40">
        <f>'14-βιβλΕσ'!E31</f>
        <v>0</v>
      </c>
      <c r="F31" s="40">
        <f>'14-βιβλΕσ'!G31</f>
        <v>0</v>
      </c>
      <c r="G31" s="40">
        <f>'14-βιβλΕσ'!I31</f>
        <v>0</v>
      </c>
      <c r="H31" s="17">
        <f>'14-βιβλΕσ'!K31</f>
        <v>0</v>
      </c>
      <c r="I31" s="17">
        <f>'14-βιβλΕσ'!L31</f>
        <v>3.2757120000000004</v>
      </c>
      <c r="J31" s="295">
        <f>'14-βιβλΕσ'!N31</f>
        <v>0</v>
      </c>
      <c r="K31" s="2"/>
    </row>
    <row r="32" spans="1:12">
      <c r="A32" s="53">
        <f>'1-συμβολαια'!A32</f>
        <v>4620</v>
      </c>
      <c r="B32" s="53">
        <f>'1-συμβολαια'!B32</f>
        <v>21</v>
      </c>
      <c r="C32" s="114" t="str">
        <f>'1-συμβολαια'!C32</f>
        <v>γονική</v>
      </c>
      <c r="D32" s="31">
        <f>'1-συμβολαια'!D32</f>
        <v>6285.73</v>
      </c>
      <c r="E32" s="40">
        <f>'14-βιβλΕσ'!E32</f>
        <v>0</v>
      </c>
      <c r="F32" s="40">
        <f>'14-βιβλΕσ'!G32</f>
        <v>0</v>
      </c>
      <c r="G32" s="40">
        <f>'14-βιβλΕσ'!I32</f>
        <v>0</v>
      </c>
      <c r="H32" s="17">
        <f>'14-βιβλΕσ'!K32</f>
        <v>172.01617400000001</v>
      </c>
      <c r="I32" s="17">
        <f>'14-βιβλΕσ'!L32</f>
        <v>16.853825999999998</v>
      </c>
      <c r="J32" s="295">
        <f>'14-βιβλΕσ'!N32</f>
        <v>0</v>
      </c>
      <c r="K32" s="2"/>
    </row>
    <row r="33" spans="1:11">
      <c r="A33" s="53">
        <f>'1-συμβολαια'!A33</f>
        <v>0</v>
      </c>
      <c r="B33" s="53">
        <f>'1-συμβολαια'!B33</f>
        <v>0</v>
      </c>
      <c r="C33" s="114" t="str">
        <f>'1-συμβολαια'!C33</f>
        <v>κάθετος ΣΥΣΤΑΣΗ</v>
      </c>
      <c r="D33" s="31">
        <f>'1-συμβολαια'!D33</f>
        <v>0</v>
      </c>
      <c r="E33" s="40">
        <f>'14-βιβλΕσ'!E33</f>
        <v>0</v>
      </c>
      <c r="F33" s="40">
        <f>'14-βιβλΕσ'!G33</f>
        <v>0</v>
      </c>
      <c r="G33" s="40">
        <f>'14-βιβλΕσ'!I33</f>
        <v>0</v>
      </c>
      <c r="H33" s="17">
        <f>'14-βιβλΕσ'!K33</f>
        <v>0</v>
      </c>
      <c r="I33" s="17">
        <f>'14-βιβλΕσ'!L33</f>
        <v>7.5114000000000001</v>
      </c>
      <c r="J33" s="295">
        <f>'14-βιβλΕσ'!N33</f>
        <v>0</v>
      </c>
      <c r="K33" s="2"/>
    </row>
    <row r="34" spans="1:11">
      <c r="A34" s="53">
        <f>'1-συμβολαια'!A34</f>
        <v>0</v>
      </c>
      <c r="B34" s="53">
        <f>'1-συμβολαια'!B34</f>
        <v>0</v>
      </c>
      <c r="C34" s="114" t="str">
        <f>'1-συμβολαια'!C34</f>
        <v>ΧΡΗΣΙΚΤΗΣΙΑ αγροτεμαχίου (νυν οικόπεδο) = 19?? ΑΝΑΔΑΣΜΟΣ</v>
      </c>
      <c r="D34" s="31">
        <f>'1-συμβολαια'!D34</f>
        <v>3333</v>
      </c>
      <c r="E34" s="40">
        <f>'14-βιβλΕσ'!E34</f>
        <v>0</v>
      </c>
      <c r="F34" s="40">
        <f>'14-βιβλΕσ'!G34</f>
        <v>0</v>
      </c>
      <c r="G34" s="40">
        <f>'14-βιβλΕσ'!I34</f>
        <v>0</v>
      </c>
      <c r="H34" s="17">
        <f>'14-βιβλΕσ'!K34</f>
        <v>0</v>
      </c>
      <c r="I34" s="17">
        <f>'14-βιβλΕσ'!L34</f>
        <v>7.2753120000000013</v>
      </c>
      <c r="J34" s="295">
        <f>'14-βιβλΕσ'!N34</f>
        <v>0</v>
      </c>
      <c r="K34" s="2"/>
    </row>
    <row r="35" spans="1:11">
      <c r="A35" s="53">
        <f>'1-συμβολαια'!A35</f>
        <v>4621</v>
      </c>
      <c r="B35" s="53">
        <f>'1-συμβολαια'!B35</f>
        <v>21</v>
      </c>
      <c r="C35" s="114" t="str">
        <f>'1-συμβολαια'!C35</f>
        <v>γονική</v>
      </c>
      <c r="D35" s="31">
        <f>'1-συμβολαια'!D35</f>
        <v>30928.65</v>
      </c>
      <c r="E35" s="40">
        <f>'14-βιβλΕσ'!E35</f>
        <v>0</v>
      </c>
      <c r="F35" s="40">
        <f>'14-βιβλΕσ'!G35</f>
        <v>0</v>
      </c>
      <c r="G35" s="40">
        <f>'14-βιβλΕσ'!I35</f>
        <v>0</v>
      </c>
      <c r="H35" s="17">
        <f>'14-βιβλΕσ'!K35</f>
        <v>464.35951799999998</v>
      </c>
      <c r="I35" s="17">
        <f>'14-βιβλΕσ'!L35</f>
        <v>60.500481999999998</v>
      </c>
      <c r="J35" s="295">
        <f>'14-βιβλΕσ'!N35</f>
        <v>0</v>
      </c>
      <c r="K35" s="2"/>
    </row>
    <row r="36" spans="1:11">
      <c r="A36" s="53">
        <f>'1-συμβολαια'!A36</f>
        <v>0</v>
      </c>
      <c r="B36" s="53">
        <f>'1-συμβολαια'!B36</f>
        <v>0</v>
      </c>
      <c r="C36" s="114" t="str">
        <f>'1-συμβολαια'!C36</f>
        <v>οριζόντιος ΣΥΣΤΑΣΗ</v>
      </c>
      <c r="D36" s="31">
        <f>'1-συμβολαια'!D36</f>
        <v>0</v>
      </c>
      <c r="E36" s="40">
        <f>'14-βιβλΕσ'!E36</f>
        <v>0</v>
      </c>
      <c r="F36" s="40">
        <f>'14-βιβλΕσ'!G36</f>
        <v>0</v>
      </c>
      <c r="G36" s="40">
        <f>'14-βιβλΕσ'!I36</f>
        <v>0</v>
      </c>
      <c r="H36" s="17">
        <f>'14-βιβλΕσ'!K36</f>
        <v>0</v>
      </c>
      <c r="I36" s="17">
        <f>'14-βιβλΕσ'!L36</f>
        <v>7.5114000000000001</v>
      </c>
      <c r="J36" s="295">
        <f>'14-βιβλΕσ'!N36</f>
        <v>0</v>
      </c>
      <c r="K36" s="2"/>
    </row>
    <row r="37" spans="1:11">
      <c r="A37" s="53">
        <f>'1-συμβολαια'!A37</f>
        <v>4622</v>
      </c>
      <c r="B37" s="53">
        <f>'1-συμβολαια'!B37</f>
        <v>21</v>
      </c>
      <c r="C37" s="114" t="str">
        <f>'1-συμβολαια'!C37</f>
        <v>πληρεξούσιο</v>
      </c>
      <c r="D37" s="31">
        <f>'1-συμβολαια'!D37</f>
        <v>0</v>
      </c>
      <c r="E37" s="40">
        <f>'14-βιβλΕσ'!E37</f>
        <v>0</v>
      </c>
      <c r="F37" s="40">
        <f>'14-βιβλΕσ'!G37</f>
        <v>0</v>
      </c>
      <c r="G37" s="40">
        <f>'14-βιβλΕσ'!I37</f>
        <v>0</v>
      </c>
      <c r="H37" s="17">
        <f>'14-βιβλΕσ'!K37</f>
        <v>19.2714</v>
      </c>
      <c r="I37" s="17">
        <f>'14-βιβλΕσ'!L37</f>
        <v>1.2686000000000002</v>
      </c>
      <c r="J37" s="295">
        <f>'14-βιβλΕσ'!N37</f>
        <v>0</v>
      </c>
      <c r="K37" s="2"/>
    </row>
    <row r="38" spans="1:11">
      <c r="A38" s="53">
        <f>'1-συμβολαια'!A38</f>
        <v>4623</v>
      </c>
      <c r="B38" s="53">
        <f>'1-συμβολαια'!B38</f>
        <v>21</v>
      </c>
      <c r="C38" s="114" t="str">
        <f>'1-συμβολαια'!C38</f>
        <v>πληρεξούσιο</v>
      </c>
      <c r="D38" s="31">
        <f>'1-συμβολαια'!D38</f>
        <v>0</v>
      </c>
      <c r="E38" s="40">
        <f>'14-βιβλΕσ'!E38</f>
        <v>0</v>
      </c>
      <c r="F38" s="40">
        <f>'14-βιβλΕσ'!G38</f>
        <v>0</v>
      </c>
      <c r="G38" s="40">
        <f>'14-βιβλΕσ'!I38</f>
        <v>0</v>
      </c>
      <c r="H38" s="17">
        <f>'14-βιβλΕσ'!K38</f>
        <v>24.7761</v>
      </c>
      <c r="I38" s="17">
        <f>'14-βιβλΕσ'!L38</f>
        <v>1.6239000000000001</v>
      </c>
      <c r="J38" s="295">
        <f>'14-βιβλΕσ'!N38</f>
        <v>0</v>
      </c>
      <c r="K38" s="2"/>
    </row>
    <row r="39" spans="1:11">
      <c r="A39" s="53">
        <f>'1-συμβολαια'!A39</f>
        <v>4624</v>
      </c>
      <c r="B39" s="53">
        <f>'1-συμβολαια'!B39</f>
        <v>23</v>
      </c>
      <c r="C39" s="114" t="str">
        <f>'1-συμβολαια'!C39</f>
        <v>*γονική ΨΙΛΗΣ ΚΥΡΙΟΤΗΤΑΣ</v>
      </c>
      <c r="D39" s="31">
        <f>'1-συμβολαια'!D39</f>
        <v>11558.2</v>
      </c>
      <c r="E39" s="40">
        <f>'14-βιβλΕσ'!E39</f>
        <v>0</v>
      </c>
      <c r="F39" s="40">
        <f>'14-βιβλΕσ'!G39</f>
        <v>0</v>
      </c>
      <c r="G39" s="40">
        <f>'14-βιβλΕσ'!I39</f>
        <v>0</v>
      </c>
      <c r="H39" s="17">
        <f>'14-βιβλΕσ'!K39</f>
        <v>174.20632800000004</v>
      </c>
      <c r="I39" s="17">
        <f>'14-βιβλΕσ'!L39</f>
        <v>25.633672000000004</v>
      </c>
      <c r="J39" s="295">
        <f>'14-βιβλΕσ'!N39</f>
        <v>0</v>
      </c>
      <c r="K39" s="2"/>
    </row>
    <row r="40" spans="1:11">
      <c r="A40" s="53">
        <f>'1-συμβολαια'!A40</f>
        <v>0</v>
      </c>
      <c r="B40" s="53">
        <f>'1-συμβολαια'!B40</f>
        <v>0</v>
      </c>
      <c r="C40" s="114" t="str">
        <f>'1-συμβολαια'!C40</f>
        <v>ΧΡΗΣΙΚΤΗΣΙΑ οικοπέδου = 1949 πατρός ΔΩΡΕΑ άτυπη</v>
      </c>
      <c r="D40" s="31">
        <f>'1-συμβολαια'!D40</f>
        <v>4444</v>
      </c>
      <c r="E40" s="40">
        <f>'14-βιβλΕσ'!E40</f>
        <v>0</v>
      </c>
      <c r="F40" s="40">
        <f>'14-βιβλΕσ'!G40</f>
        <v>0</v>
      </c>
      <c r="G40" s="40">
        <f>'14-βιβλΕσ'!I40</f>
        <v>0</v>
      </c>
      <c r="H40" s="17">
        <f>'14-βιβλΕσ'!K40</f>
        <v>0</v>
      </c>
      <c r="I40" s="17">
        <f>'14-βιβλΕσ'!L40</f>
        <v>9.275112</v>
      </c>
      <c r="J40" s="295">
        <f>'14-βιβλΕσ'!N40</f>
        <v>0</v>
      </c>
      <c r="K40" s="2"/>
    </row>
    <row r="41" spans="1:11">
      <c r="A41" s="53">
        <f>'1-συμβολαια'!A41</f>
        <v>0</v>
      </c>
      <c r="B41" s="53">
        <f>'1-συμβολαια'!B41</f>
        <v>0</v>
      </c>
      <c r="C41" s="114" t="str">
        <f>'1-συμβολαια'!C41</f>
        <v>ΧΡΗΣΙΚΤΗΣΙΑ αγροτεμαχίων = 1963 αγοραπωλησίας ΒΑΣΕΙ προσυμφώνου ΜΗ εκτελεσθέντος</v>
      </c>
      <c r="D41" s="31">
        <f>'1-συμβολαια'!D41</f>
        <v>1111</v>
      </c>
      <c r="E41" s="40">
        <f>'14-βιβλΕσ'!E41</f>
        <v>0</v>
      </c>
      <c r="F41" s="40">
        <f>'14-βιβλΕσ'!G41</f>
        <v>0</v>
      </c>
      <c r="G41" s="40">
        <f>'14-βιβλΕσ'!I41</f>
        <v>0</v>
      </c>
      <c r="H41" s="17">
        <f>'14-βιβλΕσ'!K41</f>
        <v>0</v>
      </c>
      <c r="I41" s="17">
        <f>'14-βιβλΕσ'!L41</f>
        <v>3.2757120000000004</v>
      </c>
      <c r="J41" s="295">
        <f>'14-βιβλΕσ'!N41</f>
        <v>0</v>
      </c>
      <c r="K41" s="2"/>
    </row>
    <row r="42" spans="1:11">
      <c r="A42" s="53">
        <f>'1-συμβολαια'!A42</f>
        <v>4625</v>
      </c>
      <c r="B42" s="53">
        <f>'1-συμβολαια'!B42</f>
        <v>23</v>
      </c>
      <c r="C42" s="114" t="str">
        <f>'1-συμβολαια'!C42</f>
        <v>*γονική ΨΙΛΗΣ ΚΥΡΙΟΤΗΤΑΣ</v>
      </c>
      <c r="D42" s="31">
        <f>'1-συμβολαια'!D42</f>
        <v>3061.77</v>
      </c>
      <c r="E42" s="40">
        <f>'14-βιβλΕσ'!E42</f>
        <v>0</v>
      </c>
      <c r="F42" s="40">
        <f>'14-βιβλΕσ'!G42</f>
        <v>0</v>
      </c>
      <c r="G42" s="40">
        <f>'14-βιβλΕσ'!I42</f>
        <v>0</v>
      </c>
      <c r="H42" s="17">
        <f>'14-βιβλΕσ'!K42</f>
        <v>78.870502000000016</v>
      </c>
      <c r="I42" s="17">
        <f>'14-βιβλΕσ'!L42</f>
        <v>9.6294980000000017</v>
      </c>
      <c r="J42" s="295">
        <f>'14-βιβλΕσ'!N42</f>
        <v>0</v>
      </c>
    </row>
    <row r="43" spans="1:11">
      <c r="A43" s="53">
        <f>'1-συμβολαια'!A43</f>
        <v>0</v>
      </c>
      <c r="B43" s="53">
        <f>'1-συμβολαια'!B43</f>
        <v>0</v>
      </c>
      <c r="C43" s="114" t="str">
        <f>'1-συμβολαια'!C43</f>
        <v>ΧΡΗΣΙΚΤΗΣΙΑ αγροτεμαχίου = 19?? πατρός ΔΩΡΕΑ άτυπη</v>
      </c>
      <c r="D43" s="31">
        <f>'1-συμβολαια'!D43</f>
        <v>1111</v>
      </c>
      <c r="E43" s="40">
        <f>'14-βιβλΕσ'!E43</f>
        <v>0</v>
      </c>
      <c r="F43" s="40">
        <f>'14-βιβλΕσ'!G43</f>
        <v>0</v>
      </c>
      <c r="G43" s="40">
        <f>'14-βιβλΕσ'!I43</f>
        <v>0</v>
      </c>
      <c r="H43" s="17">
        <f>'14-βιβλΕσ'!K43</f>
        <v>0</v>
      </c>
      <c r="I43" s="17">
        <f>'14-βιβλΕσ'!L43</f>
        <v>3.2757120000000004</v>
      </c>
      <c r="J43" s="295">
        <f>'14-βιβλΕσ'!N43</f>
        <v>0</v>
      </c>
    </row>
    <row r="44" spans="1:11">
      <c r="A44" s="53">
        <f>'1-συμβολαια'!A44</f>
        <v>4626</v>
      </c>
      <c r="B44" s="53">
        <f>'1-συμβολαια'!B44</f>
        <v>23</v>
      </c>
      <c r="C44" s="114" t="str">
        <f>'1-συμβολαια'!C44</f>
        <v>*γονική ΨΙΛΗΣ ΚΥΡΙΟΤΗΤΑΣ</v>
      </c>
      <c r="D44" s="31">
        <f>'1-συμβολαια'!D44</f>
        <v>5079.72</v>
      </c>
      <c r="E44" s="40">
        <f>'14-βιβλΕσ'!E44</f>
        <v>0</v>
      </c>
      <c r="F44" s="40">
        <f>'14-βιβλΕσ'!G44</f>
        <v>0</v>
      </c>
      <c r="G44" s="40">
        <f>'14-βιβλΕσ'!I44</f>
        <v>0</v>
      </c>
      <c r="H44" s="17">
        <f>'14-βιβλΕσ'!K44</f>
        <v>108.12759199999999</v>
      </c>
      <c r="I44" s="17">
        <f>'14-βιβλΕσ'!L44</f>
        <v>13.972408000000001</v>
      </c>
      <c r="J44" s="295">
        <f>'14-βιβλΕσ'!N44</f>
        <v>0</v>
      </c>
    </row>
    <row r="45" spans="1:11">
      <c r="A45" s="53">
        <f>'1-συμβολαια'!A45</f>
        <v>0</v>
      </c>
      <c r="B45" s="53">
        <f>'1-συμβολαια'!B45</f>
        <v>0</v>
      </c>
      <c r="C45" s="114" t="str">
        <f>'1-συμβολαια'!C45</f>
        <v>ΧΡΗΣΙΚΤΗΣΙΑ αγροτεμαχίου = 1979 ΑΝΑΔΑΣΜΟΣ</v>
      </c>
      <c r="D45" s="31">
        <f>'1-συμβολαια'!D45</f>
        <v>1111</v>
      </c>
      <c r="E45" s="40">
        <f>'14-βιβλΕσ'!E45</f>
        <v>0</v>
      </c>
      <c r="F45" s="40">
        <f>'14-βιβλΕσ'!G45</f>
        <v>0</v>
      </c>
      <c r="G45" s="40">
        <f>'14-βιβλΕσ'!I45</f>
        <v>0</v>
      </c>
      <c r="H45" s="17">
        <f>'14-βιβλΕσ'!K45</f>
        <v>0</v>
      </c>
      <c r="I45" s="17">
        <f>'14-βιβλΕσ'!L45</f>
        <v>3.2757120000000004</v>
      </c>
      <c r="J45" s="295">
        <f>'14-βιβλΕσ'!N45</f>
        <v>0</v>
      </c>
    </row>
    <row r="46" spans="1:11">
      <c r="A46" s="53">
        <f>'1-συμβολαια'!A46</f>
        <v>0</v>
      </c>
      <c r="B46" s="53">
        <f>'1-συμβολαια'!B46</f>
        <v>0</v>
      </c>
      <c r="C46" s="114" t="str">
        <f>'1-συμβολαια'!C46</f>
        <v>ΧΡΗΣΙΚΤΗΣΙΑ αγροτεμαχίων = 1957 τακοΑναστασιο ΑΓΟΡΑΠΩΛΗΣΙΑ άτυπη</v>
      </c>
      <c r="D46" s="31">
        <f>'1-συμβολαια'!D46</f>
        <v>1111</v>
      </c>
      <c r="E46" s="40">
        <f>'14-βιβλΕσ'!E46</f>
        <v>0</v>
      </c>
      <c r="F46" s="40">
        <f>'14-βιβλΕσ'!G46</f>
        <v>0</v>
      </c>
      <c r="G46" s="40">
        <f>'14-βιβλΕσ'!I46</f>
        <v>0</v>
      </c>
      <c r="H46" s="17">
        <f>'14-βιβλΕσ'!K46</f>
        <v>0</v>
      </c>
      <c r="I46" s="17">
        <f>'14-βιβλΕσ'!L46</f>
        <v>3.2757120000000004</v>
      </c>
      <c r="J46" s="295">
        <f>'14-βιβλΕσ'!N46</f>
        <v>0</v>
      </c>
    </row>
    <row r="47" spans="1:11">
      <c r="A47" s="53">
        <f>'1-συμβολαια'!A47</f>
        <v>4627</v>
      </c>
      <c r="B47" s="53">
        <f>'1-συμβολαια'!B47</f>
        <v>23</v>
      </c>
      <c r="C47" s="114" t="str">
        <f>'1-συμβολαια'!C47</f>
        <v>*δωρεά ΑΙΤΙΑ θανάτου</v>
      </c>
      <c r="D47" s="31">
        <f>'1-συμβολαια'!D47</f>
        <v>0</v>
      </c>
      <c r="E47" s="40">
        <f>'14-βιβλΕσ'!E47</f>
        <v>0</v>
      </c>
      <c r="F47" s="40">
        <f>'14-βιβλΕσ'!G47</f>
        <v>0</v>
      </c>
      <c r="G47" s="40">
        <f>'14-βιβλΕσ'!I47</f>
        <v>0</v>
      </c>
      <c r="H47" s="17">
        <f>'14-βιβλΕσ'!K47</f>
        <v>17.5608</v>
      </c>
      <c r="I47" s="17">
        <f>'14-βιβλΕσ'!L47</f>
        <v>1.9792000000000001</v>
      </c>
      <c r="J47" s="295">
        <f>'14-βιβλΕσ'!N47</f>
        <v>0</v>
      </c>
    </row>
    <row r="48" spans="1:11">
      <c r="A48" s="53">
        <f>'1-συμβολαια'!A48</f>
        <v>0</v>
      </c>
      <c r="B48" s="53">
        <f>'1-συμβολαια'!B48</f>
        <v>0</v>
      </c>
      <c r="C48" s="114" t="str">
        <f>'1-συμβολαια'!C48</f>
        <v>ΧΡΗΣΙΚΤΗΣΙΑ αγροτεμαχίου [νυν οικόπεδο ΜΕ οικοδομή] ] = 1970 ΑΝΑΔΑΣΜΟΣ</v>
      </c>
      <c r="D48" s="31">
        <f>'1-συμβολαια'!D48</f>
        <v>1111</v>
      </c>
      <c r="E48" s="40">
        <f>'14-βιβλΕσ'!E48</f>
        <v>0</v>
      </c>
      <c r="F48" s="40">
        <f>'14-βιβλΕσ'!G48</f>
        <v>0</v>
      </c>
      <c r="G48" s="40">
        <f>'14-βιβλΕσ'!I48</f>
        <v>0</v>
      </c>
      <c r="H48" s="17">
        <f>'14-βιβλΕσ'!K48</f>
        <v>0</v>
      </c>
      <c r="I48" s="17">
        <f>'14-βιβλΕσ'!L48</f>
        <v>3.2757120000000004</v>
      </c>
      <c r="J48" s="295">
        <f>'14-βιβλΕσ'!N48</f>
        <v>0</v>
      </c>
    </row>
    <row r="49" spans="1:11">
      <c r="A49" s="53">
        <f>'1-συμβολαια'!A49</f>
        <v>0</v>
      </c>
      <c r="B49" s="53">
        <f>'1-συμβολαια'!B49</f>
        <v>0</v>
      </c>
      <c r="C49" s="114" t="str">
        <f>'1-συμβολαια'!C49</f>
        <v>*γονικής 1262  ΕΠΙΚΑΡΠΙΑ …  ΔΩΡΕΑ αιτία θανάτου</v>
      </c>
      <c r="D49" s="31">
        <f>'1-συμβολαια'!D49</f>
        <v>8888</v>
      </c>
      <c r="E49" s="40">
        <f>'14-βιβλΕσ'!E49</f>
        <v>0</v>
      </c>
      <c r="F49" s="40">
        <f>'14-βιβλΕσ'!G49</f>
        <v>0</v>
      </c>
      <c r="G49" s="40">
        <f>'14-βιβλΕσ'!I49</f>
        <v>0</v>
      </c>
      <c r="H49" s="17">
        <f>'14-βιβλΕσ'!K49</f>
        <v>0</v>
      </c>
      <c r="I49" s="17">
        <f>'14-βιβλΕσ'!L49</f>
        <v>17.274312000000002</v>
      </c>
      <c r="J49" s="295">
        <f>'14-βιβλΕσ'!N49</f>
        <v>0</v>
      </c>
    </row>
    <row r="50" spans="1:11">
      <c r="A50" s="53">
        <f>'1-συμβολαια'!A50</f>
        <v>4628</v>
      </c>
      <c r="B50" s="53">
        <f>'1-συμβολαια'!B50</f>
        <v>24</v>
      </c>
      <c r="C50" s="114" t="str">
        <f>'1-συμβολαια'!C50</f>
        <v>πληρεξούσιο</v>
      </c>
      <c r="D50" s="31">
        <f>'1-συμβολαια'!D50</f>
        <v>0</v>
      </c>
      <c r="E50" s="40">
        <f>'14-βιβλΕσ'!E50</f>
        <v>0</v>
      </c>
      <c r="F50" s="40">
        <f>'14-βιβλΕσ'!G50</f>
        <v>0</v>
      </c>
      <c r="G50" s="40">
        <f>'14-βιβλΕσ'!I50</f>
        <v>0</v>
      </c>
      <c r="H50" s="17">
        <f>'14-βιβλΕσ'!K50</f>
        <v>19.2714</v>
      </c>
      <c r="I50" s="17">
        <f>'14-βιβλΕσ'!L50</f>
        <v>1.2686000000000002</v>
      </c>
      <c r="J50" s="295">
        <f>'14-βιβλΕσ'!N50</f>
        <v>0</v>
      </c>
    </row>
    <row r="51" spans="1:11">
      <c r="A51" s="53">
        <f>'1-συμβολαια'!A51</f>
        <v>4629</v>
      </c>
      <c r="B51" s="53">
        <f>'1-συμβολαια'!B51</f>
        <v>24</v>
      </c>
      <c r="C51" s="114" t="str">
        <f>'1-συμβολαια'!C51</f>
        <v>κληρονομιάς ΑΠΟΔΟΧΗ</v>
      </c>
      <c r="D51" s="31">
        <f>'1-συμβολαια'!D51</f>
        <v>0</v>
      </c>
      <c r="E51" s="40">
        <f>'14-βιβλΕσ'!E51</f>
        <v>0</v>
      </c>
      <c r="F51" s="40">
        <f>'14-βιβλΕσ'!G51</f>
        <v>0</v>
      </c>
      <c r="G51" s="40">
        <f>'14-βιβλΕσ'!I51</f>
        <v>0</v>
      </c>
      <c r="H51" s="17">
        <f>'14-βιβλΕσ'!K51</f>
        <v>72.337899999999991</v>
      </c>
      <c r="I51" s="17">
        <f>'14-βιβλΕσ'!L51</f>
        <v>7.4921000000000006</v>
      </c>
      <c r="J51" s="295">
        <f>'14-βιβλΕσ'!N51</f>
        <v>0</v>
      </c>
    </row>
    <row r="52" spans="1:11">
      <c r="A52" s="53">
        <f>'1-συμβολαια'!A52</f>
        <v>0</v>
      </c>
      <c r="B52" s="53">
        <f>'1-συμβολαια'!B52</f>
        <v>0</v>
      </c>
      <c r="C52" s="114" t="str">
        <f>'1-συμβολαια'!C52</f>
        <v>ΧΡΗΣΙΚΤΗΣΙΑ αγροτεμαχίου = 1980 πατρός ΚΛΗΡΟΝΟΜΙΑ άτυπη</v>
      </c>
      <c r="D52" s="31">
        <f>'1-συμβολαια'!D52</f>
        <v>1111</v>
      </c>
      <c r="E52" s="40">
        <f>'14-βιβλΕσ'!E52</f>
        <v>0</v>
      </c>
      <c r="F52" s="40">
        <f>'14-βιβλΕσ'!G52</f>
        <v>0</v>
      </c>
      <c r="G52" s="40">
        <f>'14-βιβλΕσ'!I52</f>
        <v>0</v>
      </c>
      <c r="H52" s="17">
        <f>'14-βιβλΕσ'!K52</f>
        <v>0</v>
      </c>
      <c r="I52" s="17">
        <f>'14-βιβλΕσ'!L52</f>
        <v>4.2555160000000001</v>
      </c>
      <c r="J52" s="295">
        <f>'14-βιβλΕσ'!N52</f>
        <v>0</v>
      </c>
    </row>
    <row r="53" spans="1:11">
      <c r="A53" s="53">
        <f>'1-συμβολαια'!A53</f>
        <v>0</v>
      </c>
      <c r="B53" s="53">
        <f>'1-συμβολαια'!B53</f>
        <v>0</v>
      </c>
      <c r="C53" s="114" t="str">
        <f>'1-συμβολαια'!C53</f>
        <v>ΧΡΗΣΙΚΤΗΣΙΑ αγροτεμαχίου = 1980 ΔΙΑΝΟΜΗ άτυπη</v>
      </c>
      <c r="D53" s="31">
        <f>'1-συμβολαια'!D53</f>
        <v>11</v>
      </c>
      <c r="E53" s="40">
        <f>'14-βιβλΕσ'!E53</f>
        <v>0</v>
      </c>
      <c r="F53" s="40">
        <f>'14-βιβλΕσ'!G53</f>
        <v>0</v>
      </c>
      <c r="G53" s="40">
        <f>'14-βιβλΕσ'!I53</f>
        <v>0</v>
      </c>
      <c r="H53" s="17">
        <f>'14-βιβλΕσ'!K53</f>
        <v>0</v>
      </c>
      <c r="I53" s="17">
        <f>'14-βιβλΕσ'!L53</f>
        <v>0.55799999999999994</v>
      </c>
      <c r="J53" s="295">
        <f>'14-βιβλΕσ'!N53</f>
        <v>0</v>
      </c>
    </row>
    <row r="54" spans="1:11">
      <c r="A54" s="53">
        <f>'1-συμβολαια'!A54</f>
        <v>4630</v>
      </c>
      <c r="B54" s="53">
        <f>'1-συμβολαια'!B54</f>
        <v>28</v>
      </c>
      <c r="C54" s="114" t="str">
        <f>'1-συμβολαια'!C54</f>
        <v xml:space="preserve">αγοραπωλησίας ΠΡΟΣΥΜΦΩΝΟ τίμημα = αρραβών = </v>
      </c>
      <c r="D54" s="31">
        <f>'1-συμβολαια'!D54</f>
        <v>8804.1</v>
      </c>
      <c r="E54" s="40">
        <f>'14-βιβλΕσ'!E54</f>
        <v>0</v>
      </c>
      <c r="F54" s="40">
        <f>'14-βιβλΕσ'!G54</f>
        <v>0</v>
      </c>
      <c r="G54" s="40">
        <f>'14-βιβλΕσ'!I54</f>
        <v>0</v>
      </c>
      <c r="H54" s="17">
        <f>'14-βιβλΕσ'!K54</f>
        <v>128.52490799999998</v>
      </c>
      <c r="I54" s="17">
        <f>'14-βιβλΕσ'!L54</f>
        <v>19.255092000000005</v>
      </c>
      <c r="J54" s="295">
        <f>'14-βιβλΕσ'!N54</f>
        <v>0</v>
      </c>
    </row>
    <row r="55" spans="1:11">
      <c r="A55" s="53">
        <f>'1-συμβολαια'!A55</f>
        <v>0</v>
      </c>
      <c r="B55" s="53">
        <f>'1-συμβολαια'!B55</f>
        <v>0</v>
      </c>
      <c r="C55" s="114" t="str">
        <f>'1-συμβολαια'!C55</f>
        <v>ΧΡΗΣΙΚΤΗΣΙΑ αγροτεμαχίου = 1970 συζύγου ΔΩΡΕΑ άτυπη</v>
      </c>
      <c r="D55" s="31">
        <f>'1-συμβολαια'!D55</f>
        <v>5555</v>
      </c>
      <c r="E55" s="40">
        <f>'14-βιβλΕσ'!E55</f>
        <v>0</v>
      </c>
      <c r="F55" s="40">
        <f>'14-βιβλΕσ'!G55</f>
        <v>0</v>
      </c>
      <c r="G55" s="40">
        <f>'14-βιβλΕσ'!I55</f>
        <v>0</v>
      </c>
      <c r="H55" s="17">
        <f>'14-βιβλΕσ'!K55</f>
        <v>0</v>
      </c>
      <c r="I55" s="17">
        <f>'14-βιβλΕσ'!L55</f>
        <v>11.274912</v>
      </c>
      <c r="J55" s="295">
        <f>'14-βιβλΕσ'!N55</f>
        <v>0</v>
      </c>
    </row>
    <row r="56" spans="1:11">
      <c r="A56" s="53">
        <f>'1-συμβολαια'!A56</f>
        <v>4631</v>
      </c>
      <c r="B56" s="53">
        <f>'1-συμβολαια'!B56</f>
        <v>28</v>
      </c>
      <c r="C56" s="114" t="str">
        <f>'1-συμβολαια'!C56</f>
        <v>αγοραπωλησίας 4.191 ΕΞΟΦΛΗΣΗ</v>
      </c>
      <c r="D56" s="31">
        <f>'1-συμβολαια'!D56</f>
        <v>0</v>
      </c>
      <c r="E56" s="40">
        <f>'14-βιβλΕσ'!E56</f>
        <v>0</v>
      </c>
      <c r="F56" s="40">
        <f>'14-βιβλΕσ'!G56</f>
        <v>0</v>
      </c>
      <c r="G56" s="40">
        <f>'14-βιβλΕσ'!I56</f>
        <v>0</v>
      </c>
      <c r="H56" s="17">
        <f>'14-βιβλΕσ'!K56</f>
        <v>26.672000000000001</v>
      </c>
      <c r="I56" s="17">
        <f>'14-βιβλΕσ'!L56</f>
        <v>0.55800000000000005</v>
      </c>
      <c r="J56" s="295">
        <f>'14-βιβλΕσ'!N56</f>
        <v>0</v>
      </c>
    </row>
    <row r="57" spans="1:11">
      <c r="A57" s="53">
        <f>'1-συμβολαια'!A57</f>
        <v>0</v>
      </c>
      <c r="B57" s="53">
        <f>'1-συμβολαια'!B57</f>
        <v>0</v>
      </c>
      <c r="C57" s="114">
        <f>'1-συμβολαια'!C57</f>
        <v>0</v>
      </c>
      <c r="D57" s="31">
        <f>'1-συμβολαια'!D57</f>
        <v>0</v>
      </c>
      <c r="E57" s="40">
        <f>'14-βιβλΕσ'!E57</f>
        <v>0</v>
      </c>
      <c r="F57" s="40">
        <f>'14-βιβλΕσ'!G57</f>
        <v>0</v>
      </c>
      <c r="G57" s="40">
        <f>'14-βιβλΕσ'!I57</f>
        <v>0</v>
      </c>
      <c r="H57" s="17">
        <f>'14-βιβλΕσ'!K57</f>
        <v>0</v>
      </c>
      <c r="I57" s="17">
        <f>'14-βιβλΕσ'!L57</f>
        <v>0</v>
      </c>
      <c r="J57" s="295">
        <f>'14-βιβλΕσ'!N57</f>
        <v>0</v>
      </c>
    </row>
    <row r="58" spans="1:11">
      <c r="A58" s="53">
        <f>'1-συμβολαια'!A58</f>
        <v>0</v>
      </c>
      <c r="B58" s="53">
        <f>'1-συμβολαια'!B58</f>
        <v>0</v>
      </c>
      <c r="C58" s="114">
        <f>'1-συμβολαια'!C58</f>
        <v>0</v>
      </c>
      <c r="D58" s="31">
        <f>'1-συμβολαια'!D58</f>
        <v>0</v>
      </c>
      <c r="E58" s="40">
        <f>'14-βιβλΕσ'!E58</f>
        <v>0</v>
      </c>
      <c r="F58" s="40">
        <f>'14-βιβλΕσ'!G58</f>
        <v>0</v>
      </c>
      <c r="G58" s="40">
        <f>'14-βιβλΕσ'!I58</f>
        <v>0</v>
      </c>
      <c r="H58" s="17">
        <f>'14-βιβλΕσ'!K58</f>
        <v>0</v>
      </c>
      <c r="I58" s="17">
        <f>'14-βιβλΕσ'!L58</f>
        <v>0</v>
      </c>
      <c r="J58" s="295">
        <f>'14-βιβλΕσ'!N58</f>
        <v>0</v>
      </c>
    </row>
    <row r="59" spans="1:11">
      <c r="A59" s="803" t="s">
        <v>56</v>
      </c>
      <c r="B59" s="803"/>
      <c r="C59" s="803"/>
      <c r="D59" s="803"/>
      <c r="E59" s="11">
        <f t="shared" ref="E59:J59" si="0">SUM(E3:E58)</f>
        <v>0</v>
      </c>
      <c r="F59" s="11">
        <f t="shared" si="0"/>
        <v>0</v>
      </c>
      <c r="G59" s="11">
        <f t="shared" si="0"/>
        <v>0</v>
      </c>
      <c r="H59" s="11">
        <f t="shared" si="0"/>
        <v>3159.0254280000008</v>
      </c>
      <c r="I59" s="11">
        <f t="shared" si="0"/>
        <v>538.18397999999979</v>
      </c>
      <c r="J59" s="296">
        <f t="shared" si="0"/>
        <v>0</v>
      </c>
    </row>
    <row r="61" spans="1:11" s="57" customFormat="1" ht="18">
      <c r="A61" s="115"/>
      <c r="B61" s="101"/>
      <c r="C61" s="117"/>
      <c r="E61" s="78"/>
      <c r="F61" s="78"/>
      <c r="G61" s="78"/>
      <c r="H61" s="135">
        <f>E59+F59+H59</f>
        <v>3159.0254280000008</v>
      </c>
      <c r="I61" s="135"/>
      <c r="J61" s="89"/>
      <c r="K61" s="89"/>
    </row>
  </sheetData>
  <mergeCells count="2">
    <mergeCell ref="A59:D59"/>
    <mergeCell ref="A1:J1"/>
  </mergeCells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W73"/>
  <sheetViews>
    <sheetView workbookViewId="0">
      <pane ySplit="2" topLeftCell="A34" activePane="bottomLeft" state="frozen"/>
      <selection pane="bottomLeft" activeCell="E68" sqref="E68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814" t="s">
        <v>77</v>
      </c>
      <c r="B1" s="814"/>
      <c r="C1" s="814"/>
      <c r="D1" s="814"/>
      <c r="E1" s="814"/>
      <c r="F1" s="814"/>
      <c r="G1" s="814"/>
      <c r="H1" s="814"/>
      <c r="I1" s="814"/>
      <c r="J1" s="814"/>
      <c r="K1" s="814"/>
      <c r="L1" s="814"/>
      <c r="M1" s="814"/>
      <c r="N1" s="814"/>
      <c r="O1" s="814"/>
      <c r="P1" s="814"/>
      <c r="Q1" s="814"/>
    </row>
    <row r="2" spans="1:17" s="9" customFormat="1" ht="23.25" customHeight="1" thickBot="1">
      <c r="A2" s="301" t="s">
        <v>19</v>
      </c>
      <c r="B2" s="815" t="s">
        <v>29</v>
      </c>
      <c r="C2" s="816"/>
      <c r="D2" s="817"/>
      <c r="E2" s="818" t="s">
        <v>91</v>
      </c>
      <c r="F2" s="819"/>
      <c r="G2" s="819"/>
      <c r="H2" s="820"/>
      <c r="I2" s="821" t="s">
        <v>91</v>
      </c>
      <c r="J2" s="822"/>
      <c r="K2" s="822"/>
      <c r="L2" s="823"/>
      <c r="M2" s="302" t="s">
        <v>38</v>
      </c>
      <c r="N2" s="302" t="s">
        <v>39</v>
      </c>
      <c r="O2" s="302" t="s">
        <v>40</v>
      </c>
      <c r="P2" s="302" t="s">
        <v>41</v>
      </c>
      <c r="Q2" s="302" t="s">
        <v>42</v>
      </c>
    </row>
    <row r="3" spans="1:17" s="19" customFormat="1">
      <c r="A3" s="299">
        <f>'1-συμβολαια'!A3</f>
        <v>4600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</row>
    <row r="4" spans="1:17" s="19" customFormat="1">
      <c r="A4" s="32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17" s="19" customFormat="1">
      <c r="A5" s="32">
        <f>'1-συμβολαια'!A5</f>
        <v>4601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6" spans="1:17" s="19" customFormat="1">
      <c r="A6" s="32">
        <f>'1-συμβολαια'!A6</f>
        <v>4602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</row>
    <row r="7" spans="1:17" s="19" customFormat="1">
      <c r="A7" s="32">
        <f>'1-συμβολαια'!A7</f>
        <v>0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</row>
    <row r="8" spans="1:17" s="19" customFormat="1">
      <c r="A8" s="32">
        <f>'1-συμβολαια'!A8</f>
        <v>4603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</row>
    <row r="9" spans="1:17" s="19" customFormat="1">
      <c r="A9" s="32">
        <f>'1-συμβολαια'!A9</f>
        <v>4604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</row>
    <row r="10" spans="1:17" s="19" customFormat="1">
      <c r="A10" s="32">
        <f>'1-συμβολαια'!A10</f>
        <v>4605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</row>
    <row r="11" spans="1:17" s="19" customFormat="1">
      <c r="A11" s="32">
        <f>'1-συμβολαια'!A11</f>
        <v>4606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7" s="19" customFormat="1">
      <c r="A12" s="32">
        <f>'1-συμβολαια'!A12</f>
        <v>4607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</row>
    <row r="13" spans="1:17" s="19" customFormat="1">
      <c r="A13" s="32">
        <f>'1-συμβολαια'!A13</f>
        <v>4608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</row>
    <row r="14" spans="1:17" s="19" customFormat="1">
      <c r="A14" s="32">
        <f>'1-συμβολαια'!A14</f>
        <v>4609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</row>
    <row r="15" spans="1:17" s="19" customFormat="1">
      <c r="A15" s="32">
        <f>'1-συμβολαια'!A15</f>
        <v>4610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</row>
    <row r="16" spans="1:17" s="19" customFormat="1">
      <c r="A16" s="32">
        <f>'1-συμβολαια'!A16</f>
        <v>4611</v>
      </c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</row>
    <row r="17" spans="1:17" s="19" customFormat="1">
      <c r="A17" s="32">
        <f>'1-συμβολαια'!A17</f>
        <v>0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</row>
    <row r="18" spans="1:17" s="19" customFormat="1">
      <c r="A18" s="32">
        <f>'1-συμβολαια'!A18</f>
        <v>0</v>
      </c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</row>
    <row r="19" spans="1:17" s="19" customFormat="1">
      <c r="A19" s="32">
        <f>'1-συμβολαια'!A19</f>
        <v>4612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</row>
    <row r="20" spans="1:17" s="19" customFormat="1">
      <c r="A20" s="32">
        <f>'1-συμβολαια'!A20</f>
        <v>4613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</row>
    <row r="21" spans="1:17" s="19" customFormat="1">
      <c r="A21" s="32">
        <f>'1-συμβολαια'!A21</f>
        <v>4614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</row>
    <row r="22" spans="1:17" s="19" customFormat="1">
      <c r="A22" s="32">
        <f>'1-συμβολαια'!A22</f>
        <v>4615</v>
      </c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</row>
    <row r="23" spans="1:17" s="19" customFormat="1">
      <c r="A23" s="32">
        <f>'1-συμβολαια'!A23</f>
        <v>0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  <row r="24" spans="1:17" s="19" customFormat="1">
      <c r="A24" s="32">
        <f>'1-συμβολαια'!A24</f>
        <v>4616</v>
      </c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</row>
    <row r="25" spans="1:17" s="19" customFormat="1">
      <c r="A25" s="32">
        <f>'1-συμβολαια'!A25</f>
        <v>0</v>
      </c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</row>
    <row r="26" spans="1:17" s="19" customFormat="1">
      <c r="A26" s="32">
        <f>'1-συμβολαια'!A26</f>
        <v>0</v>
      </c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</row>
    <row r="27" spans="1:17" s="19" customFormat="1">
      <c r="A27" s="32">
        <f>'1-συμβολαια'!A27</f>
        <v>4617</v>
      </c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</row>
    <row r="28" spans="1:17" s="19" customFormat="1">
      <c r="A28" s="32">
        <f>'1-συμβολαια'!A28</f>
        <v>0</v>
      </c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</row>
    <row r="29" spans="1:17" s="19" customFormat="1">
      <c r="A29" s="32">
        <f>'1-συμβολαια'!A29</f>
        <v>4618</v>
      </c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</row>
    <row r="30" spans="1:17" s="19" customFormat="1">
      <c r="A30" s="32">
        <f>'1-συμβολαια'!A30</f>
        <v>4619</v>
      </c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</row>
    <row r="31" spans="1:17" s="19" customFormat="1">
      <c r="A31" s="32">
        <f>'1-συμβολαια'!A31</f>
        <v>0</v>
      </c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</row>
    <row r="32" spans="1:17" s="19" customFormat="1">
      <c r="A32" s="32">
        <f>'1-συμβολαια'!A32</f>
        <v>4620</v>
      </c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</row>
    <row r="33" spans="1:17" s="19" customFormat="1">
      <c r="A33" s="32">
        <f>'1-συμβολαια'!A33</f>
        <v>0</v>
      </c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</row>
    <row r="34" spans="1:17" s="19" customFormat="1">
      <c r="A34" s="32">
        <f>'1-συμβολαια'!A34</f>
        <v>0</v>
      </c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</row>
    <row r="35" spans="1:17" s="19" customFormat="1">
      <c r="A35" s="32">
        <f>'1-συμβολαια'!A35</f>
        <v>4621</v>
      </c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</row>
    <row r="36" spans="1:17" s="19" customFormat="1">
      <c r="A36" s="32">
        <f>'1-συμβολαια'!A36</f>
        <v>0</v>
      </c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</row>
    <row r="37" spans="1:17" s="19" customFormat="1">
      <c r="A37" s="32">
        <f>'1-συμβολαια'!A37</f>
        <v>4622</v>
      </c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</row>
    <row r="38" spans="1:17" s="19" customFormat="1">
      <c r="A38" s="32">
        <f>'1-συμβολαια'!A38</f>
        <v>4623</v>
      </c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</row>
    <row r="39" spans="1:17" s="19" customFormat="1">
      <c r="A39" s="32">
        <f>'1-συμβολαια'!A39</f>
        <v>4624</v>
      </c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</row>
    <row r="40" spans="1:17" s="19" customFormat="1">
      <c r="A40" s="32">
        <f>'1-συμβολαια'!A40</f>
        <v>0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</row>
    <row r="41" spans="1:17" s="19" customFormat="1">
      <c r="A41" s="32">
        <f>'1-συμβολαια'!A41</f>
        <v>0</v>
      </c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</row>
    <row r="42" spans="1:17" s="19" customFormat="1">
      <c r="A42" s="32">
        <f>'1-συμβολαια'!A42</f>
        <v>4625</v>
      </c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</row>
    <row r="43" spans="1:17" s="19" customFormat="1">
      <c r="A43" s="32">
        <f>'1-συμβολαια'!A43</f>
        <v>0</v>
      </c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</row>
    <row r="44" spans="1:17" s="19" customFormat="1">
      <c r="A44" s="32">
        <f>'1-συμβολαια'!A44</f>
        <v>4626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</row>
    <row r="45" spans="1:17" s="19" customFormat="1">
      <c r="A45" s="32">
        <f>'1-συμβολαια'!A45</f>
        <v>0</v>
      </c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</row>
    <row r="46" spans="1:17" s="19" customFormat="1">
      <c r="A46" s="32">
        <f>'1-συμβολαια'!A46</f>
        <v>0</v>
      </c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</row>
    <row r="47" spans="1:17" s="19" customFormat="1">
      <c r="A47" s="32">
        <f>'1-συμβολαια'!A47</f>
        <v>4627</v>
      </c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</row>
    <row r="48" spans="1:17" s="19" customFormat="1">
      <c r="A48" s="32">
        <f>'1-συμβολαια'!A48</f>
        <v>0</v>
      </c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</row>
    <row r="49" spans="1:17" s="19" customFormat="1">
      <c r="A49" s="32">
        <f>'1-συμβολαια'!A49</f>
        <v>0</v>
      </c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</row>
    <row r="50" spans="1:17" s="19" customFormat="1">
      <c r="A50" s="32">
        <f>'1-συμβολαια'!A50</f>
        <v>4628</v>
      </c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</row>
    <row r="51" spans="1:17" s="19" customFormat="1">
      <c r="A51" s="32">
        <f>'1-συμβολαια'!A51</f>
        <v>4629</v>
      </c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</row>
    <row r="52" spans="1:17" s="19" customFormat="1">
      <c r="A52" s="32">
        <f>'1-συμβολαια'!A52</f>
        <v>0</v>
      </c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</row>
    <row r="53" spans="1:17" s="19" customFormat="1">
      <c r="A53" s="32">
        <f>'1-συμβολαια'!A53</f>
        <v>0</v>
      </c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</row>
    <row r="54" spans="1:17" s="19" customFormat="1">
      <c r="A54" s="32">
        <f>'1-συμβολαια'!A54</f>
        <v>4630</v>
      </c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</row>
    <row r="55" spans="1:17" s="19" customFormat="1">
      <c r="A55" s="32">
        <f>'1-συμβολαια'!A55</f>
        <v>0</v>
      </c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</row>
    <row r="56" spans="1:17" s="19" customFormat="1">
      <c r="A56" s="32">
        <f>'1-συμβολαια'!A56</f>
        <v>4631</v>
      </c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</row>
    <row r="57" spans="1:17" s="19" customFormat="1">
      <c r="A57" s="32">
        <f>'1-συμβολαια'!A57</f>
        <v>0</v>
      </c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</row>
    <row r="58" spans="1:17" s="19" customFormat="1">
      <c r="A58" s="32">
        <f>'1-συμβολαια'!A58</f>
        <v>0</v>
      </c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</row>
    <row r="60" spans="1:17" ht="15.75" customHeight="1">
      <c r="B60" s="812" t="s">
        <v>115</v>
      </c>
      <c r="C60" s="812"/>
      <c r="D60" s="812"/>
      <c r="E60" s="812"/>
      <c r="F60" s="812"/>
      <c r="G60" s="812"/>
      <c r="H60" s="812"/>
      <c r="I60" s="812"/>
      <c r="J60" s="812"/>
      <c r="K60" s="812"/>
      <c r="L60" s="3"/>
      <c r="M60" s="3"/>
      <c r="N60" s="3"/>
      <c r="O60" s="3"/>
      <c r="P60" s="3"/>
      <c r="Q60" s="3"/>
    </row>
    <row r="61" spans="1:17" ht="15.75" customHeight="1">
      <c r="C61" s="813" t="s">
        <v>116</v>
      </c>
      <c r="D61" s="813"/>
      <c r="E61" s="813"/>
      <c r="F61" s="813"/>
      <c r="G61" s="813"/>
      <c r="H61" s="813"/>
      <c r="I61" s="813"/>
      <c r="J61" s="813"/>
      <c r="K61" s="813"/>
      <c r="L61" s="3"/>
      <c r="M61" s="3"/>
      <c r="N61" s="3"/>
      <c r="O61" s="3"/>
      <c r="P61" s="3"/>
      <c r="Q61" s="3"/>
    </row>
    <row r="62" spans="1:17" ht="15.75" customHeight="1">
      <c r="D62" s="812" t="s">
        <v>315</v>
      </c>
      <c r="E62" s="812"/>
      <c r="F62" s="812"/>
      <c r="G62" s="812"/>
      <c r="H62" s="812"/>
      <c r="I62" s="812"/>
      <c r="J62" s="812"/>
      <c r="K62" s="812"/>
      <c r="L62" s="812"/>
      <c r="M62" s="812"/>
      <c r="N62" s="812"/>
      <c r="O62" s="812"/>
      <c r="P62" s="3"/>
      <c r="Q62" s="3"/>
    </row>
    <row r="63" spans="1:17" s="5" customFormat="1" ht="15.75" customHeight="1">
      <c r="A63" s="66"/>
      <c r="B63" s="297"/>
      <c r="C63" s="297"/>
      <c r="D63" s="298"/>
      <c r="E63" s="813" t="s">
        <v>462</v>
      </c>
      <c r="F63" s="813"/>
      <c r="G63" s="813"/>
      <c r="H63" s="813"/>
      <c r="I63" s="813"/>
      <c r="J63" s="813"/>
      <c r="K63" s="813"/>
      <c r="L63" s="813"/>
      <c r="M63" s="813"/>
      <c r="N63" s="3"/>
      <c r="O63" s="3"/>
      <c r="P63" s="3"/>
      <c r="Q63" s="3"/>
    </row>
    <row r="64" spans="1:17" s="5" customFormat="1" ht="15.75" customHeight="1">
      <c r="A64" s="66"/>
      <c r="B64" s="297"/>
      <c r="C64" s="297"/>
      <c r="D64" s="298"/>
      <c r="E64" s="6"/>
      <c r="F64" s="812" t="s">
        <v>138</v>
      </c>
      <c r="G64" s="812"/>
      <c r="H64" s="812"/>
      <c r="I64" s="812"/>
      <c r="J64" s="812"/>
      <c r="K64" s="812"/>
      <c r="L64" s="812"/>
      <c r="M64" s="812"/>
      <c r="N64" s="812"/>
      <c r="O64" s="812"/>
      <c r="P64" s="812"/>
      <c r="Q64" s="3"/>
    </row>
    <row r="65" spans="1:23" s="5" customFormat="1" ht="15.75" customHeight="1">
      <c r="A65" s="66"/>
      <c r="B65" s="297"/>
      <c r="C65" s="297"/>
      <c r="D65" s="298"/>
      <c r="E65" s="6"/>
      <c r="F65" s="6"/>
      <c r="G65" s="813" t="s">
        <v>463</v>
      </c>
      <c r="H65" s="813"/>
      <c r="I65" s="813"/>
      <c r="J65" s="813"/>
      <c r="K65" s="813"/>
      <c r="L65" s="813"/>
      <c r="M65" s="813"/>
      <c r="N65" s="813"/>
      <c r="O65" s="813"/>
      <c r="P65" s="813"/>
      <c r="Q65" s="813"/>
    </row>
    <row r="66" spans="1:23" s="5" customFormat="1" ht="15.75" customHeight="1">
      <c r="A66" s="66"/>
      <c r="B66" s="297"/>
      <c r="C66" s="297"/>
      <c r="D66" s="298"/>
      <c r="E66" s="6"/>
      <c r="F66" s="6"/>
      <c r="G66" s="283"/>
      <c r="H66" s="812" t="s">
        <v>117</v>
      </c>
      <c r="I66" s="812"/>
      <c r="J66" s="812"/>
      <c r="K66" s="812"/>
      <c r="L66" s="812"/>
      <c r="M66" s="812"/>
      <c r="N66" s="812"/>
      <c r="O66" s="3"/>
      <c r="P66" s="3"/>
      <c r="Q66" s="3"/>
      <c r="R66" s="3"/>
      <c r="S66" s="3"/>
      <c r="T66" s="3"/>
      <c r="U66" s="3"/>
      <c r="V66" s="3"/>
      <c r="W66" s="3"/>
    </row>
    <row r="67" spans="1:23" s="5" customFormat="1" ht="15.75" customHeight="1">
      <c r="A67" s="66"/>
      <c r="B67" s="297"/>
      <c r="C67" s="297"/>
      <c r="D67" s="298"/>
      <c r="E67" s="6"/>
      <c r="F67" s="6"/>
      <c r="G67" s="283"/>
      <c r="H67" s="6"/>
      <c r="I67" s="813" t="s">
        <v>118</v>
      </c>
      <c r="J67" s="813"/>
      <c r="K67" s="813"/>
      <c r="L67" s="813"/>
      <c r="M67" s="813"/>
      <c r="N67" s="813"/>
      <c r="O67" s="813"/>
      <c r="P67" s="813"/>
      <c r="Q67" s="813"/>
      <c r="R67" s="813"/>
      <c r="S67" s="3"/>
      <c r="T67" s="3"/>
      <c r="U67" s="3"/>
      <c r="V67" s="3"/>
      <c r="W67" s="3"/>
    </row>
    <row r="68" spans="1:23" s="5" customFormat="1" ht="15.75" customHeight="1">
      <c r="A68" s="66"/>
      <c r="B68" s="297"/>
      <c r="C68" s="297"/>
      <c r="D68" s="298"/>
      <c r="E68" s="6"/>
      <c r="F68" s="6"/>
      <c r="G68" s="283"/>
      <c r="H68" s="6"/>
      <c r="I68" s="6"/>
      <c r="J68" s="812" t="s">
        <v>119</v>
      </c>
      <c r="K68" s="812"/>
      <c r="L68" s="812"/>
      <c r="M68" s="812"/>
      <c r="N68" s="812"/>
      <c r="O68" s="812"/>
      <c r="P68" s="812"/>
      <c r="Q68" s="812"/>
      <c r="R68" s="3"/>
      <c r="S68" s="3"/>
      <c r="T68" s="3"/>
      <c r="U68" s="3"/>
      <c r="V68" s="3"/>
      <c r="W68" s="3"/>
    </row>
    <row r="69" spans="1:23" s="5" customFormat="1" ht="15.75" customHeight="1">
      <c r="A69" s="66"/>
      <c r="B69" s="297"/>
      <c r="C69" s="297"/>
      <c r="D69" s="298"/>
      <c r="E69" s="6"/>
      <c r="F69" s="6"/>
      <c r="G69" s="283"/>
      <c r="H69" s="6"/>
      <c r="I69" s="6"/>
      <c r="J69" s="6"/>
      <c r="K69" s="824" t="s">
        <v>139</v>
      </c>
      <c r="L69" s="824"/>
      <c r="M69" s="824"/>
      <c r="N69" s="824"/>
      <c r="O69" s="824"/>
      <c r="P69" s="824"/>
      <c r="Q69" s="824"/>
      <c r="R69" s="824"/>
      <c r="S69" s="824"/>
      <c r="T69" s="824"/>
      <c r="U69" s="824"/>
      <c r="V69" s="3"/>
      <c r="W69" s="3"/>
    </row>
    <row r="70" spans="1:23" s="5" customFormat="1" ht="15.75" customHeight="1">
      <c r="A70" s="66"/>
      <c r="B70" s="297"/>
      <c r="C70" s="297"/>
      <c r="D70" s="298"/>
      <c r="E70" s="6"/>
      <c r="F70" s="6"/>
      <c r="G70" s="283"/>
      <c r="H70" s="6"/>
      <c r="I70" s="6"/>
      <c r="J70" s="6"/>
      <c r="K70" s="6"/>
      <c r="L70" s="812" t="s">
        <v>120</v>
      </c>
      <c r="M70" s="812"/>
      <c r="N70" s="812"/>
      <c r="O70" s="812"/>
      <c r="P70" s="812"/>
      <c r="Q70" s="812"/>
      <c r="R70" s="812"/>
      <c r="S70" s="812"/>
      <c r="T70" s="3"/>
      <c r="U70" s="3"/>
      <c r="V70" s="3"/>
      <c r="W70" s="3"/>
    </row>
    <row r="71" spans="1:23" s="5" customFormat="1" ht="15.75" customHeight="1">
      <c r="A71" s="66"/>
      <c r="B71" s="297"/>
      <c r="C71" s="297"/>
      <c r="D71" s="298"/>
      <c r="E71" s="6"/>
      <c r="F71" s="6"/>
      <c r="G71" s="283"/>
      <c r="H71" s="6"/>
      <c r="I71" s="6"/>
      <c r="J71" s="6"/>
      <c r="K71" s="6"/>
      <c r="L71" s="3"/>
      <c r="M71" s="813" t="s">
        <v>121</v>
      </c>
      <c r="N71" s="813"/>
      <c r="O71" s="813"/>
      <c r="P71" s="813"/>
      <c r="Q71" s="813"/>
      <c r="R71" s="813"/>
      <c r="S71" s="813"/>
      <c r="T71" s="813"/>
      <c r="U71" s="3"/>
      <c r="V71" s="3"/>
      <c r="W71" s="3"/>
    </row>
    <row r="72" spans="1:23" s="5" customFormat="1" ht="15.75" customHeight="1">
      <c r="A72" s="66"/>
      <c r="B72" s="297"/>
      <c r="C72" s="297"/>
      <c r="D72" s="298"/>
      <c r="E72" s="6"/>
      <c r="F72" s="6"/>
      <c r="G72" s="283"/>
      <c r="H72" s="6"/>
      <c r="I72" s="6"/>
      <c r="J72" s="6"/>
      <c r="K72" s="6"/>
      <c r="L72" s="3"/>
      <c r="M72" s="3"/>
      <c r="N72" s="812" t="s">
        <v>122</v>
      </c>
      <c r="O72" s="812"/>
      <c r="P72" s="812"/>
      <c r="Q72" s="812"/>
      <c r="R72" s="812"/>
      <c r="S72" s="812"/>
      <c r="T72" s="812"/>
      <c r="U72" s="812"/>
      <c r="V72" s="812"/>
      <c r="W72" s="812"/>
    </row>
    <row r="73" spans="1:23" s="5" customFormat="1" ht="15.75" customHeight="1">
      <c r="A73" s="66"/>
      <c r="B73" s="297"/>
      <c r="C73" s="297"/>
      <c r="D73" s="298"/>
      <c r="E73" s="6"/>
      <c r="F73" s="6"/>
      <c r="G73" s="283"/>
      <c r="H73" s="283"/>
      <c r="I73" s="283"/>
      <c r="J73" s="283"/>
      <c r="K73" s="283"/>
      <c r="L73" s="283"/>
      <c r="M73" s="283"/>
      <c r="N73" s="283"/>
      <c r="O73" s="283"/>
      <c r="P73" s="283"/>
      <c r="Q73" s="283"/>
    </row>
  </sheetData>
  <mergeCells count="17">
    <mergeCell ref="J68:Q68"/>
    <mergeCell ref="K69:U69"/>
    <mergeCell ref="L70:S70"/>
    <mergeCell ref="M71:T71"/>
    <mergeCell ref="N72:W72"/>
    <mergeCell ref="A1:Q1"/>
    <mergeCell ref="B2:D2"/>
    <mergeCell ref="E2:H2"/>
    <mergeCell ref="I2:L2"/>
    <mergeCell ref="B60:K60"/>
    <mergeCell ref="H66:N66"/>
    <mergeCell ref="I67:R67"/>
    <mergeCell ref="C61:K61"/>
    <mergeCell ref="D62:O62"/>
    <mergeCell ref="E63:M63"/>
    <mergeCell ref="F64:P64"/>
    <mergeCell ref="G65:Q65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T67"/>
  <sheetViews>
    <sheetView workbookViewId="0">
      <pane ySplit="2" topLeftCell="A52" activePane="bottomLeft" state="frozen"/>
      <selection pane="bottomLeft" activeCell="A173" sqref="A59:XFD173"/>
    </sheetView>
  </sheetViews>
  <sheetFormatPr defaultRowHeight="11.25"/>
  <cols>
    <col min="1" max="1" width="7.42578125" style="8" bestFit="1" customWidth="1"/>
    <col min="2" max="7" width="5.7109375" style="98" bestFit="1" customWidth="1"/>
    <col min="8" max="8" width="46.140625" style="98" customWidth="1"/>
    <col min="9" max="9" width="6.5703125" style="98" customWidth="1"/>
    <col min="10" max="10" width="52.85546875" style="98" customWidth="1"/>
    <col min="11" max="15" width="5.7109375" style="98" bestFit="1" customWidth="1"/>
    <col min="16" max="20" width="5.28515625" style="98" bestFit="1" customWidth="1"/>
    <col min="21" max="16384" width="9.140625" style="3"/>
  </cols>
  <sheetData>
    <row r="1" spans="1:20" ht="15.75">
      <c r="A1" s="814" t="s">
        <v>77</v>
      </c>
      <c r="B1" s="814"/>
      <c r="C1" s="814"/>
      <c r="D1" s="814"/>
      <c r="E1" s="814"/>
      <c r="F1" s="814"/>
      <c r="G1" s="814"/>
      <c r="H1" s="814"/>
      <c r="I1" s="814"/>
      <c r="J1" s="814"/>
      <c r="K1" s="814"/>
      <c r="L1" s="814"/>
      <c r="M1" s="814"/>
      <c r="N1" s="814"/>
      <c r="O1" s="814"/>
      <c r="P1" s="814"/>
      <c r="Q1" s="814"/>
      <c r="R1" s="814"/>
      <c r="S1" s="814"/>
      <c r="T1" s="814"/>
    </row>
    <row r="2" spans="1:20" s="9" customFormat="1" ht="23.25" customHeight="1" thickBot="1">
      <c r="A2" s="301" t="s">
        <v>19</v>
      </c>
      <c r="B2" s="815" t="s">
        <v>29</v>
      </c>
      <c r="C2" s="816"/>
      <c r="D2" s="817"/>
      <c r="E2" s="818" t="s">
        <v>91</v>
      </c>
      <c r="F2" s="819"/>
      <c r="G2" s="820"/>
      <c r="H2" s="825" t="s">
        <v>91</v>
      </c>
      <c r="I2" s="826"/>
      <c r="J2" s="827"/>
      <c r="K2" s="821" t="s">
        <v>91</v>
      </c>
      <c r="L2" s="822"/>
      <c r="M2" s="823"/>
      <c r="N2" s="302" t="s">
        <v>36</v>
      </c>
      <c r="O2" s="302" t="s">
        <v>37</v>
      </c>
      <c r="P2" s="302" t="s">
        <v>38</v>
      </c>
      <c r="Q2" s="302" t="s">
        <v>39</v>
      </c>
      <c r="R2" s="302" t="s">
        <v>40</v>
      </c>
      <c r="S2" s="302" t="s">
        <v>41</v>
      </c>
      <c r="T2" s="302" t="s">
        <v>42</v>
      </c>
    </row>
    <row r="3" spans="1:20" s="19" customFormat="1">
      <c r="A3" s="299">
        <f>'1-συμβολαια'!A3</f>
        <v>4600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</row>
    <row r="4" spans="1:20" s="19" customFormat="1">
      <c r="A4" s="32">
        <f>'1-συμβολαια'!A4</f>
        <v>0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</row>
    <row r="5" spans="1:20" s="19" customFormat="1">
      <c r="A5" s="32">
        <f>'1-συμβολαια'!A5</f>
        <v>4601</v>
      </c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</row>
    <row r="6" spans="1:20" s="19" customFormat="1">
      <c r="A6" s="32">
        <f>'1-συμβολαια'!A6</f>
        <v>4602</v>
      </c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</row>
    <row r="7" spans="1:20" s="19" customFormat="1">
      <c r="A7" s="32">
        <f>'1-συμβολαια'!A7</f>
        <v>0</v>
      </c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</row>
    <row r="8" spans="1:20" s="19" customFormat="1">
      <c r="A8" s="32">
        <f>'1-συμβολαια'!A8</f>
        <v>4603</v>
      </c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</row>
    <row r="9" spans="1:20" s="19" customFormat="1">
      <c r="A9" s="32">
        <f>'1-συμβολαια'!A9</f>
        <v>4604</v>
      </c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</row>
    <row r="10" spans="1:20" s="19" customFormat="1">
      <c r="A10" s="32">
        <f>'1-συμβολαια'!A10</f>
        <v>4605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</row>
    <row r="11" spans="1:20" s="19" customFormat="1">
      <c r="A11" s="32">
        <f>'1-συμβολαια'!A11</f>
        <v>4606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</row>
    <row r="12" spans="1:20" s="19" customFormat="1">
      <c r="A12" s="32">
        <f>'1-συμβολαια'!A12</f>
        <v>4607</v>
      </c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</row>
    <row r="13" spans="1:20" s="19" customFormat="1">
      <c r="A13" s="32">
        <f>'1-συμβολαια'!A13</f>
        <v>4608</v>
      </c>
      <c r="B13" s="97"/>
      <c r="C13" s="97"/>
      <c r="D13" s="97"/>
      <c r="E13" s="97"/>
      <c r="F13" s="97"/>
      <c r="G13" s="97"/>
      <c r="H13" s="97"/>
      <c r="I13" s="97"/>
      <c r="J13" s="97"/>
      <c r="K13" s="97"/>
      <c r="L13" s="97"/>
      <c r="M13" s="97"/>
      <c r="N13" s="97"/>
      <c r="O13" s="97"/>
      <c r="P13" s="97"/>
      <c r="Q13" s="97"/>
      <c r="R13" s="97"/>
      <c r="S13" s="97"/>
      <c r="T13" s="97"/>
    </row>
    <row r="14" spans="1:20" s="19" customFormat="1">
      <c r="A14" s="32">
        <f>'1-συμβολαια'!A14</f>
        <v>4609</v>
      </c>
      <c r="B14" s="97"/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97"/>
      <c r="N14" s="97"/>
      <c r="O14" s="97"/>
      <c r="P14" s="97"/>
      <c r="Q14" s="97"/>
      <c r="R14" s="97"/>
      <c r="S14" s="97"/>
      <c r="T14" s="97"/>
    </row>
    <row r="15" spans="1:20" s="19" customFormat="1">
      <c r="A15" s="32">
        <f>'1-συμβολαια'!A15</f>
        <v>4610</v>
      </c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</row>
    <row r="16" spans="1:20" s="19" customFormat="1">
      <c r="A16" s="32">
        <f>'1-συμβολαια'!A16</f>
        <v>4611</v>
      </c>
      <c r="B16" s="97"/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</row>
    <row r="17" spans="1:20" s="19" customFormat="1">
      <c r="A17" s="32">
        <f>'1-συμβολαια'!A17</f>
        <v>0</v>
      </c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</row>
    <row r="18" spans="1:20" s="19" customFormat="1">
      <c r="A18" s="32">
        <f>'1-συμβολαια'!A18</f>
        <v>0</v>
      </c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</row>
    <row r="19" spans="1:20" s="19" customFormat="1">
      <c r="A19" s="32">
        <f>'1-συμβολαια'!A19</f>
        <v>4612</v>
      </c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</row>
    <row r="20" spans="1:20" s="19" customFormat="1">
      <c r="A20" s="32">
        <f>'1-συμβολαια'!A20</f>
        <v>4613</v>
      </c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</row>
    <row r="21" spans="1:20" s="19" customFormat="1">
      <c r="A21" s="32">
        <f>'1-συμβολαια'!A21</f>
        <v>4614</v>
      </c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</row>
    <row r="22" spans="1:20" s="19" customFormat="1">
      <c r="A22" s="32">
        <f>'1-συμβολαια'!A22</f>
        <v>4615</v>
      </c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</row>
    <row r="23" spans="1:20" s="19" customFormat="1">
      <c r="A23" s="32">
        <f>'1-συμβολαια'!A23</f>
        <v>0</v>
      </c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</row>
    <row r="24" spans="1:20" s="19" customFormat="1">
      <c r="A24" s="32">
        <f>'1-συμβολαια'!A24</f>
        <v>4616</v>
      </c>
      <c r="B24" s="97"/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</row>
    <row r="25" spans="1:20" s="19" customFormat="1">
      <c r="A25" s="32">
        <f>'1-συμβολαια'!A25</f>
        <v>0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</row>
    <row r="26" spans="1:20" s="19" customFormat="1">
      <c r="A26" s="32">
        <f>'1-συμβολαια'!A26</f>
        <v>0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</row>
    <row r="27" spans="1:20" s="19" customFormat="1">
      <c r="A27" s="32">
        <f>'1-συμβολαια'!A27</f>
        <v>4617</v>
      </c>
      <c r="B27" s="97"/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</row>
    <row r="28" spans="1:20" s="19" customFormat="1">
      <c r="A28" s="32">
        <f>'1-συμβολαια'!A28</f>
        <v>0</v>
      </c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</row>
    <row r="29" spans="1:20" s="19" customFormat="1">
      <c r="A29" s="32">
        <f>'1-συμβολαια'!A29</f>
        <v>4618</v>
      </c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</row>
    <row r="30" spans="1:20" s="19" customFormat="1">
      <c r="A30" s="32">
        <f>'1-συμβολαια'!A30</f>
        <v>4619</v>
      </c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</row>
    <row r="31" spans="1:20" s="19" customFormat="1">
      <c r="A31" s="32">
        <f>'1-συμβολαια'!A31</f>
        <v>0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</row>
    <row r="32" spans="1:20" s="19" customFormat="1">
      <c r="A32" s="32">
        <f>'1-συμβολαια'!A32</f>
        <v>4620</v>
      </c>
      <c r="B32" s="97"/>
      <c r="C32" s="97"/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</row>
    <row r="33" spans="1:20" s="19" customFormat="1">
      <c r="A33" s="32">
        <f>'1-συμβολαια'!A33</f>
        <v>0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</row>
    <row r="34" spans="1:20" s="19" customFormat="1">
      <c r="A34" s="32">
        <f>'1-συμβολαια'!A34</f>
        <v>0</v>
      </c>
      <c r="B34" s="97"/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</row>
    <row r="35" spans="1:20" s="19" customFormat="1">
      <c r="A35" s="32">
        <f>'1-συμβολαια'!A35</f>
        <v>4621</v>
      </c>
      <c r="B35" s="97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</row>
    <row r="36" spans="1:20" s="19" customFormat="1">
      <c r="A36" s="32">
        <f>'1-συμβολαια'!A36</f>
        <v>0</v>
      </c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</row>
    <row r="37" spans="1:20" s="19" customFormat="1">
      <c r="A37" s="32">
        <f>'1-συμβολαια'!A37</f>
        <v>4622</v>
      </c>
      <c r="B37" s="97"/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</row>
    <row r="38" spans="1:20" s="19" customFormat="1">
      <c r="A38" s="32">
        <f>'1-συμβολαια'!A38</f>
        <v>4623</v>
      </c>
      <c r="B38" s="9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</row>
    <row r="39" spans="1:20" s="19" customFormat="1">
      <c r="A39" s="32">
        <f>'1-συμβολαια'!A39</f>
        <v>4624</v>
      </c>
      <c r="B39" s="97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</row>
    <row r="40" spans="1:20" s="19" customFormat="1">
      <c r="A40" s="32">
        <f>'1-συμβολαια'!A40</f>
        <v>0</v>
      </c>
      <c r="B40" s="97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</row>
    <row r="41" spans="1:20" s="19" customFormat="1">
      <c r="A41" s="32">
        <f>'1-συμβολαια'!A41</f>
        <v>0</v>
      </c>
      <c r="B41" s="97"/>
      <c r="C41" s="97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</row>
    <row r="42" spans="1:20" s="19" customFormat="1">
      <c r="A42" s="32">
        <f>'1-συμβολαια'!A42</f>
        <v>4625</v>
      </c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</row>
    <row r="43" spans="1:20" s="19" customFormat="1">
      <c r="A43" s="32">
        <f>'1-συμβολαια'!A43</f>
        <v>0</v>
      </c>
      <c r="B43" s="97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</row>
    <row r="44" spans="1:20" s="19" customFormat="1">
      <c r="A44" s="32">
        <f>'1-συμβολαια'!A44</f>
        <v>4626</v>
      </c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</row>
    <row r="45" spans="1:20" s="19" customFormat="1">
      <c r="A45" s="32">
        <f>'1-συμβολαια'!A45</f>
        <v>0</v>
      </c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</row>
    <row r="46" spans="1:20" s="19" customFormat="1">
      <c r="A46" s="32">
        <f>'1-συμβολαια'!A46</f>
        <v>0</v>
      </c>
      <c r="B46" s="97"/>
      <c r="C46" s="97"/>
      <c r="D46" s="97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</row>
    <row r="47" spans="1:20" s="19" customFormat="1">
      <c r="A47" s="32">
        <f>'1-συμβολαια'!A47</f>
        <v>4627</v>
      </c>
      <c r="B47" s="97"/>
      <c r="C47" s="97"/>
      <c r="D47" s="97"/>
      <c r="E47" s="97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</row>
    <row r="48" spans="1:20" s="19" customFormat="1">
      <c r="A48" s="32">
        <f>'1-συμβολαια'!A48</f>
        <v>0</v>
      </c>
      <c r="B48" s="97"/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</row>
    <row r="49" spans="1:20" s="19" customFormat="1">
      <c r="A49" s="32">
        <f>'1-συμβολαια'!A49</f>
        <v>0</v>
      </c>
      <c r="B49" s="9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</row>
    <row r="50" spans="1:20" s="19" customFormat="1">
      <c r="A50" s="32">
        <f>'1-συμβολαια'!A50</f>
        <v>4628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</row>
    <row r="51" spans="1:20" s="19" customFormat="1">
      <c r="A51" s="32">
        <f>'1-συμβολαια'!A51</f>
        <v>4629</v>
      </c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</row>
    <row r="52" spans="1:20" s="19" customFormat="1">
      <c r="A52" s="32">
        <f>'1-συμβολαια'!A52</f>
        <v>0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</row>
    <row r="53" spans="1:20" s="19" customFormat="1">
      <c r="A53" s="32">
        <f>'1-συμβολαια'!A53</f>
        <v>0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</row>
    <row r="54" spans="1:20" s="19" customFormat="1">
      <c r="A54" s="32">
        <f>'1-συμβολαια'!A54</f>
        <v>4630</v>
      </c>
      <c r="B54" s="97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</row>
    <row r="55" spans="1:20" s="19" customFormat="1">
      <c r="A55" s="32">
        <f>'1-συμβολαια'!A55</f>
        <v>0</v>
      </c>
      <c r="B55" s="97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</row>
    <row r="56" spans="1:20" s="19" customFormat="1">
      <c r="A56" s="32">
        <f>'1-συμβολαια'!A56</f>
        <v>4631</v>
      </c>
      <c r="B56" s="97"/>
      <c r="C56" s="97"/>
      <c r="D56" s="97"/>
      <c r="E56" s="97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</row>
    <row r="57" spans="1:20" s="19" customFormat="1">
      <c r="A57" s="32">
        <f>'1-συμβολαια'!A57</f>
        <v>0</v>
      </c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</row>
    <row r="58" spans="1:20" s="19" customFormat="1">
      <c r="A58" s="32">
        <f>'1-συμβολαια'!A58</f>
        <v>0</v>
      </c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</row>
    <row r="60" spans="1:20" ht="15.75">
      <c r="B60" s="812" t="s">
        <v>123</v>
      </c>
      <c r="C60" s="812"/>
      <c r="D60" s="812"/>
      <c r="E60" s="812"/>
      <c r="F60" s="812"/>
      <c r="G60" s="812"/>
      <c r="H60" s="812"/>
      <c r="I60" s="144"/>
      <c r="J60" s="6"/>
      <c r="K60" s="6"/>
      <c r="L60" s="3"/>
      <c r="M60" s="3"/>
      <c r="N60" s="3"/>
      <c r="O60" s="3"/>
    </row>
    <row r="61" spans="1:20" ht="15.75">
      <c r="B61" s="6"/>
      <c r="C61" s="813" t="s">
        <v>124</v>
      </c>
      <c r="D61" s="813"/>
      <c r="E61" s="813"/>
      <c r="F61" s="813"/>
      <c r="G61" s="813"/>
      <c r="H61" s="813"/>
      <c r="I61" s="813"/>
      <c r="J61" s="6"/>
      <c r="K61" s="6"/>
      <c r="L61" s="3"/>
      <c r="M61" s="3"/>
      <c r="N61" s="3"/>
      <c r="O61" s="3"/>
    </row>
    <row r="62" spans="1:20" ht="15.75" customHeight="1">
      <c r="B62" s="6"/>
      <c r="C62" s="6"/>
      <c r="D62" s="812" t="s">
        <v>125</v>
      </c>
      <c r="E62" s="812"/>
      <c r="F62" s="812"/>
      <c r="G62" s="812"/>
      <c r="H62" s="812"/>
      <c r="I62" s="812"/>
      <c r="J62" s="812"/>
      <c r="K62" s="812"/>
      <c r="L62" s="3"/>
      <c r="M62" s="3"/>
      <c r="N62" s="3"/>
      <c r="O62" s="3"/>
    </row>
    <row r="63" spans="1:20" ht="15.75" customHeight="1">
      <c r="B63" s="6"/>
      <c r="C63" s="6"/>
      <c r="D63" s="6"/>
      <c r="E63" s="828" t="s">
        <v>130</v>
      </c>
      <c r="F63" s="828"/>
      <c r="G63" s="828"/>
      <c r="H63" s="828"/>
      <c r="I63" s="828"/>
      <c r="J63" s="828"/>
      <c r="K63" s="828"/>
      <c r="L63" s="828"/>
      <c r="M63" s="3"/>
      <c r="N63" s="3"/>
      <c r="O63" s="3"/>
    </row>
    <row r="64" spans="1:20" ht="15.75" customHeight="1">
      <c r="B64" s="6"/>
      <c r="C64" s="6"/>
      <c r="D64" s="6"/>
      <c r="E64" s="6"/>
      <c r="F64" s="812" t="s">
        <v>126</v>
      </c>
      <c r="G64" s="812"/>
      <c r="H64" s="812"/>
      <c r="I64" s="812"/>
      <c r="J64" s="812"/>
      <c r="K64" s="812"/>
      <c r="L64" s="812"/>
      <c r="M64" s="3"/>
      <c r="N64" s="3"/>
      <c r="O64" s="3"/>
    </row>
    <row r="65" spans="2:15" ht="15.75" customHeight="1">
      <c r="B65" s="6"/>
      <c r="C65" s="6"/>
      <c r="D65" s="6"/>
      <c r="E65" s="6"/>
      <c r="F65" s="6"/>
      <c r="G65" s="813" t="s">
        <v>127</v>
      </c>
      <c r="H65" s="813"/>
      <c r="I65" s="813"/>
      <c r="J65" s="813"/>
      <c r="K65" s="813"/>
      <c r="L65" s="813"/>
      <c r="M65" s="813"/>
      <c r="N65" s="3"/>
      <c r="O65" s="3"/>
    </row>
    <row r="66" spans="2:15" ht="15.75">
      <c r="B66" s="6"/>
      <c r="C66" s="6"/>
      <c r="D66" s="6"/>
      <c r="E66" s="6"/>
      <c r="F66" s="6"/>
      <c r="G66" s="6"/>
      <c r="H66" s="812" t="s">
        <v>128</v>
      </c>
      <c r="I66" s="812"/>
      <c r="J66" s="812"/>
      <c r="K66" s="812"/>
      <c r="L66" s="812"/>
      <c r="M66" s="812"/>
      <c r="N66" s="812"/>
      <c r="O66" s="3"/>
    </row>
    <row r="67" spans="2:15" ht="15.75">
      <c r="B67" s="6"/>
      <c r="C67" s="6"/>
      <c r="D67" s="6"/>
      <c r="E67" s="6"/>
      <c r="F67" s="6"/>
      <c r="G67" s="6"/>
      <c r="H67" s="6"/>
      <c r="I67" s="813" t="s">
        <v>129</v>
      </c>
      <c r="J67" s="813"/>
      <c r="K67" s="813"/>
      <c r="L67" s="813"/>
      <c r="M67" s="813"/>
      <c r="N67" s="813"/>
      <c r="O67" s="813"/>
    </row>
  </sheetData>
  <mergeCells count="13">
    <mergeCell ref="G65:M65"/>
    <mergeCell ref="H66:N66"/>
    <mergeCell ref="I67:O67"/>
    <mergeCell ref="B60:H60"/>
    <mergeCell ref="C61:I61"/>
    <mergeCell ref="D62:K62"/>
    <mergeCell ref="E63:L63"/>
    <mergeCell ref="F64:L64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I67"/>
  <sheetViews>
    <sheetView topLeftCell="E1" zoomScaleNormal="100" workbookViewId="0">
      <pane ySplit="2" topLeftCell="A46" activePane="bottomLeft" state="frozen"/>
      <selection pane="bottomLeft" activeCell="L71" sqref="L71"/>
    </sheetView>
  </sheetViews>
  <sheetFormatPr defaultRowHeight="11.25"/>
  <cols>
    <col min="1" max="1" width="5.710937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11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104" customWidth="1"/>
    <col min="23" max="23" width="5.5703125" style="98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47" customFormat="1" ht="15.75" customHeight="1">
      <c r="A1" s="651" t="s">
        <v>67</v>
      </c>
      <c r="B1" s="651"/>
      <c r="C1" s="830" t="s">
        <v>68</v>
      </c>
      <c r="D1" s="830"/>
      <c r="E1" s="651" t="s">
        <v>0</v>
      </c>
      <c r="F1" s="651"/>
      <c r="G1" s="652" t="s">
        <v>10</v>
      </c>
      <c r="H1" s="652"/>
      <c r="I1" s="652"/>
      <c r="J1" s="651" t="s">
        <v>8</v>
      </c>
      <c r="K1" s="651"/>
      <c r="L1" s="831" t="s">
        <v>464</v>
      </c>
      <c r="M1" s="832"/>
      <c r="N1" s="832"/>
      <c r="O1" s="833"/>
      <c r="P1" s="829" t="s">
        <v>66</v>
      </c>
      <c r="Q1" s="829"/>
      <c r="R1" s="652" t="s">
        <v>55</v>
      </c>
      <c r="S1" s="652"/>
      <c r="T1" s="836" t="s">
        <v>46</v>
      </c>
      <c r="U1" s="834" t="s">
        <v>91</v>
      </c>
      <c r="V1" s="834"/>
      <c r="W1" s="834"/>
      <c r="X1" s="834"/>
      <c r="Y1" s="834"/>
      <c r="Z1" s="834"/>
      <c r="AA1" s="834"/>
      <c r="AB1" s="834"/>
      <c r="AC1" s="834"/>
    </row>
    <row r="2" spans="1:29" s="12" customFormat="1" ht="15.75" customHeight="1" thickBot="1">
      <c r="A2" s="118"/>
      <c r="B2" s="59"/>
      <c r="C2" s="102"/>
      <c r="D2" s="62" t="s">
        <v>69</v>
      </c>
      <c r="E2" s="119"/>
      <c r="F2" s="60" t="s">
        <v>69</v>
      </c>
      <c r="G2" s="51" t="s">
        <v>11</v>
      </c>
      <c r="H2" s="49" t="s">
        <v>12</v>
      </c>
      <c r="I2" s="50" t="s">
        <v>29</v>
      </c>
      <c r="J2" s="88" t="s">
        <v>23</v>
      </c>
      <c r="K2" s="61" t="s">
        <v>69</v>
      </c>
      <c r="L2" s="88" t="s">
        <v>346</v>
      </c>
      <c r="M2" s="88" t="s">
        <v>347</v>
      </c>
      <c r="N2" s="88" t="s">
        <v>348</v>
      </c>
      <c r="O2" s="291" t="s">
        <v>29</v>
      </c>
      <c r="P2" s="68" t="s">
        <v>23</v>
      </c>
      <c r="Q2" s="61" t="s">
        <v>69</v>
      </c>
      <c r="R2" s="88" t="s">
        <v>23</v>
      </c>
      <c r="S2" s="37" t="s">
        <v>69</v>
      </c>
      <c r="T2" s="837"/>
      <c r="U2" s="835"/>
      <c r="V2" s="835"/>
      <c r="W2" s="835"/>
      <c r="X2" s="835"/>
      <c r="Y2" s="835"/>
      <c r="Z2" s="835"/>
      <c r="AA2" s="835"/>
      <c r="AB2" s="835"/>
      <c r="AC2" s="835"/>
    </row>
    <row r="3" spans="1:29" s="19" customFormat="1">
      <c r="A3" s="14">
        <f>'1-συμβολαια'!A3</f>
        <v>4600</v>
      </c>
      <c r="B3" s="58"/>
      <c r="C3" s="96">
        <f>'1-συμβολαια'!B3</f>
        <v>2</v>
      </c>
      <c r="D3" s="20"/>
      <c r="E3" s="110" t="str">
        <f>'1-συμβολαια'!C3</f>
        <v>δωρεά</v>
      </c>
      <c r="F3" s="15"/>
      <c r="G3" s="16">
        <f>'4-πολλυπρ'!D3</f>
        <v>0</v>
      </c>
      <c r="H3" s="16">
        <f>'4-πολλυπρ'!I3</f>
        <v>0</v>
      </c>
      <c r="I3" s="21"/>
      <c r="J3" s="21">
        <f>'1-συμβολαια'!D3</f>
        <v>5727.22</v>
      </c>
      <c r="K3" s="21"/>
      <c r="L3" s="28">
        <f>'11-χαρτόσ'!D3</f>
        <v>0</v>
      </c>
      <c r="M3" s="28"/>
      <c r="N3" s="28"/>
      <c r="O3" s="22"/>
      <c r="P3" s="18">
        <f>'14β-βιβλΕσΕκτ'!H3-R3</f>
        <v>118.44269199999998</v>
      </c>
      <c r="Q3" s="17"/>
      <c r="R3" s="23">
        <f>'5-αντίγρ'!Q3</f>
        <v>0</v>
      </c>
      <c r="S3" s="24"/>
      <c r="T3" s="25"/>
      <c r="U3" s="147"/>
      <c r="V3" s="147"/>
      <c r="W3" s="148"/>
      <c r="X3" s="149"/>
      <c r="Y3" s="149"/>
      <c r="Z3" s="149"/>
      <c r="AA3" s="149"/>
      <c r="AB3" s="149"/>
      <c r="AC3" s="149"/>
    </row>
    <row r="4" spans="1:29" s="19" customFormat="1">
      <c r="A4" s="14">
        <f>'1-συμβολαια'!A4</f>
        <v>0</v>
      </c>
      <c r="B4" s="58"/>
      <c r="C4" s="96">
        <f>'1-συμβολαια'!B4</f>
        <v>0</v>
      </c>
      <c r="D4" s="20"/>
      <c r="E4" s="110" t="str">
        <f>'1-συμβολαια'!C4</f>
        <v>ΧΡΗΣΙΚΤΗΣΙΑ οικοπέδου &amp; οικίας = 1930 πατρός ΔΩΡΕΑ άτυπη</v>
      </c>
      <c r="F4" s="15"/>
      <c r="G4" s="16">
        <f>'4-πολλυπρ'!D4</f>
        <v>0</v>
      </c>
      <c r="H4" s="16">
        <f>'4-πολλυπρ'!I4</f>
        <v>0</v>
      </c>
      <c r="I4" s="21"/>
      <c r="J4" s="21">
        <f>'1-συμβολαια'!D4</f>
        <v>3333</v>
      </c>
      <c r="K4" s="21"/>
      <c r="L4" s="28">
        <f>'11-χαρτόσ'!D4</f>
        <v>0</v>
      </c>
      <c r="M4" s="28"/>
      <c r="N4" s="28"/>
      <c r="O4" s="22"/>
      <c r="P4" s="18">
        <f>'14β-βιβλΕσΕκτ'!H4-R4</f>
        <v>0</v>
      </c>
      <c r="Q4" s="17"/>
      <c r="R4" s="23">
        <f>'5-αντίγρ'!Q4</f>
        <v>0</v>
      </c>
      <c r="S4" s="24"/>
      <c r="T4" s="25"/>
      <c r="U4" s="103"/>
      <c r="V4" s="103"/>
      <c r="W4" s="97"/>
      <c r="X4" s="26"/>
      <c r="Y4" s="26"/>
      <c r="Z4" s="26"/>
      <c r="AA4" s="26"/>
      <c r="AB4" s="26"/>
      <c r="AC4" s="26"/>
    </row>
    <row r="5" spans="1:29" s="19" customFormat="1">
      <c r="A5" s="14">
        <f>'1-συμβολαια'!A5</f>
        <v>4601</v>
      </c>
      <c r="B5" s="58"/>
      <c r="C5" s="96">
        <f>'1-συμβολαια'!B5</f>
        <v>9</v>
      </c>
      <c r="D5" s="20"/>
      <c r="E5" s="110" t="str">
        <f>'1-συμβολαια'!C5</f>
        <v>αγοραπωλησίας 13.835κ ΕΞΟΦΛΗΣΗ</v>
      </c>
      <c r="F5" s="15"/>
      <c r="G5" s="16">
        <f>'4-πολλυπρ'!D5</f>
        <v>0</v>
      </c>
      <c r="H5" s="16">
        <f>'4-πολλυπρ'!I5</f>
        <v>0</v>
      </c>
      <c r="I5" s="21"/>
      <c r="J5" s="21">
        <f>'1-συμβολαια'!D5</f>
        <v>0</v>
      </c>
      <c r="K5" s="21"/>
      <c r="L5" s="28">
        <f>'11-χαρτόσ'!D5</f>
        <v>0</v>
      </c>
      <c r="M5" s="28"/>
      <c r="N5" s="28"/>
      <c r="O5" s="22"/>
      <c r="P5" s="18">
        <f>'14β-βιβλΕσΕκτ'!H5-R5</f>
        <v>31.350200000000001</v>
      </c>
      <c r="Q5" s="17"/>
      <c r="R5" s="23">
        <f>'5-αντίγρ'!Q5</f>
        <v>0</v>
      </c>
      <c r="S5" s="24"/>
      <c r="T5" s="25"/>
      <c r="U5" s="103"/>
      <c r="V5" s="103"/>
      <c r="W5" s="97"/>
      <c r="X5" s="26"/>
      <c r="Y5" s="26"/>
      <c r="Z5" s="26"/>
      <c r="AA5" s="26"/>
      <c r="AB5" s="26"/>
      <c r="AC5" s="26"/>
    </row>
    <row r="6" spans="1:29" s="19" customFormat="1">
      <c r="A6" s="14">
        <f>'1-συμβολαια'!A6</f>
        <v>4602</v>
      </c>
      <c r="B6" s="58"/>
      <c r="C6" s="96">
        <f>'1-συμβολαια'!B6</f>
        <v>10</v>
      </c>
      <c r="D6" s="20"/>
      <c r="E6" s="110" t="str">
        <f>'1-συμβολαια'!C6</f>
        <v>κληρονομιάς ΑΠΟΔΟΧΗ</v>
      </c>
      <c r="F6" s="15"/>
      <c r="G6" s="16">
        <f>'4-πολλυπρ'!D6</f>
        <v>0</v>
      </c>
      <c r="H6" s="16">
        <f>'4-πολλυπρ'!I6</f>
        <v>0</v>
      </c>
      <c r="I6" s="21"/>
      <c r="J6" s="21">
        <f>'1-συμβολαια'!D6</f>
        <v>0</v>
      </c>
      <c r="K6" s="21"/>
      <c r="L6" s="28">
        <f>'11-χαρτόσ'!D6</f>
        <v>0</v>
      </c>
      <c r="M6" s="28"/>
      <c r="N6" s="28"/>
      <c r="O6" s="22"/>
      <c r="P6" s="18">
        <f>'14β-βιβλΕσΕκτ'!H6-R6</f>
        <v>40.350299999999997</v>
      </c>
      <c r="Q6" s="17"/>
      <c r="R6" s="23">
        <f>'5-αντίγρ'!Q6</f>
        <v>0</v>
      </c>
      <c r="S6" s="24"/>
      <c r="T6" s="25"/>
      <c r="U6" s="103"/>
      <c r="V6" s="103"/>
      <c r="W6" s="97"/>
      <c r="X6" s="26"/>
      <c r="Y6" s="26"/>
      <c r="Z6" s="26"/>
      <c r="AA6" s="26"/>
      <c r="AB6" s="26"/>
      <c r="AC6" s="26"/>
    </row>
    <row r="7" spans="1:29" s="19" customFormat="1">
      <c r="A7" s="14">
        <f>'1-συμβολαια'!A7</f>
        <v>0</v>
      </c>
      <c r="B7" s="58"/>
      <c r="C7" s="96">
        <f>'1-συμβολαια'!B7</f>
        <v>0</v>
      </c>
      <c r="D7" s="20"/>
      <c r="E7" s="110" t="str">
        <f>'1-συμβολαια'!C7</f>
        <v>ΧΡΗΣΙΚΤΗΣΙΑ αγροτεμαχίου = 19?? ΑΝΑΔΑΣΜΟΣ</v>
      </c>
      <c r="F7" s="15"/>
      <c r="G7" s="16">
        <f>'4-πολλυπρ'!D7</f>
        <v>0</v>
      </c>
      <c r="H7" s="16">
        <f>'4-πολλυπρ'!I7</f>
        <v>0</v>
      </c>
      <c r="I7" s="21"/>
      <c r="J7" s="21">
        <f>'1-συμβολαια'!D7</f>
        <v>1111</v>
      </c>
      <c r="K7" s="21"/>
      <c r="L7" s="28">
        <f>'11-χαρτόσ'!D7</f>
        <v>0</v>
      </c>
      <c r="M7" s="28"/>
      <c r="N7" s="28"/>
      <c r="O7" s="22"/>
      <c r="P7" s="18">
        <f>'14β-βιβλΕσΕκτ'!H7-R7</f>
        <v>0</v>
      </c>
      <c r="Q7" s="17"/>
      <c r="R7" s="23">
        <f>'5-αντίγρ'!Q7</f>
        <v>0</v>
      </c>
      <c r="S7" s="24"/>
      <c r="T7" s="25"/>
      <c r="U7" s="103"/>
      <c r="V7" s="103"/>
      <c r="W7" s="97"/>
      <c r="X7" s="26"/>
      <c r="Y7" s="26"/>
      <c r="Z7" s="26"/>
      <c r="AA7" s="26"/>
      <c r="AB7" s="26"/>
      <c r="AC7" s="26"/>
    </row>
    <row r="8" spans="1:29" s="19" customFormat="1">
      <c r="A8" s="14">
        <f>'1-συμβολαια'!A8</f>
        <v>4603</v>
      </c>
      <c r="B8" s="58"/>
      <c r="C8" s="96">
        <f>'1-συμβολαια'!B8</f>
        <v>10</v>
      </c>
      <c r="D8" s="20"/>
      <c r="E8" s="110" t="str">
        <f>'1-συμβολαια'!C8</f>
        <v>γονικής 11.618καπολα ΔΙΟΡΘΩΣΗ</v>
      </c>
      <c r="F8" s="15"/>
      <c r="G8" s="16">
        <f>'4-πολλυπρ'!D8</f>
        <v>0</v>
      </c>
      <c r="H8" s="16">
        <f>'4-πολλυπρ'!I8</f>
        <v>0</v>
      </c>
      <c r="I8" s="21"/>
      <c r="J8" s="21">
        <f>'1-συμβολαια'!D8</f>
        <v>0</v>
      </c>
      <c r="K8" s="21"/>
      <c r="L8" s="28">
        <f>'11-χαρτόσ'!D8</f>
        <v>0</v>
      </c>
      <c r="M8" s="28"/>
      <c r="N8" s="28"/>
      <c r="O8" s="22"/>
      <c r="P8" s="18">
        <f>'14β-βιβλΕσΕκτ'!H8-R8</f>
        <v>24.179600000000001</v>
      </c>
      <c r="Q8" s="17"/>
      <c r="R8" s="23">
        <f>'5-αντίγρ'!Q8</f>
        <v>0.71060000000000012</v>
      </c>
      <c r="S8" s="24"/>
      <c r="T8" s="25"/>
      <c r="U8" s="103"/>
      <c r="V8" s="103"/>
      <c r="W8" s="97"/>
      <c r="X8" s="26"/>
      <c r="Y8" s="26"/>
      <c r="Z8" s="26"/>
      <c r="AA8" s="26"/>
      <c r="AB8" s="26"/>
      <c r="AC8" s="26"/>
    </row>
    <row r="9" spans="1:29" s="19" customFormat="1">
      <c r="A9" s="14">
        <f>'1-συμβολαια'!A9</f>
        <v>4604</v>
      </c>
      <c r="B9" s="58"/>
      <c r="C9" s="96">
        <f>'1-συμβολαια'!B9</f>
        <v>10</v>
      </c>
      <c r="D9" s="20"/>
      <c r="E9" s="110" t="str">
        <f>'1-συμβολαια'!C9</f>
        <v>γονικής 11.619καπολα ΔΙΟΡΘΩΣΗ</v>
      </c>
      <c r="F9" s="15"/>
      <c r="G9" s="16">
        <f>'4-πολλυπρ'!D9</f>
        <v>0</v>
      </c>
      <c r="H9" s="16">
        <f>'4-πολλυπρ'!I9</f>
        <v>0</v>
      </c>
      <c r="I9" s="21"/>
      <c r="J9" s="21">
        <f>'1-συμβολαια'!D9</f>
        <v>0</v>
      </c>
      <c r="K9" s="21"/>
      <c r="L9" s="28">
        <f>'11-χαρτόσ'!D9</f>
        <v>0</v>
      </c>
      <c r="M9" s="28"/>
      <c r="N9" s="28"/>
      <c r="O9" s="22"/>
      <c r="P9" s="18">
        <f>'14β-βιβλΕσΕκτ'!H9-R9</f>
        <v>34.280200000000001</v>
      </c>
      <c r="Q9" s="17"/>
      <c r="R9" s="23">
        <f>'5-αντίγρ'!Q9</f>
        <v>0</v>
      </c>
      <c r="S9" s="24"/>
      <c r="T9" s="25"/>
      <c r="U9" s="103"/>
      <c r="V9" s="103"/>
      <c r="W9" s="97"/>
      <c r="X9" s="26"/>
      <c r="Y9" s="26"/>
      <c r="Z9" s="26"/>
      <c r="AA9" s="26"/>
      <c r="AB9" s="26"/>
      <c r="AC9" s="26"/>
    </row>
    <row r="10" spans="1:29" s="19" customFormat="1">
      <c r="A10" s="14">
        <f>'1-συμβολαια'!A10</f>
        <v>4605</v>
      </c>
      <c r="B10" s="58"/>
      <c r="C10" s="96">
        <f>'1-συμβολαια'!B10</f>
        <v>10</v>
      </c>
      <c r="D10" s="20"/>
      <c r="E10" s="110" t="str">
        <f>'1-συμβολαια'!C10</f>
        <v>* γονικής 11.618καπολα επικαρπίας ΕΝΣΩΜΑΤΩΣΗ {= παραίτηση αδερφής δικαιώματος οίκησης</v>
      </c>
      <c r="F10" s="15"/>
      <c r="G10" s="16">
        <f>'4-πολλυπρ'!D10</f>
        <v>0</v>
      </c>
      <c r="H10" s="16">
        <f>'4-πολλυπρ'!I10</f>
        <v>0</v>
      </c>
      <c r="I10" s="21"/>
      <c r="J10" s="21">
        <f>'1-συμβολαια'!D10</f>
        <v>2222</v>
      </c>
      <c r="K10" s="21"/>
      <c r="L10" s="28">
        <f>'11-χαρτόσ'!D10</f>
        <v>0</v>
      </c>
      <c r="M10" s="28"/>
      <c r="N10" s="28"/>
      <c r="O10" s="22"/>
      <c r="P10" s="18">
        <f>'14β-βιβλΕσΕκτ'!H10-R10</f>
        <v>29.113288000000004</v>
      </c>
      <c r="Q10" s="17"/>
      <c r="R10" s="23">
        <f>'5-αντίγρ'!Q10</f>
        <v>0</v>
      </c>
      <c r="S10" s="24"/>
      <c r="T10" s="25"/>
      <c r="U10" s="103"/>
      <c r="V10" s="103"/>
      <c r="W10" s="97"/>
      <c r="X10" s="26"/>
      <c r="Y10" s="26"/>
      <c r="Z10" s="26"/>
      <c r="AA10" s="26"/>
      <c r="AB10" s="26"/>
      <c r="AC10" s="26"/>
    </row>
    <row r="11" spans="1:29" s="19" customFormat="1">
      <c r="A11" s="14">
        <f>'1-συμβολαια'!A11</f>
        <v>4606</v>
      </c>
      <c r="B11" s="58"/>
      <c r="C11" s="96">
        <f>'1-συμβολαια'!B11</f>
        <v>40</v>
      </c>
      <c r="D11" s="20"/>
      <c r="E11" s="110" t="str">
        <f>'1-συμβολαια'!C11</f>
        <v>πληρεξούσιο</v>
      </c>
      <c r="F11" s="15"/>
      <c r="G11" s="16">
        <f>'4-πολλυπρ'!D11</f>
        <v>0</v>
      </c>
      <c r="H11" s="16">
        <f>'4-πολλυπρ'!I11</f>
        <v>0</v>
      </c>
      <c r="I11" s="21"/>
      <c r="J11" s="21">
        <f>'1-συμβολαια'!D11</f>
        <v>0</v>
      </c>
      <c r="K11" s="21"/>
      <c r="L11" s="28">
        <f>'11-χαρτόσ'!D11</f>
        <v>0</v>
      </c>
      <c r="M11" s="28"/>
      <c r="N11" s="28"/>
      <c r="O11" s="22"/>
      <c r="P11" s="18">
        <f>'14β-βιβλΕσΕκτ'!H11-R11</f>
        <v>22.376100000000001</v>
      </c>
      <c r="Q11" s="17"/>
      <c r="R11" s="23">
        <f>'5-αντίγρ'!Q11</f>
        <v>0</v>
      </c>
      <c r="S11" s="24"/>
      <c r="T11" s="25"/>
      <c r="U11" s="103"/>
      <c r="V11" s="103"/>
      <c r="W11" s="97"/>
      <c r="X11" s="26"/>
      <c r="Y11" s="26"/>
      <c r="Z11" s="26"/>
      <c r="AA11" s="26"/>
      <c r="AB11" s="26"/>
      <c r="AC11" s="26"/>
    </row>
    <row r="12" spans="1:29" s="19" customFormat="1">
      <c r="A12" s="14">
        <f>'1-συμβολαια'!A12</f>
        <v>4607</v>
      </c>
      <c r="B12" s="58"/>
      <c r="C12" s="96">
        <f>'1-συμβολαια'!B12</f>
        <v>11</v>
      </c>
      <c r="D12" s="20"/>
      <c r="E12" s="110" t="str">
        <f>'1-συμβολαια'!C12</f>
        <v>αγοραπωλησίας 3.919 ΔΙΟΡΘΩΣΗ</v>
      </c>
      <c r="F12" s="15"/>
      <c r="G12" s="16">
        <f>'4-πολλυπρ'!D12</f>
        <v>0</v>
      </c>
      <c r="H12" s="16">
        <f>'4-πολλυπρ'!I12</f>
        <v>0</v>
      </c>
      <c r="I12" s="21"/>
      <c r="J12" s="21">
        <f>'1-συμβολαια'!D12</f>
        <v>0</v>
      </c>
      <c r="K12" s="21"/>
      <c r="L12" s="28">
        <f>'11-χαρτόσ'!D12</f>
        <v>0</v>
      </c>
      <c r="M12" s="28"/>
      <c r="N12" s="28"/>
      <c r="O12" s="22"/>
      <c r="P12" s="18">
        <f>'14β-βιβλΕσΕκτ'!H12-R12</f>
        <v>43.670200000000001</v>
      </c>
      <c r="Q12" s="17"/>
      <c r="R12" s="23">
        <f>'5-αντίγρ'!Q12</f>
        <v>0</v>
      </c>
      <c r="S12" s="24"/>
      <c r="T12" s="25"/>
      <c r="U12" s="103"/>
      <c r="V12" s="103"/>
      <c r="W12" s="97"/>
      <c r="X12" s="26"/>
      <c r="Y12" s="26"/>
      <c r="Z12" s="26"/>
      <c r="AA12" s="26"/>
      <c r="AB12" s="26"/>
      <c r="AC12" s="26"/>
    </row>
    <row r="13" spans="1:29" s="19" customFormat="1">
      <c r="A13" s="14">
        <f>'1-συμβολαια'!A13</f>
        <v>4608</v>
      </c>
      <c r="B13" s="58"/>
      <c r="C13" s="96">
        <f>'1-συμβολαια'!B13</f>
        <v>14</v>
      </c>
      <c r="D13" s="20"/>
      <c r="E13" s="110" t="str">
        <f>'1-συμβολαια'!C13</f>
        <v>αγοραπωλησία τίμημα = Δ.Ο.Υ. =</v>
      </c>
      <c r="F13" s="15"/>
      <c r="G13" s="16">
        <f>'4-πολλυπρ'!D13</f>
        <v>0</v>
      </c>
      <c r="H13" s="16">
        <f>'4-πολλυπρ'!I13</f>
        <v>0</v>
      </c>
      <c r="I13" s="21"/>
      <c r="J13" s="21">
        <f>'1-συμβολαια'!D13</f>
        <v>1572.77</v>
      </c>
      <c r="K13" s="21"/>
      <c r="L13" s="28">
        <f>'11-χαρτόσ'!D13</f>
        <v>0</v>
      </c>
      <c r="M13" s="28"/>
      <c r="N13" s="28"/>
      <c r="O13" s="22"/>
      <c r="P13" s="18">
        <f>'14β-βιβλΕσΕκτ'!H13-R13</f>
        <v>63.450702000000007</v>
      </c>
      <c r="Q13" s="17"/>
      <c r="R13" s="23">
        <f>'5-αντίγρ'!Q13</f>
        <v>0</v>
      </c>
      <c r="S13" s="24"/>
      <c r="T13" s="25"/>
      <c r="U13" s="103"/>
      <c r="V13" s="103"/>
      <c r="W13" s="97"/>
      <c r="X13" s="26"/>
      <c r="Y13" s="26"/>
      <c r="Z13" s="26"/>
      <c r="AA13" s="26"/>
      <c r="AB13" s="26"/>
      <c r="AC13" s="26"/>
    </row>
    <row r="14" spans="1:29" s="19" customFormat="1">
      <c r="A14" s="14">
        <f>'1-συμβολαια'!A14</f>
        <v>4609</v>
      </c>
      <c r="B14" s="58"/>
      <c r="C14" s="96">
        <f>'1-συμβολαια'!B14</f>
        <v>14</v>
      </c>
      <c r="D14" s="20"/>
      <c r="E14" s="110" t="str">
        <f>'1-συμβολαια'!C14</f>
        <v>αγοραπωλησία τίμημα = 6.057,27 Δ.Ο.Υ. =</v>
      </c>
      <c r="F14" s="15"/>
      <c r="G14" s="16">
        <f>'4-πολλυπρ'!D14</f>
        <v>0</v>
      </c>
      <c r="H14" s="16">
        <f>'4-πολλυπρ'!I14</f>
        <v>0</v>
      </c>
      <c r="I14" s="21"/>
      <c r="J14" s="21">
        <f>'1-συμβολαια'!D14</f>
        <v>18257.27</v>
      </c>
      <c r="K14" s="21"/>
      <c r="L14" s="28">
        <f>'11-χαρτόσ'!D14</f>
        <v>0</v>
      </c>
      <c r="M14" s="28"/>
      <c r="N14" s="28"/>
      <c r="O14" s="22"/>
      <c r="P14" s="18">
        <f>'14β-βιβλΕσΕκτ'!H14-R14</f>
        <v>253.008602</v>
      </c>
      <c r="Q14" s="17"/>
      <c r="R14" s="23">
        <f>'5-αντίγρ'!Q14</f>
        <v>0</v>
      </c>
      <c r="S14" s="24"/>
      <c r="T14" s="25"/>
      <c r="U14" s="103"/>
      <c r="V14" s="103"/>
      <c r="W14" s="97"/>
      <c r="X14" s="26"/>
      <c r="Y14" s="26"/>
      <c r="Z14" s="26"/>
      <c r="AA14" s="26"/>
      <c r="AB14" s="26"/>
      <c r="AC14" s="26"/>
    </row>
    <row r="15" spans="1:29" s="19" customFormat="1">
      <c r="A15" s="14">
        <f>'1-συμβολαια'!A15</f>
        <v>4610</v>
      </c>
      <c r="B15" s="58"/>
      <c r="C15" s="96">
        <f>'1-συμβολαια'!B15</f>
        <v>14</v>
      </c>
      <c r="D15" s="20"/>
      <c r="E15" s="110" t="str">
        <f>'1-συμβολαια'!C15</f>
        <v>πληρεξούσιο</v>
      </c>
      <c r="F15" s="15"/>
      <c r="G15" s="16">
        <f>'4-πολλυπρ'!D15</f>
        <v>0</v>
      </c>
      <c r="H15" s="16">
        <f>'4-πολλυπρ'!I15</f>
        <v>0</v>
      </c>
      <c r="I15" s="21"/>
      <c r="J15" s="21">
        <f>'1-συμβολαια'!D15</f>
        <v>0</v>
      </c>
      <c r="K15" s="21"/>
      <c r="L15" s="28">
        <f>'11-χαρτόσ'!D15</f>
        <v>0</v>
      </c>
      <c r="M15" s="28"/>
      <c r="N15" s="28"/>
      <c r="O15" s="22"/>
      <c r="P15" s="18">
        <f>'14β-βιβλΕσΕκτ'!H15-R15</f>
        <v>25.6114</v>
      </c>
      <c r="Q15" s="17"/>
      <c r="R15" s="23">
        <f>'5-αντίγρ'!Q15</f>
        <v>0</v>
      </c>
      <c r="S15" s="24"/>
      <c r="T15" s="25"/>
      <c r="U15" s="103"/>
      <c r="V15" s="103"/>
      <c r="W15" s="97"/>
      <c r="X15" s="26"/>
      <c r="Y15" s="26"/>
      <c r="Z15" s="26"/>
      <c r="AA15" s="26"/>
      <c r="AB15" s="26"/>
      <c r="AC15" s="26"/>
    </row>
    <row r="16" spans="1:29" s="19" customFormat="1">
      <c r="A16" s="14">
        <f>'1-συμβολαια'!A16</f>
        <v>4611</v>
      </c>
      <c r="B16" s="58"/>
      <c r="C16" s="96">
        <f>'1-συμβολαια'!B16</f>
        <v>15</v>
      </c>
      <c r="D16" s="20"/>
      <c r="E16" s="110" t="str">
        <f>'1-συμβολαια'!C16</f>
        <v>γονική</v>
      </c>
      <c r="F16" s="15"/>
      <c r="G16" s="16">
        <f>'4-πολλυπρ'!D16</f>
        <v>0</v>
      </c>
      <c r="H16" s="16">
        <f>'4-πολλυπρ'!I16</f>
        <v>0</v>
      </c>
      <c r="I16" s="21"/>
      <c r="J16" s="21">
        <f>'1-συμβολαια'!D16</f>
        <v>33521.660000000003</v>
      </c>
      <c r="K16" s="21"/>
      <c r="L16" s="28">
        <f>'11-χαρτόσ'!D16</f>
        <v>0</v>
      </c>
      <c r="M16" s="28"/>
      <c r="N16" s="28"/>
      <c r="O16" s="22"/>
      <c r="P16" s="18">
        <f>'14β-βιβλΕσΕκτ'!H16-R16</f>
        <v>409.91150000000005</v>
      </c>
      <c r="Q16" s="17"/>
      <c r="R16" s="23">
        <f>'5-αντίγρ'!Q16</f>
        <v>0</v>
      </c>
      <c r="S16" s="24"/>
      <c r="T16" s="25"/>
      <c r="U16" s="103"/>
      <c r="V16" s="103"/>
      <c r="W16" s="97"/>
      <c r="X16" s="26"/>
      <c r="Y16" s="26"/>
      <c r="Z16" s="26"/>
      <c r="AA16" s="26"/>
      <c r="AB16" s="26"/>
      <c r="AC16" s="26"/>
    </row>
    <row r="17" spans="1:29" s="19" customFormat="1">
      <c r="A17" s="14">
        <f>'1-συμβολαια'!A17</f>
        <v>0</v>
      </c>
      <c r="B17" s="58"/>
      <c r="C17" s="96">
        <f>'1-συμβολαια'!B17</f>
        <v>0</v>
      </c>
      <c r="D17" s="20"/>
      <c r="E17" s="110" t="str">
        <f>'1-συμβολαια'!C17</f>
        <v>ΧΡΗΣΙΚΤΗΣΙΑ οικοπέδου = 1973 κυπαρισσίουΠαναγιώτη ΑΓΟΡΑΠΩΛΗΣΙΑ άτυπη</v>
      </c>
      <c r="F17" s="15"/>
      <c r="G17" s="16">
        <f>'4-πολλυπρ'!D17</f>
        <v>0</v>
      </c>
      <c r="H17" s="16">
        <f>'4-πολλυπρ'!I17</f>
        <v>0</v>
      </c>
      <c r="I17" s="21"/>
      <c r="J17" s="21">
        <f>'1-συμβολαια'!D17</f>
        <v>2222</v>
      </c>
      <c r="K17" s="21"/>
      <c r="L17" s="28">
        <f>'11-χαρτόσ'!D17</f>
        <v>0</v>
      </c>
      <c r="M17" s="28"/>
      <c r="N17" s="28"/>
      <c r="O17" s="22"/>
      <c r="P17" s="18">
        <f>'14β-βιβλΕσΕκτ'!H17-R17</f>
        <v>0</v>
      </c>
      <c r="Q17" s="17"/>
      <c r="R17" s="23">
        <f>'5-αντίγρ'!Q17</f>
        <v>0</v>
      </c>
      <c r="S17" s="24"/>
      <c r="T17" s="25"/>
      <c r="U17" s="103"/>
      <c r="V17" s="103"/>
      <c r="W17" s="97"/>
      <c r="X17" s="26"/>
      <c r="Y17" s="26"/>
      <c r="Z17" s="26"/>
      <c r="AA17" s="26"/>
      <c r="AB17" s="26"/>
      <c r="AC17" s="26"/>
    </row>
    <row r="18" spans="1:29" s="19" customFormat="1">
      <c r="A18" s="14">
        <f>'1-συμβολαια'!A18</f>
        <v>0</v>
      </c>
      <c r="B18" s="58"/>
      <c r="C18" s="96">
        <f>'1-συμβολαια'!B18</f>
        <v>0</v>
      </c>
      <c r="D18" s="20"/>
      <c r="E18" s="110" t="str">
        <f>'1-συμβολαια'!C18</f>
        <v>οριζόντιος ΣΥΣΤΑΣΗ</v>
      </c>
      <c r="F18" s="15"/>
      <c r="G18" s="16">
        <f>'4-πολλυπρ'!D18</f>
        <v>0</v>
      </c>
      <c r="H18" s="16">
        <f>'4-πολλυπρ'!I18</f>
        <v>0</v>
      </c>
      <c r="I18" s="21"/>
      <c r="J18" s="21">
        <f>'1-συμβολαια'!D18</f>
        <v>0</v>
      </c>
      <c r="K18" s="21"/>
      <c r="L18" s="28">
        <f>'11-χαρτόσ'!D18</f>
        <v>0</v>
      </c>
      <c r="M18" s="28"/>
      <c r="N18" s="28"/>
      <c r="O18" s="22"/>
      <c r="P18" s="18">
        <f>'14β-βιβλΕσΕκτ'!H18-R18</f>
        <v>0</v>
      </c>
      <c r="Q18" s="17"/>
      <c r="R18" s="23">
        <f>'5-αντίγρ'!Q18</f>
        <v>0</v>
      </c>
      <c r="S18" s="24"/>
      <c r="T18" s="25"/>
      <c r="U18" s="103"/>
      <c r="V18" s="103"/>
      <c r="W18" s="97"/>
      <c r="X18" s="26"/>
      <c r="Y18" s="26"/>
      <c r="Z18" s="26"/>
      <c r="AA18" s="26"/>
      <c r="AB18" s="26"/>
      <c r="AC18" s="26"/>
    </row>
    <row r="19" spans="1:29" s="19" customFormat="1">
      <c r="A19" s="14">
        <f>'1-συμβολαια'!A19</f>
        <v>4612</v>
      </c>
      <c r="B19" s="58"/>
      <c r="C19" s="96">
        <f>'1-συμβολαια'!B19</f>
        <v>15</v>
      </c>
      <c r="D19" s="20"/>
      <c r="E19" s="110" t="str">
        <f>'1-συμβολαια'!C19</f>
        <v>κληρονομιάς ΑΠΟΔΟΧΗ</v>
      </c>
      <c r="F19" s="15"/>
      <c r="G19" s="16">
        <f>'4-πολλυπρ'!D19</f>
        <v>0</v>
      </c>
      <c r="H19" s="16">
        <f>'4-πολλυπρ'!I19</f>
        <v>0</v>
      </c>
      <c r="I19" s="21"/>
      <c r="J19" s="21">
        <f>'1-συμβολαια'!D19</f>
        <v>0</v>
      </c>
      <c r="K19" s="21"/>
      <c r="L19" s="28">
        <f>'11-χαρτόσ'!D19</f>
        <v>0</v>
      </c>
      <c r="M19" s="28"/>
      <c r="N19" s="28"/>
      <c r="O19" s="22"/>
      <c r="P19" s="18">
        <f>'14β-βιβλΕσΕκτ'!H19-R19</f>
        <v>67.643799999999999</v>
      </c>
      <c r="Q19" s="17"/>
      <c r="R19" s="23">
        <f>'5-αντίγρ'!Q19</f>
        <v>0</v>
      </c>
      <c r="S19" s="24"/>
      <c r="T19" s="25"/>
      <c r="U19" s="103"/>
      <c r="V19" s="103"/>
      <c r="W19" s="97"/>
      <c r="X19" s="26"/>
      <c r="Y19" s="26"/>
      <c r="Z19" s="26"/>
      <c r="AA19" s="26"/>
      <c r="AB19" s="26"/>
      <c r="AC19" s="26"/>
    </row>
    <row r="20" spans="1:29" s="19" customFormat="1">
      <c r="A20" s="14">
        <f>'1-συμβολαια'!A20</f>
        <v>4613</v>
      </c>
      <c r="B20" s="58"/>
      <c r="C20" s="96">
        <f>'1-συμβολαια'!B20</f>
        <v>15</v>
      </c>
      <c r="D20" s="20"/>
      <c r="E20" s="110" t="str">
        <f>'1-συμβολαια'!C20</f>
        <v>γονική</v>
      </c>
      <c r="F20" s="15"/>
      <c r="G20" s="16">
        <f>'4-πολλυπρ'!D20</f>
        <v>0</v>
      </c>
      <c r="H20" s="16">
        <f>'4-πολλυπρ'!I20</f>
        <v>0</v>
      </c>
      <c r="I20" s="21"/>
      <c r="J20" s="21">
        <f>'1-συμβολαια'!D20</f>
        <v>6213.36</v>
      </c>
      <c r="K20" s="21"/>
      <c r="L20" s="28">
        <f>'11-χαρτόσ'!D20</f>
        <v>0</v>
      </c>
      <c r="M20" s="28"/>
      <c r="N20" s="28"/>
      <c r="O20" s="22"/>
      <c r="P20" s="18">
        <f>'14β-βιβλΕσΕκτ'!H20-R20</f>
        <v>122.68704000000002</v>
      </c>
      <c r="Q20" s="17"/>
      <c r="R20" s="23">
        <f>'5-αντίγρ'!Q20</f>
        <v>0</v>
      </c>
      <c r="S20" s="24"/>
      <c r="T20" s="25"/>
      <c r="U20" s="103"/>
      <c r="V20" s="103"/>
      <c r="W20" s="97"/>
      <c r="X20" s="26"/>
      <c r="Y20" s="26"/>
      <c r="Z20" s="26"/>
      <c r="AA20" s="26"/>
      <c r="AB20" s="26"/>
      <c r="AC20" s="26"/>
    </row>
    <row r="21" spans="1:29" s="19" customFormat="1">
      <c r="A21" s="14">
        <f>'1-συμβολαια'!A21</f>
        <v>4614</v>
      </c>
      <c r="B21" s="58"/>
      <c r="C21" s="96">
        <f>'1-συμβολαια'!B21</f>
        <v>15</v>
      </c>
      <c r="D21" s="20"/>
      <c r="E21" s="110" t="str">
        <f>'1-συμβολαια'!C21</f>
        <v>διαθήκη</v>
      </c>
      <c r="F21" s="15"/>
      <c r="G21" s="16">
        <f>'4-πολλυπρ'!D21</f>
        <v>0</v>
      </c>
      <c r="H21" s="16">
        <f>'4-πολλυπρ'!I21</f>
        <v>0</v>
      </c>
      <c r="I21" s="21"/>
      <c r="J21" s="21">
        <f>'1-συμβολαια'!D21</f>
        <v>0</v>
      </c>
      <c r="K21" s="21"/>
      <c r="L21" s="28">
        <f>'11-χαρτόσ'!D21</f>
        <v>0</v>
      </c>
      <c r="M21" s="28"/>
      <c r="N21" s="28"/>
      <c r="O21" s="22"/>
      <c r="P21" s="18">
        <f>'14β-βιβλΕσΕκτ'!H21-R21</f>
        <v>65.853099999999998</v>
      </c>
      <c r="Q21" s="17"/>
      <c r="R21" s="23">
        <f>'5-αντίγρ'!Q21</f>
        <v>0</v>
      </c>
      <c r="S21" s="24"/>
      <c r="T21" s="25"/>
      <c r="U21" s="103"/>
      <c r="V21" s="103"/>
      <c r="W21" s="97"/>
      <c r="X21" s="26"/>
      <c r="Y21" s="26"/>
      <c r="Z21" s="26"/>
      <c r="AA21" s="26"/>
      <c r="AB21" s="26"/>
      <c r="AC21" s="26"/>
    </row>
    <row r="22" spans="1:29" s="19" customFormat="1">
      <c r="A22" s="14">
        <f>'1-συμβολαια'!A22</f>
        <v>4615</v>
      </c>
      <c r="B22" s="58"/>
      <c r="C22" s="96">
        <f>'1-συμβολαια'!B22</f>
        <v>15</v>
      </c>
      <c r="D22" s="20"/>
      <c r="E22" s="110" t="str">
        <f>'1-συμβολαια'!C22</f>
        <v>δωρεά</v>
      </c>
      <c r="F22" s="15"/>
      <c r="G22" s="16">
        <f>'4-πολλυπρ'!D22</f>
        <v>0</v>
      </c>
      <c r="H22" s="16">
        <f>'4-πολλυπρ'!I22</f>
        <v>0</v>
      </c>
      <c r="I22" s="21"/>
      <c r="J22" s="21">
        <f>'1-συμβολαια'!D22</f>
        <v>16035.1</v>
      </c>
      <c r="K22" s="21"/>
      <c r="L22" s="28">
        <f>'11-χαρτόσ'!D22</f>
        <v>0</v>
      </c>
      <c r="M22" s="28"/>
      <c r="N22" s="28"/>
      <c r="O22" s="22"/>
      <c r="P22" s="18">
        <f>'14β-βιβλΕσΕκτ'!H22-R22</f>
        <v>243.65610799999999</v>
      </c>
      <c r="Q22" s="17"/>
      <c r="R22" s="23">
        <f>'5-αντίγρ'!Q22</f>
        <v>0</v>
      </c>
      <c r="S22" s="24"/>
      <c r="T22" s="25"/>
      <c r="U22" s="103"/>
      <c r="V22" s="103"/>
      <c r="W22" s="97"/>
      <c r="X22" s="26"/>
      <c r="Y22" s="26"/>
      <c r="Z22" s="26"/>
      <c r="AA22" s="26"/>
      <c r="AB22" s="26"/>
      <c r="AC22" s="26"/>
    </row>
    <row r="23" spans="1:29" s="19" customFormat="1">
      <c r="A23" s="14">
        <f>'1-συμβολαια'!A23</f>
        <v>0</v>
      </c>
      <c r="B23" s="58"/>
      <c r="C23" s="96">
        <f>'1-συμβολαια'!B23</f>
        <v>0</v>
      </c>
      <c r="D23" s="20"/>
      <c r="E23" s="110" t="str">
        <f>'1-συμβολαια'!C23</f>
        <v>ΧΡΗΣΙΚΤΗΣΙΑ οικοπέδου &amp; οικίας = 1935 πατρός ΔΩΡΕΑ άτυπη</v>
      </c>
      <c r="F23" s="15"/>
      <c r="G23" s="16">
        <f>'4-πολλυπρ'!D23</f>
        <v>0</v>
      </c>
      <c r="H23" s="16">
        <f>'4-πολλυπρ'!I23</f>
        <v>0</v>
      </c>
      <c r="I23" s="21"/>
      <c r="J23" s="21">
        <f>'1-συμβολαια'!D23</f>
        <v>6666</v>
      </c>
      <c r="K23" s="21"/>
      <c r="L23" s="28">
        <f>'11-χαρτόσ'!D23</f>
        <v>0</v>
      </c>
      <c r="M23" s="28"/>
      <c r="N23" s="28"/>
      <c r="O23" s="22"/>
      <c r="P23" s="18">
        <f>'14β-βιβλΕσΕκτ'!H23-R23</f>
        <v>0</v>
      </c>
      <c r="Q23" s="17"/>
      <c r="R23" s="23">
        <f>'5-αντίγρ'!Q23</f>
        <v>0</v>
      </c>
      <c r="S23" s="24"/>
      <c r="T23" s="25"/>
      <c r="U23" s="103"/>
      <c r="V23" s="103"/>
      <c r="W23" s="97"/>
      <c r="X23" s="26"/>
      <c r="Y23" s="26"/>
      <c r="Z23" s="26"/>
      <c r="AA23" s="26"/>
      <c r="AB23" s="26"/>
      <c r="AC23" s="26"/>
    </row>
    <row r="24" spans="1:29" s="19" customFormat="1">
      <c r="A24" s="14">
        <f>'1-συμβολαια'!A24</f>
        <v>4616</v>
      </c>
      <c r="B24" s="58"/>
      <c r="C24" s="96">
        <f>'1-συμβολαια'!B24</f>
        <v>17</v>
      </c>
      <c r="D24" s="20"/>
      <c r="E24" s="110" t="str">
        <f>'1-συμβολαια'!C24</f>
        <v>δωρεά</v>
      </c>
      <c r="F24" s="15"/>
      <c r="G24" s="16">
        <f>'4-πολλυπρ'!D24</f>
        <v>0</v>
      </c>
      <c r="H24" s="16">
        <f>'4-πολλυπρ'!I24</f>
        <v>0</v>
      </c>
      <c r="I24" s="21"/>
      <c r="J24" s="21">
        <f>'1-συμβολαια'!D24</f>
        <v>9933.0499999999993</v>
      </c>
      <c r="K24" s="21"/>
      <c r="L24" s="28">
        <f>'11-χαρτόσ'!D24</f>
        <v>0</v>
      </c>
      <c r="M24" s="28"/>
      <c r="N24" s="28"/>
      <c r="O24" s="22"/>
      <c r="P24" s="18">
        <f>'14β-βιβλΕσΕκτ'!H24-R24</f>
        <v>160.631598</v>
      </c>
      <c r="Q24" s="17"/>
      <c r="R24" s="23">
        <f>'5-αντίγρ'!Q24</f>
        <v>0</v>
      </c>
      <c r="S24" s="24"/>
      <c r="T24" s="25"/>
      <c r="U24" s="103"/>
      <c r="V24" s="103"/>
      <c r="W24" s="97"/>
      <c r="X24" s="26"/>
      <c r="Y24" s="26"/>
      <c r="Z24" s="26"/>
      <c r="AA24" s="26"/>
      <c r="AB24" s="26"/>
      <c r="AC24" s="26"/>
    </row>
    <row r="25" spans="1:29" s="19" customFormat="1">
      <c r="A25" s="14">
        <f>'1-συμβολαια'!A25</f>
        <v>0</v>
      </c>
      <c r="B25" s="58"/>
      <c r="C25" s="96">
        <f>'1-συμβολαια'!B25</f>
        <v>0</v>
      </c>
      <c r="D25" s="20"/>
      <c r="E25" s="110" t="str">
        <f>'1-συμβολαια'!C25</f>
        <v>ΧΡΗΣΙΚΤΗΣΙΑ αγροτεμαχίου = 1925 πατρός ΔΩΡΕΑ άτυπη</v>
      </c>
      <c r="F25" s="15"/>
      <c r="G25" s="16">
        <f>'4-πολλυπρ'!D25</f>
        <v>0</v>
      </c>
      <c r="H25" s="16">
        <f>'4-πολλυπρ'!I25</f>
        <v>0</v>
      </c>
      <c r="I25" s="21"/>
      <c r="J25" s="21">
        <f>'1-συμβολαια'!D25</f>
        <v>1111</v>
      </c>
      <c r="K25" s="21"/>
      <c r="L25" s="28">
        <f>'11-χαρτόσ'!D25</f>
        <v>0</v>
      </c>
      <c r="M25" s="28"/>
      <c r="N25" s="28"/>
      <c r="O25" s="22"/>
      <c r="P25" s="18">
        <f>'14β-βιβλΕσΕκτ'!H25-R25</f>
        <v>0</v>
      </c>
      <c r="Q25" s="17"/>
      <c r="R25" s="23">
        <f>'5-αντίγρ'!Q25</f>
        <v>0</v>
      </c>
      <c r="S25" s="24"/>
      <c r="T25" s="25"/>
      <c r="U25" s="103"/>
      <c r="V25" s="103"/>
      <c r="W25" s="97"/>
      <c r="X25" s="26"/>
      <c r="Y25" s="26"/>
      <c r="Z25" s="26"/>
      <c r="AA25" s="26"/>
      <c r="AB25" s="26"/>
      <c r="AC25" s="26"/>
    </row>
    <row r="26" spans="1:29" s="19" customFormat="1">
      <c r="A26" s="14">
        <f>'1-συμβολαια'!A26</f>
        <v>0</v>
      </c>
      <c r="B26" s="58"/>
      <c r="C26" s="96">
        <f>'1-συμβολαια'!B26</f>
        <v>0</v>
      </c>
      <c r="D26" s="20"/>
      <c r="E26" s="110" t="str">
        <f>'1-συμβολαια'!C26</f>
        <v>ΧΡΗΣΙΚΤΗΣΙΑ αγροτεμαχίου (νυν οικόπεδο) = 1975 ΑΝΑΔΑΣΜΟΣ</v>
      </c>
      <c r="F26" s="15"/>
      <c r="G26" s="16">
        <f>'4-πολλυπρ'!D26</f>
        <v>0</v>
      </c>
      <c r="H26" s="16">
        <f>'4-πολλυπρ'!I26</f>
        <v>0</v>
      </c>
      <c r="I26" s="21"/>
      <c r="J26" s="21">
        <f>'1-συμβολαια'!D26</f>
        <v>3333</v>
      </c>
      <c r="K26" s="21"/>
      <c r="L26" s="28">
        <f>'11-χαρτόσ'!D26</f>
        <v>0</v>
      </c>
      <c r="M26" s="28"/>
      <c r="N26" s="28"/>
      <c r="O26" s="22"/>
      <c r="P26" s="18">
        <f>'14β-βιβλΕσΕκτ'!H26-R26</f>
        <v>0</v>
      </c>
      <c r="Q26" s="17"/>
      <c r="R26" s="23">
        <f>'5-αντίγρ'!Q26</f>
        <v>0</v>
      </c>
      <c r="S26" s="24"/>
      <c r="T26" s="25"/>
      <c r="U26" s="103"/>
      <c r="V26" s="103"/>
      <c r="W26" s="97"/>
      <c r="X26" s="26"/>
      <c r="Y26" s="26"/>
      <c r="Z26" s="26"/>
      <c r="AA26" s="26"/>
      <c r="AB26" s="26"/>
      <c r="AC26" s="26"/>
    </row>
    <row r="27" spans="1:29" s="19" customFormat="1">
      <c r="A27" s="14">
        <f>'1-συμβολαια'!A27</f>
        <v>4617</v>
      </c>
      <c r="B27" s="58"/>
      <c r="C27" s="96">
        <f>'1-συμβολαια'!B27</f>
        <v>17</v>
      </c>
      <c r="D27" s="20"/>
      <c r="E27" s="110" t="str">
        <f>'1-συμβολαια'!C27</f>
        <v>προσύμφωνο μεταβιβάσεως ποσοστών οικοπέδου</v>
      </c>
      <c r="F27" s="15"/>
      <c r="G27" s="16">
        <f>'4-πολλυπρ'!D27</f>
        <v>0</v>
      </c>
      <c r="H27" s="16">
        <f>'4-πολλυπρ'!I27</f>
        <v>0</v>
      </c>
      <c r="I27" s="21"/>
      <c r="J27" s="21">
        <f>'1-συμβολαια'!D27</f>
        <v>0</v>
      </c>
      <c r="K27" s="21"/>
      <c r="L27" s="28">
        <f>'11-χαρτόσ'!D27</f>
        <v>0</v>
      </c>
      <c r="M27" s="28"/>
      <c r="N27" s="28"/>
      <c r="O27" s="22"/>
      <c r="P27" s="18">
        <f>'14β-βιβλΕσΕκτ'!H27-R27</f>
        <v>-15.18</v>
      </c>
      <c r="Q27" s="17"/>
      <c r="R27" s="23">
        <f>'5-αντίγρ'!Q27</f>
        <v>7.1059999999999999</v>
      </c>
      <c r="S27" s="24"/>
      <c r="T27" s="25"/>
      <c r="U27" s="103"/>
      <c r="V27" s="103"/>
      <c r="W27" s="97"/>
      <c r="X27" s="26"/>
      <c r="Y27" s="26"/>
      <c r="Z27" s="26"/>
      <c r="AA27" s="26"/>
      <c r="AB27" s="26"/>
      <c r="AC27" s="26"/>
    </row>
    <row r="28" spans="1:29" s="19" customFormat="1">
      <c r="A28" s="14">
        <f>'1-συμβολαια'!A28</f>
        <v>0</v>
      </c>
      <c r="B28" s="58"/>
      <c r="C28" s="96">
        <f>'1-συμβολαια'!B28</f>
        <v>0</v>
      </c>
      <c r="D28" s="20"/>
      <c r="E28" s="110" t="str">
        <f>'1-συμβολαια'!C28</f>
        <v>εργολαβικό</v>
      </c>
      <c r="F28" s="15"/>
      <c r="G28" s="16">
        <f>'4-πολλυπρ'!D28</f>
        <v>0</v>
      </c>
      <c r="H28" s="16">
        <f>'4-πολλυπρ'!I28</f>
        <v>0</v>
      </c>
      <c r="I28" s="21"/>
      <c r="J28" s="21">
        <f>'1-συμβολαια'!D28</f>
        <v>200</v>
      </c>
      <c r="K28" s="21"/>
      <c r="L28" s="28">
        <f>'11-χαρτόσ'!D28</f>
        <v>0</v>
      </c>
      <c r="M28" s="28"/>
      <c r="N28" s="28"/>
      <c r="O28" s="22"/>
      <c r="P28" s="18">
        <f>'14β-βιβλΕσΕκτ'!H28-R28</f>
        <v>46.894088000000004</v>
      </c>
      <c r="Q28" s="17"/>
      <c r="R28" s="23">
        <f>'5-αντίγρ'!Q28</f>
        <v>0</v>
      </c>
      <c r="S28" s="24"/>
      <c r="T28" s="25"/>
      <c r="U28" s="103"/>
      <c r="V28" s="103"/>
      <c r="W28" s="97"/>
      <c r="X28" s="26"/>
      <c r="Y28" s="26"/>
      <c r="Z28" s="26"/>
      <c r="AA28" s="26"/>
      <c r="AB28" s="26"/>
      <c r="AC28" s="26"/>
    </row>
    <row r="29" spans="1:29" s="19" customFormat="1">
      <c r="A29" s="14">
        <f>'1-συμβολαια'!A29</f>
        <v>4618</v>
      </c>
      <c r="B29" s="58"/>
      <c r="C29" s="96">
        <f>'1-συμβολαια'!B29</f>
        <v>18</v>
      </c>
      <c r="D29" s="20"/>
      <c r="E29" s="110" t="str">
        <f>'1-συμβολαια'!C29</f>
        <v>πληρεξούσιο</v>
      </c>
      <c r="F29" s="15"/>
      <c r="G29" s="16">
        <f>'4-πολλυπρ'!D29</f>
        <v>0</v>
      </c>
      <c r="H29" s="16">
        <f>'4-πολλυπρ'!I29</f>
        <v>0</v>
      </c>
      <c r="I29" s="21"/>
      <c r="J29" s="21">
        <f>'1-συμβολαια'!D29</f>
        <v>0</v>
      </c>
      <c r="K29" s="21"/>
      <c r="L29" s="28">
        <f>'11-χαρτόσ'!D29</f>
        <v>0</v>
      </c>
      <c r="M29" s="28"/>
      <c r="N29" s="28"/>
      <c r="O29" s="22"/>
      <c r="P29" s="18">
        <f>'14β-βιβλΕσΕκτ'!H29-R29</f>
        <v>19.2714</v>
      </c>
      <c r="Q29" s="17"/>
      <c r="R29" s="23">
        <f>'5-αντίγρ'!Q29</f>
        <v>0</v>
      </c>
      <c r="S29" s="24"/>
      <c r="T29" s="25"/>
      <c r="U29" s="103"/>
      <c r="V29" s="103"/>
      <c r="W29" s="97"/>
      <c r="X29" s="26"/>
      <c r="Y29" s="26"/>
      <c r="Z29" s="26"/>
      <c r="AA29" s="26"/>
      <c r="AB29" s="26"/>
      <c r="AC29" s="26"/>
    </row>
    <row r="30" spans="1:29" s="19" customFormat="1">
      <c r="A30" s="14">
        <f>'1-συμβολαια'!A30</f>
        <v>4619</v>
      </c>
      <c r="B30" s="58"/>
      <c r="C30" s="96">
        <f>'1-συμβολαια'!B30</f>
        <v>18</v>
      </c>
      <c r="D30" s="20"/>
      <c r="E30" s="110" t="str">
        <f>'1-συμβολαια'!C30</f>
        <v>αγοραπωλησίας ΠΡΟΣΥΜΦΩΝΟ τίμημα = αρραβών =</v>
      </c>
      <c r="F30" s="15"/>
      <c r="G30" s="16">
        <f>'4-πολλυπρ'!D30</f>
        <v>0</v>
      </c>
      <c r="H30" s="16">
        <f>'4-πολλυπρ'!I30</f>
        <v>0</v>
      </c>
      <c r="I30" s="21"/>
      <c r="J30" s="21">
        <f>'1-συμβολαια'!D30</f>
        <v>1800</v>
      </c>
      <c r="K30" s="21"/>
      <c r="L30" s="28">
        <f>'11-χαρτόσ'!D30</f>
        <v>0</v>
      </c>
      <c r="M30" s="28"/>
      <c r="N30" s="28"/>
      <c r="O30" s="22"/>
      <c r="P30" s="18">
        <f>'14β-βιβλΕσΕκτ'!H30-R30</f>
        <v>36.946387999999999</v>
      </c>
      <c r="Q30" s="17"/>
      <c r="R30" s="23">
        <f>'5-αντίγρ'!Q30</f>
        <v>1.0659000000000003</v>
      </c>
      <c r="S30" s="24"/>
      <c r="T30" s="25"/>
      <c r="U30" s="103"/>
      <c r="V30" s="103"/>
      <c r="W30" s="97"/>
      <c r="X30" s="26"/>
      <c r="Y30" s="26"/>
      <c r="Z30" s="26"/>
      <c r="AA30" s="26"/>
      <c r="AB30" s="26"/>
      <c r="AC30" s="26"/>
    </row>
    <row r="31" spans="1:29" s="19" customFormat="1">
      <c r="A31" s="14">
        <f>'1-συμβολαια'!A31</f>
        <v>0</v>
      </c>
      <c r="B31" s="58"/>
      <c r="C31" s="96">
        <f>'1-συμβολαια'!B31</f>
        <v>0</v>
      </c>
      <c r="D31" s="20"/>
      <c r="E31" s="110" t="str">
        <f>'1-συμβολαια'!C31</f>
        <v>ΧΡΗΣΙΚΤΗΣΙΑ αγροτεμαχίου = 1975 πατρός ΔΩΡΕΑ άτυπη</v>
      </c>
      <c r="F31" s="15"/>
      <c r="G31" s="16">
        <f>'4-πολλυπρ'!D31</f>
        <v>0</v>
      </c>
      <c r="H31" s="16">
        <f>'4-πολλυπρ'!I31</f>
        <v>0</v>
      </c>
      <c r="I31" s="21"/>
      <c r="J31" s="21">
        <f>'1-συμβολαια'!D31</f>
        <v>1111</v>
      </c>
      <c r="K31" s="21"/>
      <c r="L31" s="28">
        <f>'11-χαρτόσ'!D31</f>
        <v>0</v>
      </c>
      <c r="M31" s="28"/>
      <c r="N31" s="28"/>
      <c r="O31" s="22"/>
      <c r="P31" s="18">
        <f>'14β-βιβλΕσΕκτ'!H31-R31</f>
        <v>0</v>
      </c>
      <c r="Q31" s="17"/>
      <c r="R31" s="23">
        <f>'5-αντίγρ'!Q31</f>
        <v>0</v>
      </c>
      <c r="S31" s="24"/>
      <c r="T31" s="25"/>
      <c r="U31" s="103"/>
      <c r="V31" s="103"/>
      <c r="W31" s="97"/>
      <c r="X31" s="26"/>
      <c r="Y31" s="26"/>
      <c r="Z31" s="26"/>
      <c r="AA31" s="26"/>
      <c r="AB31" s="26"/>
      <c r="AC31" s="26"/>
    </row>
    <row r="32" spans="1:29" s="19" customFormat="1">
      <c r="A32" s="14">
        <f>'1-συμβολαια'!A32</f>
        <v>4620</v>
      </c>
      <c r="B32" s="58"/>
      <c r="C32" s="96">
        <f>'1-συμβολαια'!B32</f>
        <v>21</v>
      </c>
      <c r="D32" s="20"/>
      <c r="E32" s="110" t="str">
        <f>'1-συμβολαια'!C32</f>
        <v>γονική</v>
      </c>
      <c r="F32" s="15"/>
      <c r="G32" s="16">
        <f>'4-πολλυπρ'!D32</f>
        <v>0</v>
      </c>
      <c r="H32" s="16">
        <f>'4-πολλυπρ'!I32</f>
        <v>0</v>
      </c>
      <c r="I32" s="21"/>
      <c r="J32" s="21">
        <f>'1-συμβολαια'!D32</f>
        <v>6285.73</v>
      </c>
      <c r="K32" s="21"/>
      <c r="L32" s="28">
        <f>'11-χαρτόσ'!D32</f>
        <v>0</v>
      </c>
      <c r="M32" s="28"/>
      <c r="N32" s="28"/>
      <c r="O32" s="22"/>
      <c r="P32" s="18">
        <f>'14β-βιβλΕσΕκτ'!H32-R32</f>
        <v>172.01617400000001</v>
      </c>
      <c r="Q32" s="17"/>
      <c r="R32" s="23">
        <f>'5-αντίγρ'!Q32</f>
        <v>0</v>
      </c>
      <c r="S32" s="24"/>
      <c r="T32" s="25"/>
      <c r="U32" s="103"/>
      <c r="V32" s="103"/>
      <c r="W32" s="97"/>
      <c r="X32" s="26"/>
      <c r="Y32" s="26"/>
      <c r="Z32" s="26"/>
      <c r="AA32" s="26"/>
      <c r="AB32" s="26"/>
      <c r="AC32" s="26"/>
    </row>
    <row r="33" spans="1:29" s="19" customFormat="1">
      <c r="A33" s="14">
        <f>'1-συμβολαια'!A33</f>
        <v>0</v>
      </c>
      <c r="B33" s="58"/>
      <c r="C33" s="96">
        <f>'1-συμβολαια'!B33</f>
        <v>0</v>
      </c>
      <c r="D33" s="20"/>
      <c r="E33" s="110" t="str">
        <f>'1-συμβολαια'!C33</f>
        <v>κάθετος ΣΥΣΤΑΣΗ</v>
      </c>
      <c r="F33" s="15"/>
      <c r="G33" s="16">
        <f>'4-πολλυπρ'!D33</f>
        <v>0</v>
      </c>
      <c r="H33" s="16">
        <f>'4-πολλυπρ'!I33</f>
        <v>0</v>
      </c>
      <c r="I33" s="21"/>
      <c r="J33" s="21">
        <f>'1-συμβολαια'!D33</f>
        <v>0</v>
      </c>
      <c r="K33" s="21"/>
      <c r="L33" s="28">
        <f>'11-χαρτόσ'!D33</f>
        <v>0</v>
      </c>
      <c r="M33" s="28"/>
      <c r="N33" s="28"/>
      <c r="O33" s="22"/>
      <c r="P33" s="18">
        <f>'14β-βιβλΕσΕκτ'!H33-R33</f>
        <v>0</v>
      </c>
      <c r="Q33" s="17"/>
      <c r="R33" s="23">
        <f>'5-αντίγρ'!Q33</f>
        <v>0</v>
      </c>
      <c r="S33" s="24"/>
      <c r="T33" s="25"/>
      <c r="U33" s="103"/>
      <c r="V33" s="103"/>
      <c r="W33" s="97"/>
      <c r="X33" s="26"/>
      <c r="Y33" s="26"/>
      <c r="Z33" s="26"/>
      <c r="AA33" s="26"/>
      <c r="AB33" s="26"/>
      <c r="AC33" s="26"/>
    </row>
    <row r="34" spans="1:29" s="19" customFormat="1">
      <c r="A34" s="14">
        <f>'1-συμβολαια'!A34</f>
        <v>0</v>
      </c>
      <c r="B34" s="58"/>
      <c r="C34" s="96">
        <f>'1-συμβολαια'!B34</f>
        <v>0</v>
      </c>
      <c r="D34" s="20"/>
      <c r="E34" s="110" t="str">
        <f>'1-συμβολαια'!C34</f>
        <v>ΧΡΗΣΙΚΤΗΣΙΑ αγροτεμαχίου (νυν οικόπεδο) = 19?? ΑΝΑΔΑΣΜΟΣ</v>
      </c>
      <c r="F34" s="15"/>
      <c r="G34" s="16">
        <f>'4-πολλυπρ'!D34</f>
        <v>0</v>
      </c>
      <c r="H34" s="16">
        <f>'4-πολλυπρ'!I34</f>
        <v>0</v>
      </c>
      <c r="I34" s="21"/>
      <c r="J34" s="21">
        <f>'1-συμβολαια'!D34</f>
        <v>3333</v>
      </c>
      <c r="K34" s="21"/>
      <c r="L34" s="28">
        <f>'11-χαρτόσ'!D34</f>
        <v>0</v>
      </c>
      <c r="M34" s="28"/>
      <c r="N34" s="28"/>
      <c r="O34" s="22"/>
      <c r="P34" s="18">
        <f>'14β-βιβλΕσΕκτ'!H34-R34</f>
        <v>0</v>
      </c>
      <c r="Q34" s="17"/>
      <c r="R34" s="23">
        <f>'5-αντίγρ'!Q34</f>
        <v>0</v>
      </c>
      <c r="S34" s="24"/>
      <c r="T34" s="25"/>
      <c r="U34" s="103"/>
      <c r="V34" s="103"/>
      <c r="W34" s="97"/>
      <c r="X34" s="26"/>
      <c r="Y34" s="26"/>
      <c r="Z34" s="26"/>
      <c r="AA34" s="26"/>
      <c r="AB34" s="26"/>
      <c r="AC34" s="26"/>
    </row>
    <row r="35" spans="1:29" s="19" customFormat="1">
      <c r="A35" s="14">
        <f>'1-συμβολαια'!A35</f>
        <v>4621</v>
      </c>
      <c r="B35" s="58"/>
      <c r="C35" s="96">
        <f>'1-συμβολαια'!B35</f>
        <v>21</v>
      </c>
      <c r="D35" s="20"/>
      <c r="E35" s="110" t="str">
        <f>'1-συμβολαια'!C35</f>
        <v>γονική</v>
      </c>
      <c r="F35" s="15"/>
      <c r="G35" s="16">
        <f>'4-πολλυπρ'!D35</f>
        <v>0</v>
      </c>
      <c r="H35" s="16">
        <f>'4-πολλυπρ'!I35</f>
        <v>0</v>
      </c>
      <c r="I35" s="21"/>
      <c r="J35" s="21">
        <f>'1-συμβολαια'!D35</f>
        <v>30928.65</v>
      </c>
      <c r="K35" s="21"/>
      <c r="L35" s="28">
        <f>'11-χαρτόσ'!D35</f>
        <v>0</v>
      </c>
      <c r="M35" s="28"/>
      <c r="N35" s="28"/>
      <c r="O35" s="22"/>
      <c r="P35" s="18">
        <f>'14β-βιβλΕσΕκτ'!H35-R35</f>
        <v>464.35951799999998</v>
      </c>
      <c r="Q35" s="17"/>
      <c r="R35" s="23">
        <f>'5-αντίγρ'!Q35</f>
        <v>0</v>
      </c>
      <c r="S35" s="24"/>
      <c r="T35" s="25"/>
      <c r="U35" s="103"/>
      <c r="V35" s="103"/>
      <c r="W35" s="97"/>
      <c r="X35" s="26"/>
      <c r="Y35" s="26"/>
      <c r="Z35" s="26"/>
      <c r="AA35" s="26"/>
      <c r="AB35" s="26"/>
      <c r="AC35" s="26"/>
    </row>
    <row r="36" spans="1:29" s="19" customFormat="1">
      <c r="A36" s="14">
        <f>'1-συμβολαια'!A36</f>
        <v>0</v>
      </c>
      <c r="B36" s="58"/>
      <c r="C36" s="96">
        <f>'1-συμβολαια'!B36</f>
        <v>0</v>
      </c>
      <c r="D36" s="20"/>
      <c r="E36" s="110" t="str">
        <f>'1-συμβολαια'!C36</f>
        <v>οριζόντιος ΣΥΣΤΑΣΗ</v>
      </c>
      <c r="F36" s="15"/>
      <c r="G36" s="16">
        <f>'4-πολλυπρ'!D36</f>
        <v>0</v>
      </c>
      <c r="H36" s="16">
        <f>'4-πολλυπρ'!I36</f>
        <v>0</v>
      </c>
      <c r="I36" s="21"/>
      <c r="J36" s="21">
        <f>'1-συμβολαια'!D36</f>
        <v>0</v>
      </c>
      <c r="K36" s="21"/>
      <c r="L36" s="28">
        <f>'11-χαρτόσ'!D36</f>
        <v>0</v>
      </c>
      <c r="M36" s="28"/>
      <c r="N36" s="28"/>
      <c r="O36" s="22"/>
      <c r="P36" s="18">
        <f>'14β-βιβλΕσΕκτ'!H36-R36</f>
        <v>0</v>
      </c>
      <c r="Q36" s="17"/>
      <c r="R36" s="23">
        <f>'5-αντίγρ'!Q36</f>
        <v>0</v>
      </c>
      <c r="S36" s="24"/>
      <c r="T36" s="25"/>
      <c r="U36" s="103"/>
      <c r="V36" s="103"/>
      <c r="W36" s="97"/>
      <c r="X36" s="26"/>
      <c r="Y36" s="26"/>
      <c r="Z36" s="26"/>
      <c r="AA36" s="26"/>
      <c r="AB36" s="26"/>
      <c r="AC36" s="26"/>
    </row>
    <row r="37" spans="1:29" s="19" customFormat="1">
      <c r="A37" s="14">
        <f>'1-συμβολαια'!A37</f>
        <v>4622</v>
      </c>
      <c r="B37" s="58"/>
      <c r="C37" s="96">
        <f>'1-συμβολαια'!B37</f>
        <v>21</v>
      </c>
      <c r="D37" s="20"/>
      <c r="E37" s="110" t="str">
        <f>'1-συμβολαια'!C37</f>
        <v>πληρεξούσιο</v>
      </c>
      <c r="F37" s="15"/>
      <c r="G37" s="16">
        <f>'4-πολλυπρ'!D37</f>
        <v>0</v>
      </c>
      <c r="H37" s="16">
        <f>'4-πολλυπρ'!I37</f>
        <v>0</v>
      </c>
      <c r="I37" s="21"/>
      <c r="J37" s="21">
        <f>'1-συμβολαια'!D37</f>
        <v>0</v>
      </c>
      <c r="K37" s="21"/>
      <c r="L37" s="28">
        <f>'11-χαρτόσ'!D37</f>
        <v>0</v>
      </c>
      <c r="M37" s="28"/>
      <c r="N37" s="28"/>
      <c r="O37" s="22"/>
      <c r="P37" s="18">
        <f>'14β-βιβλΕσΕκτ'!H37-R37</f>
        <v>19.2714</v>
      </c>
      <c r="Q37" s="17"/>
      <c r="R37" s="23">
        <f>'5-αντίγρ'!Q37</f>
        <v>0</v>
      </c>
      <c r="S37" s="24"/>
      <c r="T37" s="25"/>
      <c r="U37" s="103"/>
      <c r="V37" s="103"/>
      <c r="W37" s="97"/>
      <c r="X37" s="26"/>
      <c r="Y37" s="26"/>
      <c r="Z37" s="26"/>
      <c r="AA37" s="26"/>
      <c r="AB37" s="26"/>
      <c r="AC37" s="26"/>
    </row>
    <row r="38" spans="1:29" s="19" customFormat="1">
      <c r="A38" s="14">
        <f>'1-συμβολαια'!A38</f>
        <v>4623</v>
      </c>
      <c r="B38" s="58"/>
      <c r="C38" s="96">
        <f>'1-συμβολαια'!B38</f>
        <v>21</v>
      </c>
      <c r="D38" s="20"/>
      <c r="E38" s="110" t="str">
        <f>'1-συμβολαια'!C38</f>
        <v>πληρεξούσιο</v>
      </c>
      <c r="F38" s="15"/>
      <c r="G38" s="16">
        <f>'4-πολλυπρ'!D38</f>
        <v>0</v>
      </c>
      <c r="H38" s="16">
        <f>'4-πολλυπρ'!I38</f>
        <v>0</v>
      </c>
      <c r="I38" s="21"/>
      <c r="J38" s="21">
        <f>'1-συμβολαια'!D38</f>
        <v>0</v>
      </c>
      <c r="K38" s="21"/>
      <c r="L38" s="28">
        <f>'11-χαρτόσ'!D38</f>
        <v>0</v>
      </c>
      <c r="M38" s="28"/>
      <c r="N38" s="28"/>
      <c r="O38" s="22"/>
      <c r="P38" s="18">
        <f>'14β-βιβλΕσΕκτ'!H38-R38</f>
        <v>24.7761</v>
      </c>
      <c r="Q38" s="17"/>
      <c r="R38" s="23">
        <f>'5-αντίγρ'!Q38</f>
        <v>0</v>
      </c>
      <c r="S38" s="24"/>
      <c r="T38" s="25"/>
      <c r="U38" s="103"/>
      <c r="V38" s="103"/>
      <c r="W38" s="97"/>
      <c r="X38" s="26"/>
      <c r="Y38" s="26"/>
      <c r="Z38" s="26"/>
      <c r="AA38" s="26"/>
      <c r="AB38" s="26"/>
      <c r="AC38" s="26"/>
    </row>
    <row r="39" spans="1:29" s="19" customFormat="1">
      <c r="A39" s="14">
        <f>'1-συμβολαια'!A39</f>
        <v>4624</v>
      </c>
      <c r="B39" s="58"/>
      <c r="C39" s="96">
        <f>'1-συμβολαια'!B39</f>
        <v>23</v>
      </c>
      <c r="D39" s="20"/>
      <c r="E39" s="110" t="str">
        <f>'1-συμβολαια'!C39</f>
        <v>*γονική ΨΙΛΗΣ ΚΥΡΙΟΤΗΤΑΣ</v>
      </c>
      <c r="F39" s="15"/>
      <c r="G39" s="16">
        <f>'4-πολλυπρ'!D39</f>
        <v>0</v>
      </c>
      <c r="H39" s="16">
        <f>'4-πολλυπρ'!I39</f>
        <v>0</v>
      </c>
      <c r="I39" s="21"/>
      <c r="J39" s="21">
        <f>'1-συμβολαια'!D39</f>
        <v>11558.2</v>
      </c>
      <c r="K39" s="21"/>
      <c r="L39" s="28">
        <f>'11-χαρτόσ'!D39</f>
        <v>0</v>
      </c>
      <c r="M39" s="28"/>
      <c r="N39" s="28"/>
      <c r="O39" s="22"/>
      <c r="P39" s="18">
        <f>'14β-βιβλΕσΕκτ'!H39-R39</f>
        <v>174.91692800000004</v>
      </c>
      <c r="Q39" s="17"/>
      <c r="R39" s="23">
        <f>'5-αντίγρ'!Q39</f>
        <v>-0.71059999999999945</v>
      </c>
      <c r="S39" s="24"/>
      <c r="T39" s="25"/>
      <c r="U39" s="103"/>
      <c r="V39" s="103"/>
      <c r="W39" s="97"/>
      <c r="X39" s="26"/>
      <c r="Y39" s="26"/>
      <c r="Z39" s="26"/>
      <c r="AA39" s="26"/>
      <c r="AB39" s="26"/>
      <c r="AC39" s="26"/>
    </row>
    <row r="40" spans="1:29" s="19" customFormat="1">
      <c r="A40" s="14">
        <f>'1-συμβολαια'!A40</f>
        <v>0</v>
      </c>
      <c r="B40" s="58"/>
      <c r="C40" s="96">
        <f>'1-συμβολαια'!B40</f>
        <v>0</v>
      </c>
      <c r="D40" s="20"/>
      <c r="E40" s="110" t="str">
        <f>'1-συμβολαια'!C40</f>
        <v>ΧΡΗΣΙΚΤΗΣΙΑ οικοπέδου = 1949 πατρός ΔΩΡΕΑ άτυπη</v>
      </c>
      <c r="F40" s="15"/>
      <c r="G40" s="16">
        <f>'4-πολλυπρ'!D40</f>
        <v>0</v>
      </c>
      <c r="H40" s="16">
        <f>'4-πολλυπρ'!I40</f>
        <v>0</v>
      </c>
      <c r="I40" s="21"/>
      <c r="J40" s="21">
        <f>'1-συμβολαια'!D40</f>
        <v>4444</v>
      </c>
      <c r="K40" s="21"/>
      <c r="L40" s="28">
        <f>'11-χαρτόσ'!D40</f>
        <v>0</v>
      </c>
      <c r="M40" s="28"/>
      <c r="N40" s="28"/>
      <c r="O40" s="22"/>
      <c r="P40" s="18">
        <f>'14β-βιβλΕσΕκτ'!H40-R40</f>
        <v>0</v>
      </c>
      <c r="Q40" s="17"/>
      <c r="R40" s="23">
        <f>'5-αντίγρ'!Q40</f>
        <v>0</v>
      </c>
      <c r="S40" s="24"/>
      <c r="T40" s="25"/>
      <c r="U40" s="103"/>
      <c r="V40" s="103"/>
      <c r="W40" s="97"/>
      <c r="X40" s="26"/>
      <c r="Y40" s="26"/>
      <c r="Z40" s="26"/>
      <c r="AA40" s="26"/>
      <c r="AB40" s="26"/>
      <c r="AC40" s="26"/>
    </row>
    <row r="41" spans="1:29" s="19" customFormat="1">
      <c r="A41" s="14">
        <f>'1-συμβολαια'!A41</f>
        <v>0</v>
      </c>
      <c r="B41" s="58"/>
      <c r="C41" s="96">
        <f>'1-συμβολαια'!B41</f>
        <v>0</v>
      </c>
      <c r="D41" s="20"/>
      <c r="E41" s="110" t="str">
        <f>'1-συμβολαια'!C41</f>
        <v>ΧΡΗΣΙΚΤΗΣΙΑ αγροτεμαχίων = 1963 αγοραπωλησίας ΒΑΣΕΙ προσυμφώνου ΜΗ εκτελεσθέντος</v>
      </c>
      <c r="F41" s="15"/>
      <c r="G41" s="16">
        <f>'4-πολλυπρ'!D41</f>
        <v>0</v>
      </c>
      <c r="H41" s="16">
        <f>'4-πολλυπρ'!I41</f>
        <v>0</v>
      </c>
      <c r="I41" s="21"/>
      <c r="J41" s="21">
        <f>'1-συμβολαια'!D41</f>
        <v>1111</v>
      </c>
      <c r="K41" s="21"/>
      <c r="L41" s="28">
        <f>'11-χαρτόσ'!D41</f>
        <v>0</v>
      </c>
      <c r="M41" s="28"/>
      <c r="N41" s="28"/>
      <c r="O41" s="22"/>
      <c r="P41" s="18">
        <f>'14β-βιβλΕσΕκτ'!H41-R41</f>
        <v>0</v>
      </c>
      <c r="Q41" s="17"/>
      <c r="R41" s="23">
        <f>'5-αντίγρ'!Q41</f>
        <v>0</v>
      </c>
      <c r="S41" s="24"/>
      <c r="T41" s="25"/>
      <c r="U41" s="103"/>
      <c r="V41" s="103"/>
      <c r="W41" s="97"/>
      <c r="X41" s="26"/>
      <c r="Y41" s="26"/>
      <c r="Z41" s="26"/>
      <c r="AA41" s="26"/>
      <c r="AB41" s="26"/>
      <c r="AC41" s="26"/>
    </row>
    <row r="42" spans="1:29" s="19" customFormat="1">
      <c r="A42" s="14">
        <f>'1-συμβολαια'!A42</f>
        <v>4625</v>
      </c>
      <c r="B42" s="58"/>
      <c r="C42" s="96">
        <f>'1-συμβολαια'!B42</f>
        <v>23</v>
      </c>
      <c r="D42" s="20"/>
      <c r="E42" s="110" t="str">
        <f>'1-συμβολαια'!C42</f>
        <v>*γονική ΨΙΛΗΣ ΚΥΡΙΟΤΗΤΑΣ</v>
      </c>
      <c r="F42" s="15"/>
      <c r="G42" s="16">
        <f>'4-πολλυπρ'!D42</f>
        <v>0</v>
      </c>
      <c r="H42" s="16">
        <f>'4-πολλυπρ'!I42</f>
        <v>0</v>
      </c>
      <c r="I42" s="21"/>
      <c r="J42" s="21">
        <f>'1-συμβολαια'!D42</f>
        <v>3061.77</v>
      </c>
      <c r="K42" s="21"/>
      <c r="L42" s="28">
        <f>'11-χαρτόσ'!D42</f>
        <v>0</v>
      </c>
      <c r="M42" s="28"/>
      <c r="N42" s="28"/>
      <c r="O42" s="22"/>
      <c r="P42" s="18">
        <f>'14β-βιβλΕσΕκτ'!H42-R42</f>
        <v>79.581102000000016</v>
      </c>
      <c r="Q42" s="17"/>
      <c r="R42" s="23">
        <f>'5-αντίγρ'!Q42</f>
        <v>-0.71059999999999945</v>
      </c>
      <c r="S42" s="24"/>
      <c r="T42" s="25"/>
      <c r="U42" s="103"/>
      <c r="V42" s="103"/>
      <c r="W42" s="97"/>
      <c r="X42" s="26"/>
      <c r="Y42" s="26"/>
      <c r="Z42" s="26"/>
      <c r="AA42" s="26"/>
      <c r="AB42" s="26"/>
      <c r="AC42" s="26"/>
    </row>
    <row r="43" spans="1:29" s="19" customFormat="1">
      <c r="A43" s="14">
        <f>'1-συμβολαια'!A43</f>
        <v>0</v>
      </c>
      <c r="B43" s="58"/>
      <c r="C43" s="96">
        <f>'1-συμβολαια'!B43</f>
        <v>0</v>
      </c>
      <c r="D43" s="20"/>
      <c r="E43" s="110" t="str">
        <f>'1-συμβολαια'!C43</f>
        <v>ΧΡΗΣΙΚΤΗΣΙΑ αγροτεμαχίου = 19?? πατρός ΔΩΡΕΑ άτυπη</v>
      </c>
      <c r="F43" s="15"/>
      <c r="G43" s="16">
        <f>'4-πολλυπρ'!D43</f>
        <v>0</v>
      </c>
      <c r="H43" s="16">
        <f>'4-πολλυπρ'!I43</f>
        <v>0</v>
      </c>
      <c r="I43" s="21"/>
      <c r="J43" s="21">
        <f>'1-συμβολαια'!D43</f>
        <v>1111</v>
      </c>
      <c r="K43" s="21"/>
      <c r="L43" s="28">
        <f>'11-χαρτόσ'!D43</f>
        <v>0</v>
      </c>
      <c r="M43" s="28"/>
      <c r="N43" s="28"/>
      <c r="O43" s="22"/>
      <c r="P43" s="18">
        <f>'14β-βιβλΕσΕκτ'!H43-R43</f>
        <v>0</v>
      </c>
      <c r="Q43" s="17"/>
      <c r="R43" s="23">
        <f>'5-αντίγρ'!Q43</f>
        <v>0</v>
      </c>
      <c r="S43" s="24"/>
      <c r="T43" s="25"/>
      <c r="U43" s="103"/>
      <c r="V43" s="103"/>
      <c r="W43" s="97"/>
      <c r="X43" s="26"/>
      <c r="Y43" s="26"/>
      <c r="Z43" s="26"/>
      <c r="AA43" s="26"/>
      <c r="AB43" s="26"/>
      <c r="AC43" s="26"/>
    </row>
    <row r="44" spans="1:29" s="19" customFormat="1">
      <c r="A44" s="14">
        <f>'1-συμβολαια'!A44</f>
        <v>4626</v>
      </c>
      <c r="B44" s="58"/>
      <c r="C44" s="96">
        <f>'1-συμβολαια'!B44</f>
        <v>23</v>
      </c>
      <c r="D44" s="20"/>
      <c r="E44" s="110" t="str">
        <f>'1-συμβολαια'!C44</f>
        <v>*γονική ΨΙΛΗΣ ΚΥΡΙΟΤΗΤΑΣ</v>
      </c>
      <c r="F44" s="15"/>
      <c r="G44" s="16">
        <f>'4-πολλυπρ'!D44</f>
        <v>0</v>
      </c>
      <c r="H44" s="16">
        <f>'4-πολλυπρ'!I44</f>
        <v>0</v>
      </c>
      <c r="I44" s="21"/>
      <c r="J44" s="21">
        <f>'1-συμβολαια'!D44</f>
        <v>5079.72</v>
      </c>
      <c r="K44" s="21"/>
      <c r="L44" s="28">
        <f>'11-χαρτόσ'!D44</f>
        <v>0</v>
      </c>
      <c r="M44" s="28"/>
      <c r="N44" s="28"/>
      <c r="O44" s="22"/>
      <c r="P44" s="18">
        <f>'14β-βιβλΕσΕκτ'!H44-R44</f>
        <v>108.83819199999999</v>
      </c>
      <c r="Q44" s="17"/>
      <c r="R44" s="23">
        <f>'5-αντίγρ'!Q44</f>
        <v>-0.71059999999999945</v>
      </c>
      <c r="S44" s="24"/>
      <c r="T44" s="25"/>
      <c r="U44" s="103"/>
      <c r="V44" s="103"/>
      <c r="W44" s="97"/>
      <c r="X44" s="26"/>
      <c r="Y44" s="26"/>
      <c r="Z44" s="26"/>
      <c r="AA44" s="26"/>
      <c r="AB44" s="26"/>
      <c r="AC44" s="26"/>
    </row>
    <row r="45" spans="1:29" s="19" customFormat="1">
      <c r="A45" s="14">
        <f>'1-συμβολαια'!A45</f>
        <v>0</v>
      </c>
      <c r="B45" s="58"/>
      <c r="C45" s="96">
        <f>'1-συμβολαια'!B45</f>
        <v>0</v>
      </c>
      <c r="D45" s="20"/>
      <c r="E45" s="110" t="str">
        <f>'1-συμβολαια'!C45</f>
        <v>ΧΡΗΣΙΚΤΗΣΙΑ αγροτεμαχίου = 1979 ΑΝΑΔΑΣΜΟΣ</v>
      </c>
      <c r="F45" s="15"/>
      <c r="G45" s="16">
        <f>'4-πολλυπρ'!D45</f>
        <v>0</v>
      </c>
      <c r="H45" s="16">
        <f>'4-πολλυπρ'!I45</f>
        <v>0</v>
      </c>
      <c r="I45" s="21"/>
      <c r="J45" s="21">
        <f>'1-συμβολαια'!D45</f>
        <v>1111</v>
      </c>
      <c r="K45" s="21"/>
      <c r="L45" s="28">
        <f>'11-χαρτόσ'!D45</f>
        <v>0</v>
      </c>
      <c r="M45" s="28"/>
      <c r="N45" s="28"/>
      <c r="O45" s="22"/>
      <c r="P45" s="18">
        <f>'14β-βιβλΕσΕκτ'!H45-R45</f>
        <v>0</v>
      </c>
      <c r="Q45" s="17"/>
      <c r="R45" s="23">
        <f>'5-αντίγρ'!Q45</f>
        <v>0</v>
      </c>
      <c r="S45" s="24"/>
      <c r="T45" s="25"/>
      <c r="U45" s="103"/>
      <c r="V45" s="103"/>
      <c r="W45" s="97"/>
      <c r="X45" s="26"/>
      <c r="Y45" s="26"/>
      <c r="Z45" s="26"/>
      <c r="AA45" s="26"/>
      <c r="AB45" s="26"/>
      <c r="AC45" s="26"/>
    </row>
    <row r="46" spans="1:29" s="19" customFormat="1">
      <c r="A46" s="14">
        <f>'1-συμβολαια'!A46</f>
        <v>0</v>
      </c>
      <c r="B46" s="58"/>
      <c r="C46" s="96">
        <f>'1-συμβολαια'!B46</f>
        <v>0</v>
      </c>
      <c r="D46" s="20"/>
      <c r="E46" s="110" t="str">
        <f>'1-συμβολαια'!C46</f>
        <v>ΧΡΗΣΙΚΤΗΣΙΑ αγροτεμαχίων = 1957 τακοΑναστασιο ΑΓΟΡΑΠΩΛΗΣΙΑ άτυπη</v>
      </c>
      <c r="F46" s="15"/>
      <c r="G46" s="16">
        <f>'4-πολλυπρ'!D46</f>
        <v>0</v>
      </c>
      <c r="H46" s="16">
        <f>'4-πολλυπρ'!I46</f>
        <v>0</v>
      </c>
      <c r="I46" s="21"/>
      <c r="J46" s="21">
        <f>'1-συμβολαια'!D46</f>
        <v>1111</v>
      </c>
      <c r="K46" s="21"/>
      <c r="L46" s="28">
        <f>'11-χαρτόσ'!D46</f>
        <v>0</v>
      </c>
      <c r="M46" s="28"/>
      <c r="N46" s="28"/>
      <c r="O46" s="22"/>
      <c r="P46" s="18">
        <f>'14β-βιβλΕσΕκτ'!H46-R46</f>
        <v>0</v>
      </c>
      <c r="Q46" s="17"/>
      <c r="R46" s="23">
        <f>'5-αντίγρ'!Q46</f>
        <v>0</v>
      </c>
      <c r="S46" s="24"/>
      <c r="T46" s="25"/>
      <c r="U46" s="103"/>
      <c r="V46" s="103"/>
      <c r="W46" s="97"/>
      <c r="X46" s="26"/>
      <c r="Y46" s="26"/>
      <c r="Z46" s="26"/>
      <c r="AA46" s="26"/>
      <c r="AB46" s="26"/>
      <c r="AC46" s="26"/>
    </row>
    <row r="47" spans="1:29" s="19" customFormat="1">
      <c r="A47" s="14">
        <f>'1-συμβολαια'!A47</f>
        <v>4627</v>
      </c>
      <c r="B47" s="58"/>
      <c r="C47" s="96">
        <f>'1-συμβολαια'!B47</f>
        <v>23</v>
      </c>
      <c r="D47" s="20"/>
      <c r="E47" s="110" t="str">
        <f>'1-συμβολαια'!C47</f>
        <v>*δωρεά ΑΙΤΙΑ θανάτου</v>
      </c>
      <c r="F47" s="15"/>
      <c r="G47" s="16">
        <f>'4-πολλυπρ'!D47</f>
        <v>0</v>
      </c>
      <c r="H47" s="16">
        <f>'4-πολλυπρ'!I47</f>
        <v>0</v>
      </c>
      <c r="I47" s="21"/>
      <c r="J47" s="21">
        <f>'1-συμβολαια'!D47</f>
        <v>0</v>
      </c>
      <c r="K47" s="21"/>
      <c r="L47" s="28">
        <f>'11-χαρτόσ'!D47</f>
        <v>0</v>
      </c>
      <c r="M47" s="28"/>
      <c r="N47" s="28"/>
      <c r="O47" s="22"/>
      <c r="P47" s="18">
        <f>'14β-βιβλΕσΕκτ'!H47-R47</f>
        <v>16.139600000000002</v>
      </c>
      <c r="Q47" s="17"/>
      <c r="R47" s="23">
        <f>'5-αντίγρ'!Q47</f>
        <v>1.4212</v>
      </c>
      <c r="S47" s="24"/>
      <c r="T47" s="25"/>
      <c r="U47" s="103"/>
      <c r="V47" s="103"/>
      <c r="W47" s="97"/>
      <c r="X47" s="26"/>
      <c r="Y47" s="26"/>
      <c r="Z47" s="26"/>
      <c r="AA47" s="26"/>
      <c r="AB47" s="26"/>
      <c r="AC47" s="26"/>
    </row>
    <row r="48" spans="1:29" s="19" customFormat="1">
      <c r="A48" s="14">
        <f>'1-συμβολαια'!A48</f>
        <v>0</v>
      </c>
      <c r="B48" s="58"/>
      <c r="C48" s="96">
        <f>'1-συμβολαια'!B48</f>
        <v>0</v>
      </c>
      <c r="D48" s="20"/>
      <c r="E48" s="110" t="str">
        <f>'1-συμβολαια'!C48</f>
        <v>ΧΡΗΣΙΚΤΗΣΙΑ αγροτεμαχίου [νυν οικόπεδο ΜΕ οικοδομή] ] = 1970 ΑΝΑΔΑΣΜΟΣ</v>
      </c>
      <c r="F48" s="15"/>
      <c r="G48" s="16">
        <f>'4-πολλυπρ'!D48</f>
        <v>0</v>
      </c>
      <c r="H48" s="16">
        <f>'4-πολλυπρ'!I48</f>
        <v>0</v>
      </c>
      <c r="I48" s="21"/>
      <c r="J48" s="21">
        <f>'1-συμβολαια'!D48</f>
        <v>1111</v>
      </c>
      <c r="K48" s="21"/>
      <c r="L48" s="28">
        <f>'11-χαρτόσ'!D48</f>
        <v>0</v>
      </c>
      <c r="M48" s="28"/>
      <c r="N48" s="28"/>
      <c r="O48" s="22"/>
      <c r="P48" s="18">
        <f>'14β-βιβλΕσΕκτ'!H48-R48</f>
        <v>0</v>
      </c>
      <c r="Q48" s="17"/>
      <c r="R48" s="23">
        <f>'5-αντίγρ'!Q48</f>
        <v>0</v>
      </c>
      <c r="S48" s="24"/>
      <c r="T48" s="25"/>
      <c r="U48" s="103"/>
      <c r="V48" s="103"/>
      <c r="W48" s="97"/>
      <c r="X48" s="26"/>
      <c r="Y48" s="26"/>
      <c r="Z48" s="26"/>
      <c r="AA48" s="26"/>
      <c r="AB48" s="26"/>
      <c r="AC48" s="26"/>
    </row>
    <row r="49" spans="1:35" s="19" customFormat="1">
      <c r="A49" s="14">
        <f>'1-συμβολαια'!A49</f>
        <v>0</v>
      </c>
      <c r="B49" s="58"/>
      <c r="C49" s="96">
        <f>'1-συμβολαια'!B49</f>
        <v>0</v>
      </c>
      <c r="D49" s="20"/>
      <c r="E49" s="110" t="str">
        <f>'1-συμβολαια'!C49</f>
        <v>*γονικής 1262  ΕΠΙΚΑΡΠΙΑ …  ΔΩΡΕΑ αιτία θανάτου</v>
      </c>
      <c r="F49" s="15"/>
      <c r="G49" s="16">
        <f>'4-πολλυπρ'!D49</f>
        <v>0</v>
      </c>
      <c r="H49" s="16">
        <f>'4-πολλυπρ'!I49</f>
        <v>0</v>
      </c>
      <c r="I49" s="21"/>
      <c r="J49" s="21">
        <f>'1-συμβολαια'!D49</f>
        <v>8888</v>
      </c>
      <c r="K49" s="21"/>
      <c r="L49" s="28">
        <f>'11-χαρτόσ'!D49</f>
        <v>0</v>
      </c>
      <c r="M49" s="28"/>
      <c r="N49" s="28"/>
      <c r="O49" s="22"/>
      <c r="P49" s="18">
        <f>'14β-βιβλΕσΕκτ'!H49-R49</f>
        <v>0</v>
      </c>
      <c r="Q49" s="17"/>
      <c r="R49" s="23">
        <f>'5-αντίγρ'!Q49</f>
        <v>0</v>
      </c>
      <c r="S49" s="24"/>
      <c r="T49" s="25"/>
      <c r="U49" s="103"/>
      <c r="V49" s="103"/>
      <c r="W49" s="97"/>
      <c r="X49" s="26"/>
      <c r="Y49" s="26"/>
      <c r="Z49" s="26"/>
      <c r="AA49" s="26"/>
      <c r="AB49" s="26"/>
      <c r="AC49" s="26"/>
    </row>
    <row r="50" spans="1:35" s="19" customFormat="1">
      <c r="A50" s="14">
        <f>'1-συμβολαια'!A50</f>
        <v>4628</v>
      </c>
      <c r="B50" s="58"/>
      <c r="C50" s="96">
        <f>'1-συμβολαια'!B50</f>
        <v>24</v>
      </c>
      <c r="D50" s="20"/>
      <c r="E50" s="110" t="str">
        <f>'1-συμβολαια'!C50</f>
        <v>πληρεξούσιο</v>
      </c>
      <c r="F50" s="15"/>
      <c r="G50" s="16">
        <f>'4-πολλυπρ'!D50</f>
        <v>0</v>
      </c>
      <c r="H50" s="16">
        <f>'4-πολλυπρ'!I50</f>
        <v>0</v>
      </c>
      <c r="I50" s="21"/>
      <c r="J50" s="21">
        <f>'1-συμβολαια'!D50</f>
        <v>0</v>
      </c>
      <c r="K50" s="21"/>
      <c r="L50" s="28">
        <f>'11-χαρτόσ'!D50</f>
        <v>0</v>
      </c>
      <c r="M50" s="28"/>
      <c r="N50" s="28"/>
      <c r="O50" s="22"/>
      <c r="P50" s="18">
        <f>'14β-βιβλΕσΕκτ'!H50-R50</f>
        <v>19.2714</v>
      </c>
      <c r="Q50" s="17"/>
      <c r="R50" s="23">
        <f>'5-αντίγρ'!Q50</f>
        <v>0</v>
      </c>
      <c r="S50" s="24"/>
      <c r="T50" s="25"/>
      <c r="U50" s="103"/>
      <c r="V50" s="103"/>
      <c r="W50" s="97"/>
      <c r="X50" s="26"/>
      <c r="Y50" s="26"/>
      <c r="Z50" s="26"/>
      <c r="AA50" s="26"/>
      <c r="AB50" s="26"/>
      <c r="AC50" s="26"/>
    </row>
    <row r="51" spans="1:35" s="19" customFormat="1">
      <c r="A51" s="14">
        <f>'1-συμβολαια'!A51</f>
        <v>4629</v>
      </c>
      <c r="B51" s="58"/>
      <c r="C51" s="96">
        <f>'1-συμβολαια'!B51</f>
        <v>24</v>
      </c>
      <c r="D51" s="20"/>
      <c r="E51" s="110" t="str">
        <f>'1-συμβολαια'!C51</f>
        <v>κληρονομιάς ΑΠΟΔΟΧΗ</v>
      </c>
      <c r="F51" s="15"/>
      <c r="G51" s="16">
        <f>'4-πολλυπρ'!D51</f>
        <v>0</v>
      </c>
      <c r="H51" s="16">
        <f>'4-πολλυπρ'!I51</f>
        <v>0</v>
      </c>
      <c r="I51" s="21"/>
      <c r="J51" s="21">
        <f>'1-συμβολαια'!D51</f>
        <v>0</v>
      </c>
      <c r="K51" s="21"/>
      <c r="L51" s="28">
        <f>'11-χαρτόσ'!D51</f>
        <v>0</v>
      </c>
      <c r="M51" s="28"/>
      <c r="N51" s="28"/>
      <c r="O51" s="22"/>
      <c r="P51" s="18">
        <f>'14β-βιβλΕσΕκτ'!H51-R51</f>
        <v>72.337899999999991</v>
      </c>
      <c r="Q51" s="17"/>
      <c r="R51" s="23">
        <f>'5-αντίγρ'!Q51</f>
        <v>0</v>
      </c>
      <c r="S51" s="24"/>
      <c r="T51" s="25"/>
      <c r="U51" s="103"/>
      <c r="V51" s="103"/>
      <c r="W51" s="97"/>
      <c r="X51" s="26"/>
      <c r="Y51" s="26"/>
      <c r="Z51" s="26"/>
      <c r="AA51" s="26"/>
      <c r="AB51" s="26"/>
      <c r="AC51" s="26"/>
    </row>
    <row r="52" spans="1:35" s="19" customFormat="1">
      <c r="A52" s="14">
        <f>'1-συμβολαια'!A52</f>
        <v>0</v>
      </c>
      <c r="B52" s="58"/>
      <c r="C52" s="96">
        <f>'1-συμβολαια'!B52</f>
        <v>0</v>
      </c>
      <c r="D52" s="20"/>
      <c r="E52" s="110" t="str">
        <f>'1-συμβολαια'!C52</f>
        <v>ΧΡΗΣΙΚΤΗΣΙΑ αγροτεμαχίου = 1980 πατρός ΚΛΗΡΟΝΟΜΙΑ άτυπη</v>
      </c>
      <c r="F52" s="15"/>
      <c r="G52" s="16">
        <f>'4-πολλυπρ'!D52</f>
        <v>0</v>
      </c>
      <c r="H52" s="16">
        <f>'4-πολλυπρ'!I52</f>
        <v>0</v>
      </c>
      <c r="I52" s="21"/>
      <c r="J52" s="21">
        <f>'1-συμβολαια'!D52</f>
        <v>1111</v>
      </c>
      <c r="K52" s="21"/>
      <c r="L52" s="28">
        <f>'11-χαρτόσ'!D52</f>
        <v>0</v>
      </c>
      <c r="M52" s="28"/>
      <c r="N52" s="28"/>
      <c r="O52" s="22"/>
      <c r="P52" s="18">
        <f>'14β-βιβλΕσΕκτ'!H52-R52</f>
        <v>0</v>
      </c>
      <c r="Q52" s="17"/>
      <c r="R52" s="23">
        <f>'5-αντίγρ'!Q52</f>
        <v>0</v>
      </c>
      <c r="S52" s="24"/>
      <c r="T52" s="25"/>
      <c r="U52" s="103"/>
      <c r="V52" s="103"/>
      <c r="W52" s="97"/>
      <c r="X52" s="26"/>
      <c r="Y52" s="26"/>
      <c r="Z52" s="26"/>
      <c r="AA52" s="26"/>
      <c r="AB52" s="26"/>
      <c r="AC52" s="26"/>
    </row>
    <row r="53" spans="1:35" s="19" customFormat="1">
      <c r="A53" s="14">
        <f>'1-συμβολαια'!A53</f>
        <v>0</v>
      </c>
      <c r="B53" s="58"/>
      <c r="C53" s="96">
        <f>'1-συμβολαια'!B53</f>
        <v>0</v>
      </c>
      <c r="D53" s="20"/>
      <c r="E53" s="110" t="str">
        <f>'1-συμβολαια'!C53</f>
        <v>ΧΡΗΣΙΚΤΗΣΙΑ αγροτεμαχίου = 1980 ΔΙΑΝΟΜΗ άτυπη</v>
      </c>
      <c r="F53" s="15"/>
      <c r="G53" s="16">
        <f>'4-πολλυπρ'!D53</f>
        <v>0</v>
      </c>
      <c r="H53" s="16">
        <f>'4-πολλυπρ'!I53</f>
        <v>0</v>
      </c>
      <c r="I53" s="21"/>
      <c r="J53" s="21">
        <f>'1-συμβολαια'!D53</f>
        <v>11</v>
      </c>
      <c r="K53" s="21"/>
      <c r="L53" s="28">
        <f>'11-χαρτόσ'!D53</f>
        <v>0</v>
      </c>
      <c r="M53" s="28"/>
      <c r="N53" s="28"/>
      <c r="O53" s="22"/>
      <c r="P53" s="18">
        <f>'14β-βιβλΕσΕκτ'!H53-R53</f>
        <v>0</v>
      </c>
      <c r="Q53" s="17"/>
      <c r="R53" s="23">
        <f>'5-αντίγρ'!Q53</f>
        <v>0</v>
      </c>
      <c r="S53" s="24"/>
      <c r="T53" s="25"/>
      <c r="U53" s="103"/>
      <c r="V53" s="103"/>
      <c r="W53" s="97"/>
      <c r="X53" s="26"/>
      <c r="Y53" s="26"/>
      <c r="Z53" s="26"/>
      <c r="AA53" s="26"/>
      <c r="AB53" s="26"/>
      <c r="AC53" s="26"/>
    </row>
    <row r="54" spans="1:35" s="19" customFormat="1">
      <c r="A54" s="14">
        <f>'1-συμβολαια'!A54</f>
        <v>4630</v>
      </c>
      <c r="B54" s="58"/>
      <c r="C54" s="96">
        <f>'1-συμβολαια'!B54</f>
        <v>28</v>
      </c>
      <c r="D54" s="20"/>
      <c r="E54" s="110" t="str">
        <f>'1-συμβολαια'!C54</f>
        <v xml:space="preserve">αγοραπωλησίας ΠΡΟΣΥΜΦΩΝΟ τίμημα = αρραβών = </v>
      </c>
      <c r="F54" s="15"/>
      <c r="G54" s="16">
        <f>'4-πολλυπρ'!D54</f>
        <v>0</v>
      </c>
      <c r="H54" s="16">
        <f>'4-πολλυπρ'!I54</f>
        <v>0</v>
      </c>
      <c r="I54" s="21"/>
      <c r="J54" s="21">
        <f>'1-συμβολαια'!D54</f>
        <v>8804.1</v>
      </c>
      <c r="K54" s="21"/>
      <c r="L54" s="28">
        <f>'11-χαρτόσ'!D54</f>
        <v>0</v>
      </c>
      <c r="M54" s="28"/>
      <c r="N54" s="28"/>
      <c r="O54" s="22"/>
      <c r="P54" s="18">
        <f>'14β-βιβλΕσΕκτ'!H54-R54</f>
        <v>129.23550799999998</v>
      </c>
      <c r="Q54" s="17"/>
      <c r="R54" s="23">
        <f>'5-αντίγρ'!Q54</f>
        <v>-0.7105999999999999</v>
      </c>
      <c r="S54" s="24"/>
      <c r="T54" s="25"/>
      <c r="U54" s="103"/>
      <c r="V54" s="103"/>
      <c r="W54" s="97"/>
      <c r="X54" s="26"/>
      <c r="Y54" s="26"/>
      <c r="Z54" s="26"/>
      <c r="AA54" s="26"/>
      <c r="AB54" s="26"/>
      <c r="AC54" s="26"/>
    </row>
    <row r="55" spans="1:35" s="19" customFormat="1">
      <c r="A55" s="14">
        <f>'1-συμβολαια'!A55</f>
        <v>0</v>
      </c>
      <c r="B55" s="58"/>
      <c r="C55" s="96">
        <f>'1-συμβολαια'!B55</f>
        <v>0</v>
      </c>
      <c r="D55" s="20"/>
      <c r="E55" s="110" t="str">
        <f>'1-συμβολαια'!C55</f>
        <v>ΧΡΗΣΙΚΤΗΣΙΑ αγροτεμαχίου = 1970 συζύγου ΔΩΡΕΑ άτυπη</v>
      </c>
      <c r="F55" s="15"/>
      <c r="G55" s="16">
        <f>'4-πολλυπρ'!D55</f>
        <v>0</v>
      </c>
      <c r="H55" s="16">
        <f>'4-πολλυπρ'!I55</f>
        <v>0</v>
      </c>
      <c r="I55" s="21"/>
      <c r="J55" s="21">
        <f>'1-συμβολαια'!D55</f>
        <v>5555</v>
      </c>
      <c r="K55" s="21"/>
      <c r="L55" s="28">
        <f>'11-χαρτόσ'!D55</f>
        <v>0</v>
      </c>
      <c r="M55" s="28"/>
      <c r="N55" s="28"/>
      <c r="O55" s="22"/>
      <c r="P55" s="18">
        <f>'14β-βιβλΕσΕκτ'!H55-R55</f>
        <v>0</v>
      </c>
      <c r="Q55" s="17"/>
      <c r="R55" s="23">
        <f>'5-αντίγρ'!Q55</f>
        <v>0</v>
      </c>
      <c r="S55" s="24"/>
      <c r="T55" s="25"/>
      <c r="U55" s="103"/>
      <c r="V55" s="103"/>
      <c r="W55" s="97"/>
      <c r="X55" s="26"/>
      <c r="Y55" s="26"/>
      <c r="Z55" s="26"/>
      <c r="AA55" s="26"/>
      <c r="AB55" s="26"/>
      <c r="AC55" s="26"/>
    </row>
    <row r="56" spans="1:35" s="19" customFormat="1">
      <c r="A56" s="14">
        <f>'1-συμβολαια'!A56</f>
        <v>4631</v>
      </c>
      <c r="B56" s="58"/>
      <c r="C56" s="96">
        <f>'1-συμβολαια'!B56</f>
        <v>28</v>
      </c>
      <c r="D56" s="20"/>
      <c r="E56" s="110" t="str">
        <f>'1-συμβολαια'!C56</f>
        <v>αγοραπωλησίας 4.191 ΕΞΟΦΛΗΣΗ</v>
      </c>
      <c r="F56" s="15"/>
      <c r="G56" s="16">
        <f>'4-πολλυπρ'!D56</f>
        <v>0</v>
      </c>
      <c r="H56" s="16">
        <f>'4-πολλυπρ'!I56</f>
        <v>0</v>
      </c>
      <c r="I56" s="21"/>
      <c r="J56" s="21">
        <f>'1-συμβολαια'!D56</f>
        <v>0</v>
      </c>
      <c r="K56" s="21"/>
      <c r="L56" s="28">
        <f>'11-χαρτόσ'!D56</f>
        <v>0</v>
      </c>
      <c r="M56" s="28"/>
      <c r="N56" s="28"/>
      <c r="O56" s="22"/>
      <c r="P56" s="18">
        <f>'14β-βιβλΕσΕκτ'!H56-R56</f>
        <v>26.672000000000001</v>
      </c>
      <c r="Q56" s="17"/>
      <c r="R56" s="23">
        <f>'5-αντίγρ'!Q56</f>
        <v>0</v>
      </c>
      <c r="S56" s="24"/>
      <c r="T56" s="25"/>
      <c r="U56" s="103"/>
      <c r="V56" s="103"/>
      <c r="W56" s="97"/>
      <c r="X56" s="26"/>
      <c r="Y56" s="26"/>
      <c r="Z56" s="26"/>
      <c r="AA56" s="26"/>
      <c r="AB56" s="26"/>
      <c r="AC56" s="26"/>
    </row>
    <row r="57" spans="1:35" s="19" customFormat="1">
      <c r="A57" s="14">
        <f>'1-συμβολαια'!A57</f>
        <v>0</v>
      </c>
      <c r="B57" s="58"/>
      <c r="C57" s="96">
        <f>'1-συμβολαια'!B57</f>
        <v>0</v>
      </c>
      <c r="D57" s="20"/>
      <c r="E57" s="110">
        <f>'1-συμβολαια'!C57</f>
        <v>0</v>
      </c>
      <c r="F57" s="15"/>
      <c r="G57" s="16">
        <f>'4-πολλυπρ'!D57</f>
        <v>0</v>
      </c>
      <c r="H57" s="16">
        <f>'4-πολλυπρ'!I57</f>
        <v>0</v>
      </c>
      <c r="I57" s="21"/>
      <c r="J57" s="21">
        <f>'1-συμβολαια'!D57</f>
        <v>0</v>
      </c>
      <c r="K57" s="21"/>
      <c r="L57" s="28">
        <f>'11-χαρτόσ'!D57</f>
        <v>0</v>
      </c>
      <c r="M57" s="28"/>
      <c r="N57" s="28"/>
      <c r="O57" s="22"/>
      <c r="P57" s="18">
        <f>'14β-βιβλΕσΕκτ'!H57-R57</f>
        <v>0</v>
      </c>
      <c r="Q57" s="17"/>
      <c r="R57" s="23">
        <f>'5-αντίγρ'!Q57</f>
        <v>0</v>
      </c>
      <c r="S57" s="24"/>
      <c r="T57" s="25"/>
      <c r="U57" s="103"/>
      <c r="V57" s="103"/>
      <c r="W57" s="97"/>
      <c r="X57" s="26"/>
      <c r="Y57" s="26"/>
      <c r="Z57" s="26"/>
      <c r="AA57" s="26"/>
      <c r="AB57" s="26"/>
      <c r="AC57" s="26"/>
    </row>
    <row r="58" spans="1:35" s="19" customFormat="1">
      <c r="A58" s="14">
        <f>'1-συμβολαια'!A58</f>
        <v>0</v>
      </c>
      <c r="B58" s="58"/>
      <c r="C58" s="96">
        <f>'1-συμβολαια'!B58</f>
        <v>0</v>
      </c>
      <c r="D58" s="20"/>
      <c r="E58" s="110">
        <f>'1-συμβολαια'!C58</f>
        <v>0</v>
      </c>
      <c r="F58" s="15"/>
      <c r="G58" s="16">
        <f>'4-πολλυπρ'!D58</f>
        <v>0</v>
      </c>
      <c r="H58" s="16">
        <f>'4-πολλυπρ'!I58</f>
        <v>0</v>
      </c>
      <c r="I58" s="21"/>
      <c r="J58" s="21">
        <f>'1-συμβολαια'!D58</f>
        <v>0</v>
      </c>
      <c r="K58" s="21"/>
      <c r="L58" s="28">
        <f>'11-χαρτόσ'!D58</f>
        <v>0</v>
      </c>
      <c r="M58" s="28"/>
      <c r="N58" s="28"/>
      <c r="O58" s="22"/>
      <c r="P58" s="18">
        <f>'14β-βιβλΕσΕκτ'!H58-R58</f>
        <v>0</v>
      </c>
      <c r="Q58" s="17"/>
      <c r="R58" s="23">
        <f>'5-αντίγρ'!Q58</f>
        <v>0</v>
      </c>
      <c r="S58" s="24"/>
      <c r="T58" s="25"/>
      <c r="U58" s="103"/>
      <c r="V58" s="103"/>
      <c r="W58" s="97"/>
      <c r="X58" s="26"/>
      <c r="Y58" s="26"/>
      <c r="Z58" s="26"/>
      <c r="AA58" s="26"/>
      <c r="AB58" s="26"/>
      <c r="AC58" s="26"/>
    </row>
    <row r="59" spans="1:35">
      <c r="A59" s="595" t="s">
        <v>56</v>
      </c>
      <c r="B59" s="596"/>
      <c r="C59" s="596"/>
      <c r="D59" s="596"/>
      <c r="E59" s="596"/>
      <c r="F59" s="596"/>
      <c r="G59" s="596"/>
      <c r="H59" s="596"/>
      <c r="I59" s="596"/>
      <c r="J59" s="596"/>
      <c r="K59" s="48"/>
      <c r="L59" s="1">
        <f>SUM(L3:L58)</f>
        <v>0</v>
      </c>
      <c r="M59" s="1"/>
      <c r="N59" s="1"/>
      <c r="O59" s="1">
        <f>SUM(O3:O58)</f>
        <v>0</v>
      </c>
      <c r="P59" s="41">
        <f>SUM(P3:P58)</f>
        <v>3151.5641280000004</v>
      </c>
      <c r="Q59" s="1">
        <f>SUM(Q3:Q58)</f>
        <v>0</v>
      </c>
      <c r="R59" s="1">
        <f>SUM(R3:R58)</f>
        <v>7.4613000000000032</v>
      </c>
      <c r="S59" s="1">
        <f>SUM(S3:S58)</f>
        <v>0</v>
      </c>
      <c r="T59" s="3"/>
      <c r="U59" s="98"/>
      <c r="V59" s="98"/>
    </row>
    <row r="60" spans="1:35">
      <c r="T60" s="146"/>
    </row>
    <row r="61" spans="1:35" ht="15.75" customHeight="1">
      <c r="T61" s="146"/>
      <c r="U61" s="812" t="s">
        <v>131</v>
      </c>
      <c r="V61" s="812"/>
      <c r="W61" s="812"/>
      <c r="X61" s="812"/>
      <c r="Y61" s="812"/>
      <c r="Z61" s="812"/>
      <c r="AA61" s="812"/>
      <c r="AB61" s="812"/>
      <c r="AC61" s="812"/>
      <c r="AD61" s="144"/>
      <c r="AE61" s="144"/>
      <c r="AF61" s="144"/>
      <c r="AG61" s="144"/>
      <c r="AH61" s="139"/>
      <c r="AI61" s="139"/>
    </row>
    <row r="62" spans="1:35" ht="15.75" customHeight="1">
      <c r="T62" s="146"/>
      <c r="U62" s="145"/>
      <c r="V62" s="813" t="s">
        <v>132</v>
      </c>
      <c r="W62" s="813"/>
      <c r="X62" s="813"/>
      <c r="Y62" s="813"/>
      <c r="Z62" s="813"/>
      <c r="AA62" s="813"/>
      <c r="AB62" s="813"/>
      <c r="AC62" s="813"/>
      <c r="AD62" s="813"/>
      <c r="AE62" s="139"/>
      <c r="AF62" s="139"/>
      <c r="AG62" s="139"/>
      <c r="AH62" s="139"/>
      <c r="AI62" s="139"/>
    </row>
    <row r="63" spans="1:35" ht="15.75" customHeight="1">
      <c r="T63" s="146"/>
      <c r="U63" s="145"/>
      <c r="V63" s="145"/>
      <c r="W63" s="812" t="s">
        <v>133</v>
      </c>
      <c r="X63" s="812"/>
      <c r="Y63" s="812"/>
      <c r="Z63" s="812"/>
      <c r="AA63" s="812"/>
      <c r="AB63" s="812"/>
      <c r="AC63" s="812"/>
      <c r="AD63" s="812"/>
      <c r="AE63" s="812"/>
      <c r="AF63" s="139"/>
      <c r="AG63" s="139"/>
      <c r="AH63" s="139"/>
      <c r="AI63" s="139"/>
    </row>
    <row r="64" spans="1:35" ht="15.75">
      <c r="U64" s="145"/>
      <c r="V64" s="145"/>
      <c r="W64" s="145"/>
      <c r="X64" s="813" t="s">
        <v>134</v>
      </c>
      <c r="Y64" s="813"/>
      <c r="Z64" s="813"/>
      <c r="AA64" s="813"/>
      <c r="AB64" s="813"/>
      <c r="AC64" s="813"/>
      <c r="AD64" s="813"/>
      <c r="AE64" s="813"/>
      <c r="AF64" s="813"/>
      <c r="AG64" s="139"/>
      <c r="AH64" s="139"/>
      <c r="AI64" s="139"/>
    </row>
    <row r="65" spans="21:35" ht="15.75">
      <c r="U65" s="145"/>
      <c r="V65" s="145"/>
      <c r="W65" s="145"/>
      <c r="X65" s="145"/>
      <c r="Y65" s="812" t="s">
        <v>135</v>
      </c>
      <c r="Z65" s="812"/>
      <c r="AA65" s="812"/>
      <c r="AB65" s="812"/>
      <c r="AC65" s="812"/>
      <c r="AD65" s="812"/>
      <c r="AE65" s="812"/>
      <c r="AF65" s="812"/>
      <c r="AG65" s="812"/>
      <c r="AH65" s="139"/>
      <c r="AI65" s="139"/>
    </row>
    <row r="66" spans="21:35" ht="15.75">
      <c r="U66" s="145"/>
      <c r="V66" s="145"/>
      <c r="W66" s="145"/>
      <c r="X66" s="145"/>
      <c r="Y66" s="145"/>
      <c r="Z66" s="813" t="s">
        <v>136</v>
      </c>
      <c r="AA66" s="813"/>
      <c r="AB66" s="813"/>
      <c r="AC66" s="813"/>
      <c r="AD66" s="813"/>
      <c r="AE66" s="813"/>
      <c r="AF66" s="813"/>
      <c r="AG66" s="813"/>
      <c r="AH66" s="813"/>
      <c r="AI66" s="139"/>
    </row>
    <row r="67" spans="21:35" ht="15.75">
      <c r="U67" s="145"/>
      <c r="V67" s="145"/>
      <c r="W67" s="145"/>
      <c r="X67" s="145"/>
      <c r="Y67" s="145"/>
      <c r="Z67" s="145"/>
      <c r="AA67" s="812" t="s">
        <v>137</v>
      </c>
      <c r="AB67" s="812"/>
      <c r="AC67" s="812"/>
      <c r="AD67" s="812"/>
      <c r="AE67" s="812"/>
      <c r="AF67" s="812"/>
      <c r="AG67" s="812"/>
      <c r="AH67" s="812"/>
      <c r="AI67" s="812"/>
    </row>
  </sheetData>
  <mergeCells count="18">
    <mergeCell ref="W63:AE63"/>
    <mergeCell ref="X64:AF64"/>
    <mergeCell ref="Y65:AG65"/>
    <mergeCell ref="Z66:AH66"/>
    <mergeCell ref="AA67:AI67"/>
    <mergeCell ref="U61:AC61"/>
    <mergeCell ref="V62:AD62"/>
    <mergeCell ref="U1:AC2"/>
    <mergeCell ref="T1:T2"/>
    <mergeCell ref="R1:S1"/>
    <mergeCell ref="A59:J59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81"/>
  <sheetViews>
    <sheetView workbookViewId="0">
      <pane ySplit="1" topLeftCell="A26" activePane="bottomLeft" state="frozen"/>
      <selection pane="bottomLeft" activeCell="C71" sqref="C71:C72"/>
    </sheetView>
  </sheetViews>
  <sheetFormatPr defaultRowHeight="11.25"/>
  <cols>
    <col min="1" max="1" width="7.28515625" style="3" bestFit="1" customWidth="1"/>
    <col min="2" max="2" width="68.28515625" style="3" customWidth="1"/>
    <col min="3" max="3" width="10.28515625" style="2" customWidth="1"/>
    <col min="4" max="16384" width="9.140625" style="3"/>
  </cols>
  <sheetData>
    <row r="1" spans="1:13">
      <c r="A1" s="223"/>
      <c r="B1" s="223"/>
      <c r="C1" s="370"/>
      <c r="D1" s="223" t="s">
        <v>346</v>
      </c>
      <c r="E1" s="610" t="s">
        <v>349</v>
      </c>
      <c r="F1" s="611"/>
      <c r="G1" s="611"/>
      <c r="H1" s="611"/>
      <c r="I1" s="612" t="s">
        <v>350</v>
      </c>
      <c r="J1" s="612"/>
      <c r="K1" s="612"/>
      <c r="L1" s="612"/>
      <c r="M1" s="613"/>
    </row>
    <row r="2" spans="1:13">
      <c r="A2" s="406">
        <f>'1-συμβολαια'!A3</f>
        <v>4600</v>
      </c>
      <c r="B2" s="92" t="str">
        <f>'1-συμβολαια'!C3</f>
        <v>δωρεά</v>
      </c>
      <c r="C2" s="369">
        <f>'1-συμβολαια'!D3</f>
        <v>5727.22</v>
      </c>
      <c r="D2" s="402"/>
      <c r="E2" s="403">
        <v>38435</v>
      </c>
      <c r="F2" s="92">
        <v>404</v>
      </c>
      <c r="G2" s="92">
        <v>19</v>
      </c>
      <c r="H2" s="92"/>
      <c r="I2" s="92"/>
      <c r="J2" s="92"/>
      <c r="K2" s="92"/>
      <c r="L2" s="92" t="s">
        <v>557</v>
      </c>
      <c r="M2" s="92"/>
    </row>
    <row r="3" spans="1:13">
      <c r="A3" s="406">
        <f>'1-συμβολαια'!A4</f>
        <v>0</v>
      </c>
      <c r="B3" s="92" t="str">
        <f>'1-συμβολαια'!C4</f>
        <v>ΧΡΗΣΙΚΤΗΣΙΑ οικοπέδου &amp; οικίας = 1930 πατρός ΔΩΡΕΑ άτυπη</v>
      </c>
      <c r="C3" s="503">
        <f>'1-συμβολαια'!D4</f>
        <v>3333</v>
      </c>
      <c r="D3" s="369"/>
      <c r="E3" s="92"/>
      <c r="F3" s="92"/>
      <c r="G3" s="92"/>
      <c r="H3" s="92"/>
      <c r="I3" s="92"/>
      <c r="J3" s="92"/>
      <c r="K3" s="92"/>
      <c r="L3" s="92"/>
      <c r="M3" s="92"/>
    </row>
    <row r="4" spans="1:13">
      <c r="A4" s="224">
        <f>'1-συμβολαια'!A5</f>
        <v>4601</v>
      </c>
      <c r="B4" s="92" t="str">
        <f>'1-συμβολαια'!C5</f>
        <v>αγοραπωλησίας 13.835κ ΕΞΟΦΛΗΣΗ</v>
      </c>
      <c r="C4" s="369">
        <f>'1-συμβολαια'!D5</f>
        <v>0</v>
      </c>
      <c r="D4" s="402"/>
      <c r="E4" s="484" t="s">
        <v>561</v>
      </c>
      <c r="F4" s="92"/>
      <c r="G4" s="92"/>
      <c r="H4" s="92"/>
      <c r="I4" s="92"/>
      <c r="J4" s="92"/>
      <c r="K4" s="92"/>
      <c r="L4" s="92"/>
      <c r="M4" s="92"/>
    </row>
    <row r="5" spans="1:13">
      <c r="A5" s="406">
        <f>'1-συμβολαια'!A6</f>
        <v>4602</v>
      </c>
      <c r="B5" s="92" t="str">
        <f>'1-συμβολαια'!C6</f>
        <v>κληρονομιάς ΑΠΟΔΟΧΗ</v>
      </c>
      <c r="C5" s="369">
        <f>'1-συμβολαια'!D6</f>
        <v>0</v>
      </c>
      <c r="D5" s="402"/>
      <c r="E5" s="484" t="s">
        <v>561</v>
      </c>
      <c r="F5" s="92"/>
      <c r="G5" s="92"/>
      <c r="H5" s="92"/>
      <c r="I5" s="92"/>
      <c r="J5" s="92"/>
      <c r="K5" s="92"/>
      <c r="L5" s="92"/>
      <c r="M5" s="92"/>
    </row>
    <row r="6" spans="1:13">
      <c r="A6" s="406">
        <f>'1-συμβολαια'!A7</f>
        <v>0</v>
      </c>
      <c r="B6" s="92" t="str">
        <f>'1-συμβολαια'!C7</f>
        <v>ΧΡΗΣΙΚΤΗΣΙΑ αγροτεμαχίου = 19?? ΑΝΑΔΑΣΜΟΣ</v>
      </c>
      <c r="C6" s="503">
        <f>'1-συμβολαια'!D7</f>
        <v>1111</v>
      </c>
      <c r="D6" s="369"/>
      <c r="E6" s="92"/>
      <c r="F6" s="92"/>
      <c r="G6" s="92"/>
      <c r="H6" s="92"/>
      <c r="I6" s="92"/>
      <c r="J6" s="92"/>
      <c r="K6" s="92"/>
      <c r="L6" s="92"/>
      <c r="M6" s="92"/>
    </row>
    <row r="7" spans="1:13">
      <c r="A7" s="224">
        <f>'1-συμβολαια'!A8</f>
        <v>4603</v>
      </c>
      <c r="B7" s="92" t="str">
        <f>'1-συμβολαια'!C8</f>
        <v>γονικής 11.618καπολα ΔΙΟΡΘΩΣΗ</v>
      </c>
      <c r="C7" s="369">
        <f>'1-συμβολαια'!D8</f>
        <v>0</v>
      </c>
      <c r="D7" s="402"/>
      <c r="E7" s="484" t="s">
        <v>561</v>
      </c>
      <c r="F7" s="92"/>
      <c r="G7" s="92"/>
      <c r="H7" s="92"/>
      <c r="I7" s="92"/>
      <c r="J7" s="92"/>
      <c r="K7" s="92"/>
      <c r="L7" s="92"/>
      <c r="M7" s="92"/>
    </row>
    <row r="8" spans="1:13">
      <c r="A8" s="224">
        <f>'1-συμβολαια'!A9</f>
        <v>4604</v>
      </c>
      <c r="B8" s="92" t="str">
        <f>'1-συμβολαια'!C9</f>
        <v>γονικής 11.619καπολα ΔΙΟΡΘΩΣΗ</v>
      </c>
      <c r="C8" s="369">
        <f>'1-συμβολαια'!D9</f>
        <v>0</v>
      </c>
      <c r="D8" s="402"/>
      <c r="E8" s="484" t="s">
        <v>561</v>
      </c>
      <c r="F8" s="92"/>
      <c r="G8" s="92"/>
      <c r="H8" s="92"/>
      <c r="I8" s="92"/>
      <c r="J8" s="92"/>
      <c r="K8" s="92"/>
      <c r="L8" s="92"/>
      <c r="M8" s="92"/>
    </row>
    <row r="9" spans="1:13">
      <c r="A9" s="224">
        <f>'1-συμβολαια'!A10</f>
        <v>4605</v>
      </c>
      <c r="B9" s="92" t="str">
        <f>'1-συμβολαια'!C10</f>
        <v>* γονικής 11.618καπολα επικαρπίας ΕΝΣΩΜΑΤΩΣΗ {= παραίτηση αδερφής δικαιώματος οίκησης</v>
      </c>
      <c r="C9" s="369">
        <f>'1-συμβολαια'!D10</f>
        <v>2222</v>
      </c>
      <c r="D9" s="402"/>
      <c r="E9" s="484" t="s">
        <v>561</v>
      </c>
      <c r="F9" s="92"/>
      <c r="G9" s="92"/>
      <c r="H9" s="92"/>
      <c r="I9" s="92"/>
      <c r="J9" s="92"/>
      <c r="K9" s="92"/>
      <c r="L9" s="92"/>
      <c r="M9" s="92"/>
    </row>
    <row r="10" spans="1:13">
      <c r="A10" s="224">
        <f>'1-συμβολαια'!A11</f>
        <v>4606</v>
      </c>
      <c r="B10" s="92" t="str">
        <f>'1-συμβολαια'!C11</f>
        <v>πληρεξούσιο</v>
      </c>
      <c r="C10" s="369">
        <f>'1-συμβολαια'!D11</f>
        <v>0</v>
      </c>
      <c r="D10" s="402"/>
      <c r="E10" s="518"/>
      <c r="F10" s="518"/>
      <c r="G10" s="518"/>
      <c r="H10" s="518"/>
      <c r="I10" s="518"/>
      <c r="J10" s="518"/>
      <c r="K10" s="518"/>
      <c r="L10" s="518"/>
      <c r="M10" s="518"/>
    </row>
    <row r="11" spans="1:13">
      <c r="A11" s="224">
        <f>'1-συμβολαια'!A12</f>
        <v>4607</v>
      </c>
      <c r="B11" s="92" t="str">
        <f>'1-συμβολαια'!C12</f>
        <v>αγοραπωλησίας 3.919 ΔΙΟΡΘΩΣΗ</v>
      </c>
      <c r="C11" s="369">
        <f>'1-συμβολαια'!D12</f>
        <v>0</v>
      </c>
      <c r="D11" s="402"/>
      <c r="E11" s="484" t="s">
        <v>561</v>
      </c>
      <c r="F11" s="92"/>
      <c r="G11" s="92"/>
      <c r="H11" s="92"/>
      <c r="I11" s="92"/>
      <c r="J11" s="92"/>
      <c r="K11" s="92"/>
      <c r="L11" s="92"/>
      <c r="M11" s="92"/>
    </row>
    <row r="12" spans="1:13">
      <c r="A12" s="224">
        <f>'1-συμβολαια'!A13</f>
        <v>4608</v>
      </c>
      <c r="B12" s="92" t="str">
        <f>'1-συμβολαια'!C13</f>
        <v>αγοραπωλησία τίμημα = Δ.Ο.Υ. =</v>
      </c>
      <c r="C12" s="369">
        <f>'1-συμβολαια'!D13</f>
        <v>1572.77</v>
      </c>
      <c r="D12" s="402"/>
      <c r="E12" s="403">
        <v>38398</v>
      </c>
      <c r="F12" s="92">
        <v>402</v>
      </c>
      <c r="G12" s="92">
        <v>74</v>
      </c>
      <c r="H12" s="92"/>
      <c r="I12" s="92"/>
      <c r="J12" s="92"/>
      <c r="K12" s="92"/>
      <c r="L12" s="92" t="s">
        <v>575</v>
      </c>
      <c r="M12" s="92"/>
    </row>
    <row r="13" spans="1:13">
      <c r="A13" s="224">
        <f>'1-συμβολαια'!A14</f>
        <v>4609</v>
      </c>
      <c r="B13" s="92" t="str">
        <f>'1-συμβολαια'!C14</f>
        <v>αγοραπωλησία τίμημα = 6.057,27 Δ.Ο.Υ. =</v>
      </c>
      <c r="C13" s="369">
        <f>'1-συμβολαια'!D14</f>
        <v>18257.27</v>
      </c>
      <c r="D13" s="402"/>
      <c r="E13" s="403">
        <v>38398</v>
      </c>
      <c r="F13" s="92">
        <v>402</v>
      </c>
      <c r="G13" s="92">
        <v>75</v>
      </c>
      <c r="H13" s="92"/>
      <c r="I13" s="92"/>
      <c r="J13" s="92"/>
      <c r="K13" s="92"/>
      <c r="L13" s="92" t="s">
        <v>576</v>
      </c>
      <c r="M13" s="92"/>
    </row>
    <row r="14" spans="1:13">
      <c r="A14" s="224">
        <f>'1-συμβολαια'!A15</f>
        <v>4610</v>
      </c>
      <c r="B14" s="92" t="str">
        <f>'1-συμβολαια'!C15</f>
        <v>πληρεξούσιο</v>
      </c>
      <c r="C14" s="369">
        <f>'1-συμβολαια'!D15</f>
        <v>0</v>
      </c>
      <c r="D14" s="402"/>
      <c r="E14" s="518"/>
      <c r="F14" s="518"/>
      <c r="G14" s="518"/>
      <c r="H14" s="518"/>
      <c r="I14" s="518"/>
      <c r="J14" s="518"/>
      <c r="K14" s="518"/>
      <c r="L14" s="518"/>
      <c r="M14" s="518"/>
    </row>
    <row r="15" spans="1:13">
      <c r="A15" s="406">
        <f>'1-συμβολαια'!A16</f>
        <v>4611</v>
      </c>
      <c r="B15" s="92" t="str">
        <f>'1-συμβολαια'!C16</f>
        <v>γονική</v>
      </c>
      <c r="C15" s="369">
        <f>'1-συμβολαια'!D16</f>
        <v>33521.660000000003</v>
      </c>
      <c r="D15" s="402"/>
      <c r="E15" s="92"/>
      <c r="F15" s="92">
        <v>406</v>
      </c>
      <c r="G15" s="92">
        <v>84</v>
      </c>
      <c r="H15" s="92"/>
      <c r="I15" s="92"/>
      <c r="J15" s="92"/>
      <c r="K15" s="92"/>
      <c r="L15" s="92"/>
      <c r="M15" s="92"/>
    </row>
    <row r="16" spans="1:13">
      <c r="A16" s="406">
        <f>'1-συμβολαια'!A17</f>
        <v>0</v>
      </c>
      <c r="B16" s="92" t="str">
        <f>'1-συμβολαια'!C17</f>
        <v>ΧΡΗΣΙΚΤΗΣΙΑ οικοπέδου = 1973 κυπαρισσίουΠαναγιώτη ΑΓΟΡΑΠΩΛΗΣΙΑ άτυπη</v>
      </c>
      <c r="C16" s="369">
        <f>'1-συμβολαια'!D17</f>
        <v>2222</v>
      </c>
      <c r="D16" s="369"/>
      <c r="E16" s="92"/>
      <c r="F16" s="92"/>
      <c r="G16" s="92"/>
      <c r="H16" s="92"/>
      <c r="I16" s="92"/>
      <c r="J16" s="92"/>
      <c r="K16" s="92"/>
      <c r="L16" s="92"/>
      <c r="M16" s="92"/>
    </row>
    <row r="17" spans="1:15">
      <c r="A17" s="406">
        <f>'1-συμβολαια'!A18</f>
        <v>0</v>
      </c>
      <c r="B17" s="92" t="str">
        <f>'1-συμβολαια'!C18</f>
        <v>οριζόντιος ΣΥΣΤΑΣΗ</v>
      </c>
      <c r="C17" s="369">
        <f>'1-συμβολαια'!D18</f>
        <v>0</v>
      </c>
      <c r="D17" s="369"/>
      <c r="E17" s="92"/>
      <c r="F17" s="92">
        <v>406</v>
      </c>
      <c r="G17" s="92">
        <v>85</v>
      </c>
      <c r="H17" s="92"/>
      <c r="I17" s="92"/>
      <c r="J17" s="92"/>
      <c r="K17" s="92"/>
      <c r="L17" s="92"/>
      <c r="M17" s="92"/>
    </row>
    <row r="18" spans="1:15">
      <c r="A18" s="224">
        <f>'1-συμβολαια'!A19</f>
        <v>4612</v>
      </c>
      <c r="B18" s="92" t="str">
        <f>'1-συμβολαια'!C19</f>
        <v>κληρονομιάς ΑΠΟΔΟΧΗ</v>
      </c>
      <c r="C18" s="369">
        <f>'1-συμβολαια'!D19</f>
        <v>0</v>
      </c>
      <c r="D18" s="402"/>
      <c r="E18" s="484" t="s">
        <v>561</v>
      </c>
      <c r="F18" s="92"/>
      <c r="G18" s="92"/>
      <c r="H18" s="92"/>
      <c r="I18" s="92"/>
      <c r="J18" s="92"/>
      <c r="K18" s="92"/>
      <c r="L18" s="92"/>
      <c r="M18" s="92"/>
    </row>
    <row r="19" spans="1:15">
      <c r="A19" s="224">
        <f>'1-συμβολαια'!A20</f>
        <v>4613</v>
      </c>
      <c r="B19" s="92" t="str">
        <f>'1-συμβολαια'!C20</f>
        <v>γονική</v>
      </c>
      <c r="C19" s="369">
        <f>'1-συμβολαια'!D20</f>
        <v>6213.36</v>
      </c>
      <c r="D19" s="402"/>
      <c r="E19" s="403">
        <v>38434</v>
      </c>
      <c r="F19" s="92">
        <v>403</v>
      </c>
      <c r="G19" s="92">
        <v>86</v>
      </c>
      <c r="H19" s="92"/>
      <c r="I19" s="92"/>
      <c r="J19" s="92"/>
      <c r="K19" s="92"/>
      <c r="L19" s="92"/>
      <c r="M19" s="92"/>
    </row>
    <row r="20" spans="1:15">
      <c r="A20" s="224">
        <f>'1-συμβολαια'!A21</f>
        <v>4614</v>
      </c>
      <c r="B20" s="92" t="str">
        <f>'1-συμβολαια'!C21</f>
        <v>διαθήκη</v>
      </c>
      <c r="C20" s="369">
        <f>'1-συμβολαια'!D21</f>
        <v>0</v>
      </c>
      <c r="D20" s="402"/>
      <c r="E20" s="518"/>
      <c r="F20" s="518"/>
      <c r="G20" s="518"/>
      <c r="H20" s="518"/>
      <c r="I20" s="518"/>
      <c r="J20" s="518"/>
      <c r="K20" s="518"/>
      <c r="L20" s="518"/>
      <c r="M20" s="518"/>
    </row>
    <row r="21" spans="1:15">
      <c r="A21" s="406">
        <f>'1-συμβολαια'!A22</f>
        <v>4615</v>
      </c>
      <c r="B21" s="92" t="str">
        <f>'1-συμβολαια'!C22</f>
        <v>δωρεά</v>
      </c>
      <c r="C21" s="369">
        <f>'1-συμβολαια'!D22</f>
        <v>16035.1</v>
      </c>
      <c r="D21" s="402"/>
      <c r="E21" s="403">
        <v>38399</v>
      </c>
      <c r="F21" s="92">
        <v>402</v>
      </c>
      <c r="G21" s="92">
        <v>79</v>
      </c>
      <c r="H21" s="92"/>
      <c r="I21" s="92"/>
      <c r="J21" s="92" t="s">
        <v>584</v>
      </c>
      <c r="K21" s="92"/>
      <c r="L21" s="92"/>
      <c r="M21" s="92"/>
    </row>
    <row r="22" spans="1:15">
      <c r="A22" s="406">
        <f>'1-συμβολαια'!A23</f>
        <v>0</v>
      </c>
      <c r="B22" s="92" t="str">
        <f>'1-συμβολαια'!C23</f>
        <v>ΧΡΗΣΙΚΤΗΣΙΑ οικοπέδου &amp; οικίας = 1935 πατρός ΔΩΡΕΑ άτυπη</v>
      </c>
      <c r="C22" s="369">
        <f>'1-συμβολαια'!D23</f>
        <v>6666</v>
      </c>
      <c r="D22" s="451"/>
      <c r="E22" s="480"/>
      <c r="F22" s="90"/>
      <c r="G22" s="90"/>
      <c r="H22" s="92"/>
      <c r="I22" s="92"/>
      <c r="J22" s="92"/>
      <c r="K22" s="92"/>
      <c r="L22" s="92"/>
      <c r="M22" s="92"/>
    </row>
    <row r="23" spans="1:15">
      <c r="A23" s="539">
        <f>'1-συμβολαια'!A24</f>
        <v>4616</v>
      </c>
      <c r="B23" s="92" t="str">
        <f>'1-συμβολαια'!C24</f>
        <v>δωρεά</v>
      </c>
      <c r="C23" s="369">
        <f>'1-συμβολαια'!D24</f>
        <v>9933.0499999999993</v>
      </c>
      <c r="D23" s="402"/>
      <c r="E23" s="403">
        <v>38435</v>
      </c>
      <c r="F23" s="92">
        <v>404</v>
      </c>
      <c r="G23" s="92">
        <v>21</v>
      </c>
      <c r="H23" s="92"/>
      <c r="I23" s="92"/>
      <c r="J23" s="92"/>
      <c r="K23" s="92"/>
      <c r="L23" s="92"/>
      <c r="M23" s="92"/>
    </row>
    <row r="24" spans="1:15">
      <c r="A24" s="539">
        <f>'1-συμβολαια'!A25</f>
        <v>0</v>
      </c>
      <c r="B24" s="92" t="str">
        <f>'1-συμβολαια'!C25</f>
        <v>ΧΡΗΣΙΚΤΗΣΙΑ αγροτεμαχίου = 1925 πατρός ΔΩΡΕΑ άτυπη</v>
      </c>
      <c r="C24" s="369">
        <f>'1-συμβολαια'!D25</f>
        <v>1111</v>
      </c>
      <c r="D24" s="369"/>
      <c r="E24" s="92"/>
      <c r="F24" s="92"/>
      <c r="G24" s="92"/>
      <c r="H24" s="92"/>
      <c r="I24" s="92"/>
      <c r="J24" s="92"/>
      <c r="K24" s="92"/>
      <c r="L24" s="92"/>
      <c r="M24" s="92"/>
      <c r="O24" s="3">
        <f>0.17*6</f>
        <v>1.02</v>
      </c>
    </row>
    <row r="25" spans="1:15">
      <c r="A25" s="539">
        <f>'1-συμβολαια'!A26</f>
        <v>0</v>
      </c>
      <c r="B25" s="92" t="str">
        <f>'1-συμβολαια'!C26</f>
        <v>ΧΡΗΣΙΚΤΗΣΙΑ αγροτεμαχίου (νυν οικόπεδο) = 1975 ΑΝΑΔΑΣΜΟΣ</v>
      </c>
      <c r="C25" s="369">
        <f>'1-συμβολαια'!D26</f>
        <v>3333</v>
      </c>
      <c r="D25" s="369"/>
      <c r="E25" s="92"/>
      <c r="F25" s="92"/>
      <c r="G25" s="92"/>
      <c r="H25" s="92"/>
      <c r="I25" s="92"/>
      <c r="J25" s="92"/>
      <c r="K25" s="92"/>
      <c r="L25" s="92"/>
      <c r="M25" s="92"/>
    </row>
    <row r="26" spans="1:15">
      <c r="A26" s="406">
        <f>'1-συμβολαια'!A27</f>
        <v>4617</v>
      </c>
      <c r="B26" s="92" t="str">
        <f>'1-συμβολαια'!C27</f>
        <v>προσύμφωνο μεταβιβάσεως ποσοστών οικοπέδου</v>
      </c>
      <c r="C26" s="369">
        <f>'1-συμβολαια'!D27</f>
        <v>0</v>
      </c>
      <c r="D26" s="369"/>
      <c r="E26" s="518"/>
      <c r="F26" s="518"/>
      <c r="G26" s="518"/>
      <c r="H26" s="518"/>
      <c r="I26" s="518"/>
      <c r="J26" s="518"/>
      <c r="K26" s="518"/>
      <c r="L26" s="518"/>
      <c r="M26" s="518"/>
    </row>
    <row r="27" spans="1:15">
      <c r="A27" s="406">
        <f>'1-συμβολαια'!A28</f>
        <v>0</v>
      </c>
      <c r="B27" s="92" t="str">
        <f>'1-συμβολαια'!C28</f>
        <v>εργολαβικό</v>
      </c>
      <c r="C27" s="369">
        <f>'1-συμβολαια'!D28</f>
        <v>200</v>
      </c>
      <c r="D27" s="369">
        <v>3</v>
      </c>
      <c r="E27" s="518"/>
      <c r="F27" s="518"/>
      <c r="G27" s="518"/>
      <c r="H27" s="518"/>
      <c r="I27" s="518"/>
      <c r="J27" s="518"/>
      <c r="K27" s="518"/>
      <c r="L27" s="518"/>
      <c r="M27" s="518"/>
    </row>
    <row r="28" spans="1:15">
      <c r="A28" s="224">
        <f>'1-συμβολαια'!A29</f>
        <v>4618</v>
      </c>
      <c r="B28" s="92" t="str">
        <f>'1-συμβολαια'!C29</f>
        <v>πληρεξούσιο</v>
      </c>
      <c r="C28" s="369">
        <f>'1-συμβολαια'!D29</f>
        <v>0</v>
      </c>
      <c r="D28" s="402"/>
      <c r="E28" s="518"/>
      <c r="F28" s="518"/>
      <c r="G28" s="518"/>
      <c r="H28" s="518"/>
      <c r="I28" s="518"/>
      <c r="J28" s="518"/>
      <c r="K28" s="518"/>
      <c r="L28" s="518"/>
      <c r="M28" s="518"/>
    </row>
    <row r="29" spans="1:15">
      <c r="A29" s="406">
        <f>'1-συμβολαια'!A30</f>
        <v>4619</v>
      </c>
      <c r="B29" s="92" t="str">
        <f>'1-συμβολαια'!C30</f>
        <v>αγοραπωλησίας ΠΡΟΣΥΜΦΩΝΟ τίμημα = αρραβών =</v>
      </c>
      <c r="C29" s="369">
        <f>'1-συμβολαια'!D30</f>
        <v>1800</v>
      </c>
      <c r="D29" s="402"/>
      <c r="E29" s="518"/>
      <c r="F29" s="518"/>
      <c r="G29" s="518"/>
      <c r="H29" s="518"/>
      <c r="I29" s="518"/>
      <c r="J29" s="518"/>
      <c r="K29" s="518"/>
      <c r="L29" s="518"/>
      <c r="M29" s="518"/>
    </row>
    <row r="30" spans="1:15">
      <c r="A30" s="406">
        <f>'1-συμβολαια'!A31</f>
        <v>0</v>
      </c>
      <c r="B30" s="92" t="str">
        <f>'1-συμβολαια'!C31</f>
        <v>ΧΡΗΣΙΚΤΗΣΙΑ αγροτεμαχίου = 1975 πατρός ΔΩΡΕΑ άτυπη</v>
      </c>
      <c r="C30" s="369">
        <f>'1-συμβολαια'!D31</f>
        <v>1111</v>
      </c>
      <c r="D30" s="369"/>
      <c r="E30" s="92"/>
      <c r="F30" s="92"/>
      <c r="G30" s="92"/>
      <c r="H30" s="92"/>
      <c r="I30" s="92"/>
      <c r="J30" s="92"/>
      <c r="K30" s="92"/>
      <c r="L30" s="92"/>
      <c r="M30" s="92"/>
    </row>
    <row r="31" spans="1:15">
      <c r="A31" s="553">
        <f>'1-συμβολαια'!A32</f>
        <v>4620</v>
      </c>
      <c r="B31" s="92" t="str">
        <f>'1-συμβολαια'!C32</f>
        <v>γονική</v>
      </c>
      <c r="C31" s="369">
        <f>'1-συμβολαια'!D32</f>
        <v>6285.73</v>
      </c>
      <c r="D31" s="554"/>
      <c r="E31" s="555"/>
      <c r="F31" s="555"/>
      <c r="G31" s="555"/>
      <c r="H31" s="555"/>
      <c r="I31" s="555"/>
      <c r="J31" s="555"/>
      <c r="K31" s="555"/>
      <c r="L31" s="555"/>
      <c r="M31" s="555"/>
    </row>
    <row r="32" spans="1:15">
      <c r="A32" s="539">
        <f>'1-συμβολαια'!A33</f>
        <v>0</v>
      </c>
      <c r="B32" s="92" t="str">
        <f>'1-συμβολαια'!C33</f>
        <v>κάθετος ΣΥΣΤΑΣΗ</v>
      </c>
      <c r="C32" s="369">
        <f>'1-συμβολαια'!D33</f>
        <v>0</v>
      </c>
      <c r="D32" s="369"/>
      <c r="E32" s="92"/>
      <c r="F32" s="92"/>
      <c r="G32" s="92"/>
      <c r="H32" s="92"/>
      <c r="I32" s="92"/>
      <c r="J32" s="92"/>
      <c r="K32" s="92"/>
      <c r="L32" s="92"/>
      <c r="M32" s="92"/>
    </row>
    <row r="33" spans="1:13">
      <c r="A33" s="539">
        <f>'1-συμβολαια'!A34</f>
        <v>0</v>
      </c>
      <c r="B33" s="92" t="str">
        <f>'1-συμβολαια'!C34</f>
        <v>ΧΡΗΣΙΚΤΗΣΙΑ αγροτεμαχίου (νυν οικόπεδο) = 19?? ΑΝΑΔΑΣΜΟΣ</v>
      </c>
      <c r="C33" s="369">
        <f>'1-συμβολαια'!D34</f>
        <v>3333</v>
      </c>
      <c r="D33" s="369"/>
      <c r="E33" s="92"/>
      <c r="F33" s="92"/>
      <c r="G33" s="92"/>
      <c r="H33" s="92"/>
      <c r="I33" s="92"/>
      <c r="J33" s="92"/>
      <c r="K33" s="92"/>
      <c r="L33" s="92"/>
      <c r="M33" s="92"/>
    </row>
    <row r="34" spans="1:13">
      <c r="A34" s="553">
        <f>'1-συμβολαια'!A35</f>
        <v>4621</v>
      </c>
      <c r="B34" s="92" t="str">
        <f>'1-συμβολαια'!C35</f>
        <v>γονική</v>
      </c>
      <c r="C34" s="369">
        <f>'1-συμβολαια'!D35</f>
        <v>30928.65</v>
      </c>
      <c r="D34" s="554"/>
      <c r="E34" s="555"/>
      <c r="F34" s="555"/>
      <c r="G34" s="555"/>
      <c r="H34" s="555"/>
      <c r="I34" s="555"/>
      <c r="J34" s="555"/>
      <c r="K34" s="555"/>
      <c r="L34" s="555"/>
      <c r="M34" s="555"/>
    </row>
    <row r="35" spans="1:13">
      <c r="A35" s="406">
        <f>'1-συμβολαια'!A36</f>
        <v>0</v>
      </c>
      <c r="B35" s="92" t="str">
        <f>'1-συμβολαια'!C36</f>
        <v>οριζόντιος ΣΥΣΤΑΣΗ</v>
      </c>
      <c r="C35" s="369">
        <f>'1-συμβολαια'!D36</f>
        <v>0</v>
      </c>
      <c r="D35" s="369"/>
      <c r="E35" s="92"/>
      <c r="F35" s="92"/>
      <c r="G35" s="92"/>
      <c r="H35" s="92"/>
      <c r="I35" s="92"/>
      <c r="J35" s="92"/>
      <c r="K35" s="92"/>
      <c r="L35" s="92"/>
      <c r="M35" s="92"/>
    </row>
    <row r="36" spans="1:13">
      <c r="A36" s="224">
        <f>'1-συμβολαια'!A37</f>
        <v>4622</v>
      </c>
      <c r="B36" s="92" t="str">
        <f>'1-συμβολαια'!C37</f>
        <v>πληρεξούσιο</v>
      </c>
      <c r="C36" s="369">
        <f>'1-συμβολαια'!D37</f>
        <v>0</v>
      </c>
      <c r="D36" s="402"/>
      <c r="E36" s="518"/>
      <c r="F36" s="518"/>
      <c r="G36" s="518"/>
      <c r="H36" s="518"/>
      <c r="I36" s="518"/>
      <c r="J36" s="518"/>
      <c r="K36" s="518"/>
      <c r="L36" s="518"/>
      <c r="M36" s="518"/>
    </row>
    <row r="37" spans="1:13">
      <c r="A37" s="224">
        <f>'1-συμβολαια'!A38</f>
        <v>4623</v>
      </c>
      <c r="B37" s="92" t="str">
        <f>'1-συμβολαια'!C38</f>
        <v>πληρεξούσιο</v>
      </c>
      <c r="C37" s="369">
        <f>'1-συμβολαια'!D38</f>
        <v>0</v>
      </c>
      <c r="D37" s="402"/>
      <c r="E37" s="518"/>
      <c r="F37" s="518"/>
      <c r="G37" s="518"/>
      <c r="H37" s="518"/>
      <c r="I37" s="518"/>
      <c r="J37" s="518"/>
      <c r="K37" s="518"/>
      <c r="L37" s="518"/>
      <c r="M37" s="518"/>
    </row>
    <row r="38" spans="1:13">
      <c r="A38" s="406">
        <f>'1-συμβολαια'!A39</f>
        <v>4624</v>
      </c>
      <c r="B38" s="92" t="str">
        <f>'1-συμβολαια'!C39</f>
        <v>*γονική ΨΙΛΗΣ ΚΥΡΙΟΤΗΤΑΣ</v>
      </c>
      <c r="C38" s="369">
        <f>'1-συμβολαια'!D39</f>
        <v>11558.2</v>
      </c>
      <c r="D38" s="369">
        <v>3</v>
      </c>
      <c r="E38" s="403">
        <v>38428</v>
      </c>
      <c r="F38" s="92">
        <v>403</v>
      </c>
      <c r="G38" s="92">
        <v>70</v>
      </c>
      <c r="H38" s="92"/>
      <c r="I38" s="92"/>
      <c r="J38" s="92"/>
      <c r="K38" s="92"/>
      <c r="L38" s="92"/>
      <c r="M38" s="92"/>
    </row>
    <row r="39" spans="1:13">
      <c r="A39" s="406">
        <f>'1-συμβολαια'!A40</f>
        <v>0</v>
      </c>
      <c r="B39" s="92" t="str">
        <f>'1-συμβολαια'!C40</f>
        <v>ΧΡΗΣΙΚΤΗΣΙΑ οικοπέδου = 1949 πατρός ΔΩΡΕΑ άτυπη</v>
      </c>
      <c r="C39" s="369">
        <f>'1-συμβολαια'!D40</f>
        <v>4444</v>
      </c>
      <c r="D39" s="369"/>
      <c r="E39" s="92"/>
      <c r="F39" s="92"/>
      <c r="G39" s="92"/>
      <c r="H39" s="92"/>
      <c r="I39" s="92"/>
      <c r="J39" s="92"/>
      <c r="K39" s="92"/>
      <c r="L39" s="92"/>
      <c r="M39" s="92"/>
    </row>
    <row r="40" spans="1:13">
      <c r="A40" s="406">
        <f>'1-συμβολαια'!A41</f>
        <v>0</v>
      </c>
      <c r="B40" s="92" t="str">
        <f>'1-συμβολαια'!C41</f>
        <v>ΧΡΗΣΙΚΤΗΣΙΑ αγροτεμαχίων = 1963 αγοραπωλησίας ΒΑΣΕΙ προσυμφώνου ΜΗ εκτελεσθέντος</v>
      </c>
      <c r="C40" s="369">
        <f>'1-συμβολαια'!D41</f>
        <v>1111</v>
      </c>
      <c r="D40" s="369"/>
      <c r="E40" s="92"/>
      <c r="F40" s="92"/>
      <c r="G40" s="92"/>
      <c r="H40" s="92"/>
      <c r="I40" s="92"/>
      <c r="J40" s="92"/>
      <c r="K40" s="92"/>
      <c r="L40" s="92"/>
      <c r="M40" s="92"/>
    </row>
    <row r="41" spans="1:13">
      <c r="A41" s="539">
        <f>'1-συμβολαια'!A42</f>
        <v>4625</v>
      </c>
      <c r="B41" s="92" t="str">
        <f>'1-συμβολαια'!C42</f>
        <v>*γονική ΨΙΛΗΣ ΚΥΡΙΟΤΗΤΑΣ</v>
      </c>
      <c r="C41" s="369">
        <f>'1-συμβολαια'!D42</f>
        <v>3061.77</v>
      </c>
      <c r="D41" s="369">
        <v>3</v>
      </c>
      <c r="E41" s="403">
        <v>38434</v>
      </c>
      <c r="F41" s="92">
        <v>403</v>
      </c>
      <c r="G41" s="92">
        <v>87</v>
      </c>
      <c r="H41" s="92"/>
      <c r="I41" s="92"/>
      <c r="J41" s="92"/>
      <c r="K41" s="92"/>
      <c r="L41" s="92"/>
      <c r="M41" s="92"/>
    </row>
    <row r="42" spans="1:13">
      <c r="A42" s="539">
        <f>'1-συμβολαια'!A43</f>
        <v>0</v>
      </c>
      <c r="B42" s="92" t="str">
        <f>'1-συμβολαια'!C43</f>
        <v>ΧΡΗΣΙΚΤΗΣΙΑ αγροτεμαχίου = 19?? πατρός ΔΩΡΕΑ άτυπη</v>
      </c>
      <c r="C42" s="369">
        <f>'1-συμβολαια'!D43</f>
        <v>1111</v>
      </c>
      <c r="D42" s="369"/>
      <c r="E42" s="92"/>
      <c r="F42" s="92"/>
      <c r="G42" s="92"/>
      <c r="H42" s="92"/>
      <c r="I42" s="92"/>
      <c r="J42" s="92"/>
      <c r="K42" s="92"/>
      <c r="L42" s="92"/>
      <c r="M42" s="92"/>
    </row>
    <row r="43" spans="1:13">
      <c r="A43" s="406">
        <f>'1-συμβολαια'!A44</f>
        <v>4626</v>
      </c>
      <c r="B43" s="92" t="str">
        <f>'1-συμβολαια'!C44</f>
        <v>*γονική ΨΙΛΗΣ ΚΥΡΙΟΤΗΤΑΣ</v>
      </c>
      <c r="C43" s="369">
        <f>'1-συμβολαια'!D44</f>
        <v>5079.72</v>
      </c>
      <c r="D43" s="369">
        <v>3</v>
      </c>
      <c r="E43" s="403">
        <v>43769</v>
      </c>
      <c r="F43" s="92">
        <v>614</v>
      </c>
      <c r="G43" s="92">
        <v>43</v>
      </c>
      <c r="H43" s="92"/>
      <c r="I43" s="92"/>
      <c r="J43" s="92"/>
      <c r="K43" s="92"/>
      <c r="L43" s="92"/>
      <c r="M43" s="571" t="s">
        <v>605</v>
      </c>
    </row>
    <row r="44" spans="1:13">
      <c r="A44" s="406">
        <f>'1-συμβολαια'!A45</f>
        <v>0</v>
      </c>
      <c r="B44" s="92" t="str">
        <f>'1-συμβολαια'!C45</f>
        <v>ΧΡΗΣΙΚΤΗΣΙΑ αγροτεμαχίου = 1979 ΑΝΑΔΑΣΜΟΣ</v>
      </c>
      <c r="C44" s="369">
        <f>'1-συμβολαια'!D45</f>
        <v>1111</v>
      </c>
      <c r="D44" s="369"/>
      <c r="E44" s="92"/>
      <c r="F44" s="92"/>
      <c r="G44" s="92"/>
      <c r="H44" s="92"/>
      <c r="I44" s="92"/>
      <c r="J44" s="92"/>
      <c r="K44" s="92"/>
      <c r="L44" s="92"/>
      <c r="M44" s="92"/>
    </row>
    <row r="45" spans="1:13">
      <c r="A45" s="406">
        <f>'1-συμβολαια'!A46</f>
        <v>0</v>
      </c>
      <c r="B45" s="92" t="str">
        <f>'1-συμβολαια'!C46</f>
        <v>ΧΡΗΣΙΚΤΗΣΙΑ αγροτεμαχίων = 1957 τακοΑναστασιο ΑΓΟΡΑΠΩΛΗΣΙΑ άτυπη</v>
      </c>
      <c r="C45" s="369">
        <f>'1-συμβολαια'!D46</f>
        <v>1111</v>
      </c>
      <c r="D45" s="369"/>
      <c r="E45" s="92"/>
      <c r="F45" s="92"/>
      <c r="G45" s="92"/>
      <c r="H45" s="92"/>
      <c r="I45" s="92"/>
      <c r="J45" s="92"/>
      <c r="K45" s="92"/>
      <c r="L45" s="92"/>
      <c r="M45" s="92"/>
    </row>
    <row r="46" spans="1:13">
      <c r="A46" s="539">
        <f>'1-συμβολαια'!A47</f>
        <v>4627</v>
      </c>
      <c r="B46" s="92" t="str">
        <f>'1-συμβολαια'!C47</f>
        <v>*δωρεά ΑΙΤΙΑ θανάτου</v>
      </c>
      <c r="C46" s="369">
        <f>'1-συμβολαια'!D47</f>
        <v>0</v>
      </c>
      <c r="D46" s="369">
        <v>0.5</v>
      </c>
      <c r="E46" s="484" t="s">
        <v>561</v>
      </c>
      <c r="F46" s="92"/>
      <c r="G46" s="92"/>
      <c r="H46" s="92"/>
      <c r="I46" s="92"/>
      <c r="J46" s="571" t="s">
        <v>603</v>
      </c>
      <c r="K46" s="92"/>
      <c r="L46" s="92"/>
      <c r="M46" s="92"/>
    </row>
    <row r="47" spans="1:13">
      <c r="A47" s="539">
        <f>'1-συμβολαια'!A48</f>
        <v>0</v>
      </c>
      <c r="B47" s="92" t="str">
        <f>'1-συμβολαια'!C48</f>
        <v>ΧΡΗΣΙΚΤΗΣΙΑ αγροτεμαχίου [νυν οικόπεδο ΜΕ οικοδομή] ] = 1970 ΑΝΑΔΑΣΜΟΣ</v>
      </c>
      <c r="C47" s="369">
        <f>'1-συμβολαια'!D48</f>
        <v>1111</v>
      </c>
      <c r="D47" s="369"/>
      <c r="E47" s="92"/>
      <c r="F47" s="92"/>
      <c r="G47" s="92"/>
      <c r="H47" s="92"/>
      <c r="I47" s="92"/>
      <c r="J47" s="92"/>
      <c r="K47" s="92"/>
      <c r="L47" s="92"/>
      <c r="M47" s="92"/>
    </row>
    <row r="48" spans="1:13">
      <c r="A48" s="539">
        <f>'1-συμβολαια'!A49</f>
        <v>0</v>
      </c>
      <c r="B48" s="92" t="str">
        <f>'1-συμβολαια'!C49</f>
        <v>*γονικής 1262  ΕΠΙΚΑΡΠΙΑ …  ΔΩΡΕΑ αιτία θανάτου</v>
      </c>
      <c r="C48" s="369">
        <f>'1-συμβολαια'!D49</f>
        <v>8888</v>
      </c>
      <c r="D48" s="369"/>
      <c r="E48" s="92"/>
      <c r="F48" s="92"/>
      <c r="G48" s="92"/>
      <c r="H48" s="92"/>
      <c r="I48" s="92"/>
      <c r="J48" s="92"/>
      <c r="K48" s="92"/>
      <c r="L48" s="92"/>
      <c r="M48" s="92"/>
    </row>
    <row r="49" spans="1:13">
      <c r="A49" s="224">
        <f>'1-συμβολαια'!A50</f>
        <v>4628</v>
      </c>
      <c r="B49" s="92" t="str">
        <f>'1-συμβολαια'!C50</f>
        <v>πληρεξούσιο</v>
      </c>
      <c r="C49" s="369">
        <f>'1-συμβολαια'!D50</f>
        <v>0</v>
      </c>
      <c r="D49" s="402"/>
      <c r="E49" s="518"/>
      <c r="F49" s="518"/>
      <c r="G49" s="518"/>
      <c r="H49" s="518"/>
      <c r="I49" s="518"/>
      <c r="J49" s="518"/>
      <c r="K49" s="518"/>
      <c r="L49" s="518"/>
      <c r="M49" s="518"/>
    </row>
    <row r="50" spans="1:13">
      <c r="A50" s="406">
        <f>'1-συμβολαια'!A51</f>
        <v>4629</v>
      </c>
      <c r="B50" s="92" t="str">
        <f>'1-συμβολαια'!C51</f>
        <v>κληρονομιάς ΑΠΟΔΟΧΗ</v>
      </c>
      <c r="C50" s="369">
        <f>'1-συμβολαια'!D51</f>
        <v>0</v>
      </c>
      <c r="D50" s="402"/>
      <c r="E50" s="484" t="s">
        <v>561</v>
      </c>
      <c r="F50" s="92"/>
      <c r="G50" s="92"/>
      <c r="H50" s="92"/>
      <c r="I50" s="92"/>
      <c r="J50" s="92"/>
      <c r="K50" s="92"/>
      <c r="L50" s="92"/>
      <c r="M50" s="92"/>
    </row>
    <row r="51" spans="1:13">
      <c r="A51" s="406">
        <f>'1-συμβολαια'!A52</f>
        <v>0</v>
      </c>
      <c r="B51" s="92" t="str">
        <f>'1-συμβολαια'!C52</f>
        <v>ΧΡΗΣΙΚΤΗΣΙΑ αγροτεμαχίου = 1980 πατρός ΚΛΗΡΟΝΟΜΙΑ άτυπη</v>
      </c>
      <c r="C51" s="369">
        <f>'1-συμβολαια'!D52</f>
        <v>1111</v>
      </c>
      <c r="D51" s="369"/>
      <c r="E51" s="92"/>
      <c r="F51" s="92"/>
      <c r="G51" s="92"/>
      <c r="H51" s="92"/>
      <c r="I51" s="92"/>
      <c r="J51" s="92"/>
      <c r="K51" s="92"/>
      <c r="L51" s="92"/>
      <c r="M51" s="92"/>
    </row>
    <row r="52" spans="1:13">
      <c r="A52" s="406">
        <f>'1-συμβολαια'!A53</f>
        <v>0</v>
      </c>
      <c r="B52" s="92" t="str">
        <f>'1-συμβολαια'!C53</f>
        <v>ΧΡΗΣΙΚΤΗΣΙΑ αγροτεμαχίου = 1980 ΔΙΑΝΟΜΗ άτυπη</v>
      </c>
      <c r="C52" s="369">
        <f>'1-συμβολαια'!D53</f>
        <v>11</v>
      </c>
      <c r="D52" s="369"/>
      <c r="E52" s="92"/>
      <c r="F52" s="92"/>
      <c r="G52" s="92"/>
      <c r="H52" s="92"/>
      <c r="I52" s="92"/>
      <c r="J52" s="92"/>
      <c r="K52" s="92"/>
      <c r="L52" s="92"/>
      <c r="M52" s="92"/>
    </row>
    <row r="53" spans="1:13">
      <c r="A53" s="539">
        <f>'1-συμβολαια'!A54</f>
        <v>4630</v>
      </c>
      <c r="B53" s="92" t="str">
        <f>'1-συμβολαια'!C54</f>
        <v xml:space="preserve">αγοραπωλησίας ΠΡΟΣΥΜΦΩΝΟ τίμημα = αρραβών = </v>
      </c>
      <c r="C53" s="369">
        <f>'1-συμβολαια'!D54</f>
        <v>8804.1</v>
      </c>
      <c r="D53" s="402"/>
      <c r="E53" s="518"/>
      <c r="F53" s="518"/>
      <c r="G53" s="518"/>
      <c r="H53" s="518"/>
      <c r="I53" s="518"/>
      <c r="J53" s="518"/>
      <c r="K53" s="518"/>
      <c r="L53" s="518"/>
      <c r="M53" s="518"/>
    </row>
    <row r="54" spans="1:13">
      <c r="A54" s="539">
        <f>'1-συμβολαια'!A55</f>
        <v>0</v>
      </c>
      <c r="B54" s="92" t="str">
        <f>'1-συμβολαια'!C55</f>
        <v>ΧΡΗΣΙΚΤΗΣΙΑ αγροτεμαχίου = 1970 συζύγου ΔΩΡΕΑ άτυπη</v>
      </c>
      <c r="C54" s="369">
        <f>'1-συμβολαια'!D55</f>
        <v>5555</v>
      </c>
      <c r="D54" s="402"/>
      <c r="E54" s="518"/>
      <c r="F54" s="518"/>
      <c r="G54" s="518"/>
      <c r="H54" s="518"/>
      <c r="I54" s="518"/>
      <c r="J54" s="518"/>
      <c r="K54" s="518"/>
      <c r="L54" s="518"/>
      <c r="M54" s="518"/>
    </row>
    <row r="55" spans="1:13">
      <c r="A55" s="224">
        <f>'1-συμβολαια'!A56</f>
        <v>4631</v>
      </c>
      <c r="B55" s="92" t="str">
        <f>'1-συμβολαια'!C56</f>
        <v>αγοραπωλησίας 4.191 ΕΞΟΦΛΗΣΗ</v>
      </c>
      <c r="C55" s="369">
        <f>'1-συμβολαια'!D56</f>
        <v>0</v>
      </c>
      <c r="D55" s="369"/>
      <c r="E55" s="92"/>
      <c r="F55" s="92"/>
      <c r="G55" s="92"/>
      <c r="H55" s="92"/>
      <c r="I55" s="92"/>
      <c r="J55" s="92"/>
      <c r="K55" s="92"/>
      <c r="L55" s="92"/>
      <c r="M55" s="92"/>
    </row>
    <row r="56" spans="1:13">
      <c r="A56" s="224"/>
      <c r="B56" s="92"/>
      <c r="C56" s="369"/>
      <c r="D56" s="369"/>
      <c r="E56" s="92"/>
      <c r="F56" s="92"/>
      <c r="G56" s="92"/>
      <c r="H56" s="92"/>
      <c r="I56" s="92"/>
      <c r="J56" s="92"/>
      <c r="K56" s="92"/>
      <c r="L56" s="92"/>
      <c r="M56" s="92"/>
    </row>
    <row r="57" spans="1:13">
      <c r="A57" s="224"/>
      <c r="B57" s="92"/>
      <c r="C57" s="369"/>
      <c r="D57" s="369"/>
      <c r="E57" s="92"/>
      <c r="F57" s="92"/>
      <c r="G57" s="92"/>
      <c r="H57" s="92"/>
      <c r="I57" s="92"/>
      <c r="J57" s="92"/>
      <c r="K57" s="92"/>
      <c r="L57" s="92"/>
      <c r="M57" s="92"/>
    </row>
    <row r="58" spans="1:13">
      <c r="A58" s="607" t="str">
        <f>'1-συμβολαια'!A59</f>
        <v>σύνολο</v>
      </c>
      <c r="B58" s="608"/>
      <c r="C58" s="609"/>
      <c r="D58" s="369">
        <f>SUM(D2:D57)</f>
        <v>12.5</v>
      </c>
    </row>
    <row r="60" spans="1:13">
      <c r="C60" s="2" t="s">
        <v>430</v>
      </c>
      <c r="D60" s="2">
        <v>10</v>
      </c>
    </row>
    <row r="68" spans="3:4">
      <c r="C68" s="4"/>
      <c r="D68" s="5"/>
    </row>
    <row r="69" spans="3:4">
      <c r="C69" s="4"/>
      <c r="D69" s="5"/>
    </row>
    <row r="70" spans="3:4">
      <c r="C70" s="4"/>
      <c r="D70" s="5"/>
    </row>
    <row r="71" spans="3:4">
      <c r="C71" s="255" t="s">
        <v>613</v>
      </c>
      <c r="D71" s="5"/>
    </row>
    <row r="72" spans="3:4">
      <c r="C72" s="254" t="s">
        <v>614</v>
      </c>
      <c r="D72" s="5"/>
    </row>
    <row r="73" spans="3:4">
      <c r="C73" s="4"/>
      <c r="D73" s="5"/>
    </row>
    <row r="74" spans="3:4">
      <c r="D74" s="5"/>
    </row>
    <row r="75" spans="3:4">
      <c r="D75" s="5"/>
    </row>
    <row r="76" spans="3:4">
      <c r="D76" s="5"/>
    </row>
    <row r="77" spans="3:4">
      <c r="D77" s="5"/>
    </row>
    <row r="78" spans="3:4">
      <c r="D78" s="5"/>
    </row>
    <row r="79" spans="3:4">
      <c r="D79" s="5"/>
    </row>
    <row r="80" spans="3:4">
      <c r="D80" s="5"/>
    </row>
    <row r="81" spans="4:4">
      <c r="D81" s="5"/>
    </row>
  </sheetData>
  <mergeCells count="3">
    <mergeCell ref="A58:C58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BM61"/>
  <sheetViews>
    <sheetView workbookViewId="0">
      <pane ySplit="2" topLeftCell="A35" activePane="bottomLeft" state="frozen"/>
      <selection pane="bottomLeft" activeCell="C65" sqref="C65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22" customFormat="1" ht="32.25" customHeight="1">
      <c r="A1" s="842" t="s">
        <v>31</v>
      </c>
      <c r="B1" s="843"/>
      <c r="C1" s="843"/>
      <c r="D1" s="843"/>
      <c r="E1" s="844"/>
      <c r="F1" s="845" t="s">
        <v>319</v>
      </c>
      <c r="G1" s="846"/>
      <c r="H1" s="846"/>
      <c r="I1" s="847"/>
      <c r="J1" s="838" t="s">
        <v>320</v>
      </c>
      <c r="K1" s="839"/>
      <c r="L1" s="839"/>
      <c r="M1" s="839"/>
      <c r="N1" s="839"/>
      <c r="O1" s="839"/>
      <c r="P1" s="839"/>
      <c r="Q1" s="839"/>
      <c r="R1" s="839"/>
      <c r="S1" s="839"/>
      <c r="T1" s="839"/>
      <c r="U1" s="839"/>
      <c r="V1" s="839"/>
      <c r="W1" s="839"/>
      <c r="X1" s="839"/>
      <c r="Y1" s="840"/>
      <c r="Z1" s="848" t="s">
        <v>321</v>
      </c>
      <c r="AA1" s="849"/>
      <c r="AB1" s="849"/>
      <c r="AC1" s="850"/>
      <c r="AD1" s="838" t="s">
        <v>322</v>
      </c>
      <c r="AE1" s="839"/>
      <c r="AF1" s="839"/>
      <c r="AG1" s="839"/>
      <c r="AH1" s="839"/>
      <c r="AI1" s="839"/>
      <c r="AJ1" s="839"/>
      <c r="AK1" s="839"/>
      <c r="AL1" s="839"/>
      <c r="AM1" s="839"/>
      <c r="AN1" s="839"/>
      <c r="AO1" s="839"/>
      <c r="AP1" s="839"/>
      <c r="AQ1" s="839"/>
      <c r="AR1" s="839"/>
      <c r="AS1" s="840"/>
      <c r="AT1" s="845" t="s">
        <v>323</v>
      </c>
      <c r="AU1" s="846"/>
      <c r="AV1" s="846"/>
      <c r="AW1" s="847"/>
      <c r="AX1" s="838" t="s">
        <v>324</v>
      </c>
      <c r="AY1" s="839"/>
      <c r="AZ1" s="839"/>
      <c r="BA1" s="839"/>
      <c r="BB1" s="839"/>
      <c r="BC1" s="839"/>
      <c r="BD1" s="839"/>
      <c r="BE1" s="839"/>
      <c r="BF1" s="839"/>
      <c r="BG1" s="839"/>
      <c r="BH1" s="839"/>
      <c r="BI1" s="839"/>
      <c r="BJ1" s="839"/>
      <c r="BK1" s="839"/>
      <c r="BL1" s="839"/>
      <c r="BM1" s="840"/>
    </row>
    <row r="2" spans="1:65" s="4" customFormat="1" ht="23.25" customHeight="1">
      <c r="A2" s="214" t="s">
        <v>19</v>
      </c>
      <c r="B2" s="214" t="s">
        <v>325</v>
      </c>
      <c r="C2" s="215" t="s">
        <v>326</v>
      </c>
      <c r="D2" s="605" t="s">
        <v>29</v>
      </c>
      <c r="E2" s="796"/>
      <c r="F2" s="216" t="s">
        <v>327</v>
      </c>
      <c r="G2" s="214" t="s">
        <v>18</v>
      </c>
      <c r="H2" s="216" t="s">
        <v>23</v>
      </c>
      <c r="I2" s="217" t="s">
        <v>91</v>
      </c>
      <c r="J2" s="218" t="s">
        <v>328</v>
      </c>
      <c r="K2" s="218" t="s">
        <v>329</v>
      </c>
      <c r="L2" s="216" t="s">
        <v>330</v>
      </c>
      <c r="M2" s="216" t="s">
        <v>331</v>
      </c>
      <c r="N2" s="216" t="s">
        <v>332</v>
      </c>
      <c r="O2" s="216" t="s">
        <v>333</v>
      </c>
      <c r="P2" s="216" t="s">
        <v>334</v>
      </c>
      <c r="Q2" s="216" t="s">
        <v>335</v>
      </c>
      <c r="R2" s="216" t="s">
        <v>336</v>
      </c>
      <c r="S2" s="216" t="s">
        <v>337</v>
      </c>
      <c r="T2" s="216" t="s">
        <v>338</v>
      </c>
      <c r="U2" s="216" t="s">
        <v>23</v>
      </c>
      <c r="V2" s="216" t="s">
        <v>339</v>
      </c>
      <c r="W2" s="216" t="s">
        <v>340</v>
      </c>
      <c r="X2" s="216" t="s">
        <v>341</v>
      </c>
      <c r="Y2" s="219" t="s">
        <v>342</v>
      </c>
      <c r="Z2" s="216" t="s">
        <v>327</v>
      </c>
      <c r="AA2" s="214" t="s">
        <v>18</v>
      </c>
      <c r="AB2" s="216" t="s">
        <v>23</v>
      </c>
      <c r="AC2" s="220" t="s">
        <v>91</v>
      </c>
      <c r="AD2" s="218" t="s">
        <v>328</v>
      </c>
      <c r="AE2" s="218" t="s">
        <v>329</v>
      </c>
      <c r="AF2" s="216" t="s">
        <v>330</v>
      </c>
      <c r="AG2" s="216" t="s">
        <v>331</v>
      </c>
      <c r="AH2" s="216" t="s">
        <v>332</v>
      </c>
      <c r="AI2" s="216" t="s">
        <v>333</v>
      </c>
      <c r="AJ2" s="216" t="s">
        <v>334</v>
      </c>
      <c r="AK2" s="216" t="s">
        <v>335</v>
      </c>
      <c r="AL2" s="216" t="s">
        <v>336</v>
      </c>
      <c r="AM2" s="216" t="s">
        <v>337</v>
      </c>
      <c r="AN2" s="216" t="s">
        <v>338</v>
      </c>
      <c r="AO2" s="216" t="s">
        <v>23</v>
      </c>
      <c r="AP2" s="216" t="s">
        <v>339</v>
      </c>
      <c r="AQ2" s="216" t="s">
        <v>340</v>
      </c>
      <c r="AR2" s="216" t="s">
        <v>341</v>
      </c>
      <c r="AS2" s="219" t="s">
        <v>342</v>
      </c>
      <c r="AT2" s="216" t="s">
        <v>327</v>
      </c>
      <c r="AU2" s="214" t="s">
        <v>18</v>
      </c>
      <c r="AV2" s="216" t="s">
        <v>23</v>
      </c>
      <c r="AW2" s="217" t="s">
        <v>91</v>
      </c>
      <c r="AX2" s="218" t="s">
        <v>328</v>
      </c>
      <c r="AY2" s="218" t="s">
        <v>329</v>
      </c>
      <c r="AZ2" s="216" t="s">
        <v>330</v>
      </c>
      <c r="BA2" s="216" t="s">
        <v>331</v>
      </c>
      <c r="BB2" s="216" t="s">
        <v>332</v>
      </c>
      <c r="BC2" s="216" t="s">
        <v>333</v>
      </c>
      <c r="BD2" s="216" t="s">
        <v>334</v>
      </c>
      <c r="BE2" s="216" t="s">
        <v>335</v>
      </c>
      <c r="BF2" s="216" t="s">
        <v>336</v>
      </c>
      <c r="BG2" s="216" t="s">
        <v>337</v>
      </c>
      <c r="BH2" s="216" t="s">
        <v>338</v>
      </c>
      <c r="BI2" s="216" t="s">
        <v>23</v>
      </c>
      <c r="BJ2" s="216" t="s">
        <v>339</v>
      </c>
      <c r="BK2" s="216" t="s">
        <v>340</v>
      </c>
      <c r="BL2" s="216" t="s">
        <v>343</v>
      </c>
      <c r="BM2" s="219" t="s">
        <v>342</v>
      </c>
    </row>
    <row r="3" spans="1:65" s="36" customFormat="1">
      <c r="A3" s="32">
        <f>'1-συμβολαια'!A3</f>
        <v>4600</v>
      </c>
      <c r="B3" s="16">
        <f>'4-πολλυπρ'!D3</f>
        <v>0</v>
      </c>
      <c r="C3" s="16">
        <f>'4-πολλυπρ'!I3</f>
        <v>0</v>
      </c>
      <c r="D3" s="34"/>
      <c r="E3" s="32"/>
      <c r="F3" s="32"/>
      <c r="G3" s="33"/>
      <c r="H3" s="32"/>
      <c r="I3" s="32"/>
      <c r="J3" s="32"/>
      <c r="K3" s="170" t="s">
        <v>344</v>
      </c>
      <c r="L3" s="35"/>
      <c r="M3" s="35"/>
      <c r="N3" s="35"/>
      <c r="O3" s="35"/>
      <c r="P3" s="35"/>
      <c r="Q3" s="35"/>
      <c r="R3" s="35"/>
      <c r="S3" s="35"/>
      <c r="T3" s="35"/>
      <c r="U3" s="32"/>
      <c r="V3" s="33"/>
      <c r="W3" s="33"/>
      <c r="X3" s="35"/>
      <c r="Y3" s="35"/>
      <c r="Z3" s="32"/>
      <c r="AA3" s="35"/>
      <c r="AB3" s="32"/>
      <c r="AC3" s="35"/>
      <c r="AD3" s="32"/>
      <c r="AE3" s="221" t="s">
        <v>344</v>
      </c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2"/>
      <c r="AU3" s="35"/>
      <c r="AV3" s="32"/>
      <c r="AW3" s="35"/>
      <c r="AX3" s="32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2"/>
      <c r="BJ3" s="35"/>
      <c r="BK3" s="35"/>
      <c r="BL3" s="35"/>
      <c r="BM3" s="35"/>
    </row>
    <row r="4" spans="1:65" s="36" customFormat="1">
      <c r="A4" s="32">
        <f>'1-συμβολαια'!A4</f>
        <v>0</v>
      </c>
      <c r="B4" s="16">
        <f>'4-πολλυπρ'!D4</f>
        <v>0</v>
      </c>
      <c r="C4" s="16">
        <f>'4-πολλυπρ'!I4</f>
        <v>0</v>
      </c>
      <c r="D4" s="34"/>
      <c r="E4" s="32"/>
      <c r="F4" s="32"/>
      <c r="G4" s="33"/>
      <c r="H4" s="32"/>
      <c r="I4" s="32"/>
      <c r="J4" s="32"/>
      <c r="K4" s="170" t="s">
        <v>344</v>
      </c>
      <c r="L4" s="35"/>
      <c r="M4" s="35"/>
      <c r="N4" s="35"/>
      <c r="O4" s="35"/>
      <c r="P4" s="35"/>
      <c r="Q4" s="35"/>
      <c r="R4" s="35"/>
      <c r="S4" s="35"/>
      <c r="T4" s="35"/>
      <c r="U4" s="32"/>
      <c r="V4" s="33"/>
      <c r="W4" s="33"/>
      <c r="X4" s="35"/>
      <c r="Y4" s="35"/>
      <c r="Z4" s="32"/>
      <c r="AA4" s="35"/>
      <c r="AB4" s="32"/>
      <c r="AC4" s="35"/>
      <c r="AD4" s="32"/>
      <c r="AE4" s="221" t="s">
        <v>344</v>
      </c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2"/>
      <c r="AU4" s="35"/>
      <c r="AV4" s="32"/>
      <c r="AW4" s="35"/>
      <c r="AX4" s="32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2"/>
      <c r="BJ4" s="33"/>
      <c r="BK4" s="35"/>
      <c r="BL4" s="35"/>
      <c r="BM4" s="35"/>
    </row>
    <row r="5" spans="1:65" s="36" customFormat="1">
      <c r="A5" s="32">
        <f>'1-συμβολαια'!A5</f>
        <v>4601</v>
      </c>
      <c r="B5" s="16">
        <f>'4-πολλυπρ'!D5</f>
        <v>0</v>
      </c>
      <c r="C5" s="16">
        <f>'4-πολλυπρ'!I5</f>
        <v>0</v>
      </c>
      <c r="D5" s="34"/>
      <c r="E5" s="32"/>
      <c r="F5" s="32"/>
      <c r="G5" s="33"/>
      <c r="H5" s="32"/>
      <c r="I5" s="32"/>
      <c r="J5" s="32"/>
      <c r="K5" s="170" t="s">
        <v>344</v>
      </c>
      <c r="L5" s="35"/>
      <c r="M5" s="35"/>
      <c r="N5" s="35"/>
      <c r="O5" s="35"/>
      <c r="P5" s="35"/>
      <c r="Q5" s="35"/>
      <c r="R5" s="35"/>
      <c r="S5" s="35"/>
      <c r="T5" s="35"/>
      <c r="U5" s="32"/>
      <c r="V5" s="33"/>
      <c r="W5" s="33"/>
      <c r="X5" s="35"/>
      <c r="Y5" s="35"/>
      <c r="Z5" s="32"/>
      <c r="AA5" s="35"/>
      <c r="AB5" s="32"/>
      <c r="AC5" s="35"/>
      <c r="AD5" s="32"/>
      <c r="AE5" s="221" t="s">
        <v>344</v>
      </c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2"/>
      <c r="AU5" s="35"/>
      <c r="AV5" s="32"/>
      <c r="AW5" s="35"/>
      <c r="AX5" s="32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2"/>
      <c r="BJ5" s="35"/>
      <c r="BK5" s="35"/>
      <c r="BL5" s="35"/>
      <c r="BM5" s="35"/>
    </row>
    <row r="6" spans="1:65" s="36" customFormat="1">
      <c r="A6" s="32">
        <f>'1-συμβολαια'!A6</f>
        <v>4602</v>
      </c>
      <c r="B6" s="16">
        <f>'4-πολλυπρ'!D6</f>
        <v>0</v>
      </c>
      <c r="C6" s="16">
        <f>'4-πολλυπρ'!I6</f>
        <v>0</v>
      </c>
      <c r="D6" s="34"/>
      <c r="E6" s="32"/>
      <c r="F6" s="32"/>
      <c r="G6" s="33"/>
      <c r="H6" s="32"/>
      <c r="I6" s="32"/>
      <c r="J6" s="32"/>
      <c r="K6" s="170" t="s">
        <v>344</v>
      </c>
      <c r="L6" s="35"/>
      <c r="M6" s="35"/>
      <c r="N6" s="35"/>
      <c r="O6" s="35"/>
      <c r="P6" s="35"/>
      <c r="Q6" s="35"/>
      <c r="R6" s="35"/>
      <c r="S6" s="35"/>
      <c r="T6" s="35"/>
      <c r="U6" s="32"/>
      <c r="V6" s="33"/>
      <c r="W6" s="33"/>
      <c r="X6" s="35"/>
      <c r="Y6" s="35"/>
      <c r="Z6" s="32"/>
      <c r="AA6" s="35"/>
      <c r="AB6" s="32"/>
      <c r="AC6" s="35"/>
      <c r="AD6" s="32"/>
      <c r="AE6" s="221" t="s">
        <v>344</v>
      </c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2"/>
      <c r="AU6" s="35"/>
      <c r="AV6" s="32"/>
      <c r="AW6" s="35"/>
      <c r="AX6" s="32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2"/>
      <c r="BJ6" s="35"/>
      <c r="BK6" s="35"/>
      <c r="BL6" s="35"/>
      <c r="BM6" s="35"/>
    </row>
    <row r="7" spans="1:65" s="36" customFormat="1">
      <c r="A7" s="32">
        <f>'1-συμβολαια'!A7</f>
        <v>0</v>
      </c>
      <c r="B7" s="16">
        <f>'4-πολλυπρ'!D7</f>
        <v>0</v>
      </c>
      <c r="C7" s="16">
        <f>'4-πολλυπρ'!I7</f>
        <v>0</v>
      </c>
      <c r="D7" s="34"/>
      <c r="E7" s="32"/>
      <c r="F7" s="32"/>
      <c r="G7" s="33"/>
      <c r="H7" s="32"/>
      <c r="I7" s="32"/>
      <c r="J7" s="32"/>
      <c r="K7" s="170" t="s">
        <v>344</v>
      </c>
      <c r="L7" s="35"/>
      <c r="M7" s="35"/>
      <c r="N7" s="35"/>
      <c r="O7" s="35"/>
      <c r="P7" s="35"/>
      <c r="Q7" s="35"/>
      <c r="R7" s="35"/>
      <c r="S7" s="35"/>
      <c r="T7" s="35"/>
      <c r="U7" s="32"/>
      <c r="V7" s="33"/>
      <c r="W7" s="33"/>
      <c r="X7" s="35"/>
      <c r="Y7" s="35"/>
      <c r="Z7" s="32"/>
      <c r="AA7" s="35"/>
      <c r="AB7" s="32"/>
      <c r="AC7" s="35"/>
      <c r="AD7" s="32"/>
      <c r="AE7" s="221" t="s">
        <v>344</v>
      </c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2"/>
      <c r="AU7" s="35"/>
      <c r="AV7" s="32"/>
      <c r="AW7" s="35"/>
      <c r="AX7" s="32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2"/>
      <c r="BJ7" s="35"/>
      <c r="BK7" s="35"/>
      <c r="BL7" s="35"/>
      <c r="BM7" s="35"/>
    </row>
    <row r="8" spans="1:65" s="36" customFormat="1">
      <c r="A8" s="32">
        <f>'1-συμβολαια'!A8</f>
        <v>4603</v>
      </c>
      <c r="B8" s="16">
        <f>'4-πολλυπρ'!D8</f>
        <v>0</v>
      </c>
      <c r="C8" s="16">
        <f>'4-πολλυπρ'!I8</f>
        <v>0</v>
      </c>
      <c r="D8" s="34"/>
      <c r="E8" s="32"/>
      <c r="F8" s="32"/>
      <c r="G8" s="33"/>
      <c r="H8" s="32"/>
      <c r="I8" s="32"/>
      <c r="J8" s="32"/>
      <c r="K8" s="170" t="s">
        <v>344</v>
      </c>
      <c r="L8" s="35"/>
      <c r="M8" s="35"/>
      <c r="N8" s="35"/>
      <c r="O8" s="35"/>
      <c r="P8" s="35"/>
      <c r="Q8" s="35"/>
      <c r="R8" s="35"/>
      <c r="S8" s="35"/>
      <c r="T8" s="35"/>
      <c r="U8" s="32"/>
      <c r="V8" s="33"/>
      <c r="W8" s="33"/>
      <c r="X8" s="35"/>
      <c r="Y8" s="35"/>
      <c r="Z8" s="32"/>
      <c r="AA8" s="35"/>
      <c r="AB8" s="32"/>
      <c r="AC8" s="35"/>
      <c r="AD8" s="32"/>
      <c r="AE8" s="221" t="s">
        <v>344</v>
      </c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2"/>
      <c r="AU8" s="35"/>
      <c r="AV8" s="32"/>
      <c r="AW8" s="35"/>
      <c r="AX8" s="32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2"/>
      <c r="BJ8" s="35"/>
      <c r="BK8" s="35"/>
      <c r="BL8" s="35"/>
      <c r="BM8" s="35"/>
    </row>
    <row r="9" spans="1:65" s="36" customFormat="1">
      <c r="A9" s="32">
        <f>'1-συμβολαια'!A9</f>
        <v>4604</v>
      </c>
      <c r="B9" s="16">
        <f>'4-πολλυπρ'!D9</f>
        <v>0</v>
      </c>
      <c r="C9" s="16">
        <f>'4-πολλυπρ'!I9</f>
        <v>0</v>
      </c>
      <c r="D9" s="34"/>
      <c r="E9" s="32"/>
      <c r="F9" s="32"/>
      <c r="G9" s="33"/>
      <c r="H9" s="32"/>
      <c r="I9" s="32"/>
      <c r="J9" s="32"/>
      <c r="K9" s="170" t="s">
        <v>344</v>
      </c>
      <c r="L9" s="35"/>
      <c r="M9" s="35"/>
      <c r="N9" s="35"/>
      <c r="O9" s="35"/>
      <c r="P9" s="35"/>
      <c r="Q9" s="35"/>
      <c r="R9" s="35"/>
      <c r="S9" s="35"/>
      <c r="T9" s="35"/>
      <c r="U9" s="32"/>
      <c r="V9" s="33"/>
      <c r="W9" s="33"/>
      <c r="X9" s="35"/>
      <c r="Y9" s="35"/>
      <c r="Z9" s="32"/>
      <c r="AA9" s="35"/>
      <c r="AB9" s="32"/>
      <c r="AC9" s="35"/>
      <c r="AD9" s="32"/>
      <c r="AE9" s="221" t="s">
        <v>344</v>
      </c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3"/>
      <c r="AQ9" s="35"/>
      <c r="AR9" s="35"/>
      <c r="AS9" s="35"/>
      <c r="AT9" s="32"/>
      <c r="AU9" s="35"/>
      <c r="AV9" s="32"/>
      <c r="AW9" s="35"/>
      <c r="AX9" s="32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2"/>
      <c r="BJ9" s="35"/>
      <c r="BK9" s="35"/>
      <c r="BL9" s="35"/>
      <c r="BM9" s="35"/>
    </row>
    <row r="10" spans="1:65" s="36" customFormat="1">
      <c r="A10" s="32">
        <f>'1-συμβολαια'!A10</f>
        <v>4605</v>
      </c>
      <c r="B10" s="16">
        <f>'4-πολλυπρ'!D10</f>
        <v>0</v>
      </c>
      <c r="C10" s="16">
        <f>'4-πολλυπρ'!I10</f>
        <v>0</v>
      </c>
      <c r="D10" s="34"/>
      <c r="E10" s="32"/>
      <c r="F10" s="32"/>
      <c r="G10" s="33"/>
      <c r="H10" s="32"/>
      <c r="I10" s="32"/>
      <c r="J10" s="32"/>
      <c r="K10" s="170" t="s">
        <v>344</v>
      </c>
      <c r="L10" s="35"/>
      <c r="M10" s="35"/>
      <c r="N10" s="35"/>
      <c r="O10" s="35"/>
      <c r="P10" s="35"/>
      <c r="Q10" s="35"/>
      <c r="R10" s="35"/>
      <c r="S10" s="35"/>
      <c r="T10" s="35"/>
      <c r="U10" s="32"/>
      <c r="V10" s="33"/>
      <c r="W10" s="33"/>
      <c r="X10" s="35"/>
      <c r="Y10" s="35"/>
      <c r="Z10" s="32"/>
      <c r="AA10" s="35"/>
      <c r="AB10" s="32"/>
      <c r="AC10" s="35"/>
      <c r="AD10" s="32"/>
      <c r="AE10" s="221" t="s">
        <v>344</v>
      </c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2"/>
      <c r="AU10" s="35"/>
      <c r="AV10" s="32"/>
      <c r="AW10" s="35"/>
      <c r="AX10" s="32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2"/>
      <c r="BJ10" s="35"/>
      <c r="BK10" s="35"/>
      <c r="BL10" s="35"/>
      <c r="BM10" s="35"/>
    </row>
    <row r="11" spans="1:65" s="36" customFormat="1">
      <c r="A11" s="32">
        <f>'1-συμβολαια'!A11</f>
        <v>4606</v>
      </c>
      <c r="B11" s="16">
        <f>'4-πολλυπρ'!D11</f>
        <v>0</v>
      </c>
      <c r="C11" s="16">
        <f>'4-πολλυπρ'!I11</f>
        <v>0</v>
      </c>
      <c r="D11" s="34"/>
      <c r="E11" s="32"/>
      <c r="F11" s="32"/>
      <c r="G11" s="33"/>
      <c r="H11" s="32"/>
      <c r="I11" s="32"/>
      <c r="J11" s="32"/>
      <c r="K11" s="170" t="s">
        <v>344</v>
      </c>
      <c r="L11" s="35"/>
      <c r="M11" s="35"/>
      <c r="N11" s="35"/>
      <c r="O11" s="35"/>
      <c r="P11" s="35"/>
      <c r="Q11" s="35"/>
      <c r="R11" s="35"/>
      <c r="S11" s="35"/>
      <c r="T11" s="35"/>
      <c r="U11" s="32"/>
      <c r="V11" s="33"/>
      <c r="W11" s="33"/>
      <c r="X11" s="35"/>
      <c r="Y11" s="35"/>
      <c r="Z11" s="32"/>
      <c r="AA11" s="35"/>
      <c r="AB11" s="32"/>
      <c r="AC11" s="35"/>
      <c r="AD11" s="32"/>
      <c r="AE11" s="221" t="s">
        <v>344</v>
      </c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2"/>
      <c r="AU11" s="35"/>
      <c r="AV11" s="32"/>
      <c r="AW11" s="35"/>
      <c r="AX11" s="32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2"/>
      <c r="BJ11" s="35"/>
      <c r="BK11" s="35"/>
      <c r="BL11" s="35"/>
      <c r="BM11" s="35"/>
    </row>
    <row r="12" spans="1:65" s="36" customFormat="1">
      <c r="A12" s="32">
        <f>'1-συμβολαια'!A12</f>
        <v>4607</v>
      </c>
      <c r="B12" s="16">
        <f>'4-πολλυπρ'!D12</f>
        <v>0</v>
      </c>
      <c r="C12" s="16">
        <f>'4-πολλυπρ'!I12</f>
        <v>0</v>
      </c>
      <c r="D12" s="34"/>
      <c r="E12" s="32"/>
      <c r="F12" s="32"/>
      <c r="G12" s="33"/>
      <c r="H12" s="32"/>
      <c r="I12" s="32"/>
      <c r="J12" s="32"/>
      <c r="K12" s="170" t="s">
        <v>344</v>
      </c>
      <c r="L12" s="35"/>
      <c r="M12" s="35"/>
      <c r="N12" s="35"/>
      <c r="O12" s="35"/>
      <c r="P12" s="35"/>
      <c r="Q12" s="35"/>
      <c r="R12" s="35"/>
      <c r="S12" s="35"/>
      <c r="T12" s="35"/>
      <c r="U12" s="32"/>
      <c r="V12" s="33"/>
      <c r="W12" s="33"/>
      <c r="X12" s="35"/>
      <c r="Y12" s="35"/>
      <c r="Z12" s="32"/>
      <c r="AA12" s="35"/>
      <c r="AB12" s="32"/>
      <c r="AC12" s="35"/>
      <c r="AD12" s="32"/>
      <c r="AE12" s="221" t="s">
        <v>344</v>
      </c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2"/>
      <c r="AU12" s="35"/>
      <c r="AV12" s="32"/>
      <c r="AW12" s="35"/>
      <c r="AX12" s="32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2"/>
      <c r="BJ12" s="35"/>
      <c r="BK12" s="35"/>
      <c r="BL12" s="35"/>
      <c r="BM12" s="35"/>
    </row>
    <row r="13" spans="1:65" s="36" customFormat="1">
      <c r="A13" s="32">
        <f>'1-συμβολαια'!A13</f>
        <v>4608</v>
      </c>
      <c r="B13" s="16">
        <f>'4-πολλυπρ'!D13</f>
        <v>0</v>
      </c>
      <c r="C13" s="16">
        <f>'4-πολλυπρ'!I13</f>
        <v>0</v>
      </c>
      <c r="D13" s="34"/>
      <c r="E13" s="32"/>
      <c r="F13" s="32"/>
      <c r="G13" s="33"/>
      <c r="H13" s="32"/>
      <c r="I13" s="32"/>
      <c r="J13" s="32"/>
      <c r="K13" s="170" t="s">
        <v>344</v>
      </c>
      <c r="L13" s="35"/>
      <c r="M13" s="35"/>
      <c r="N13" s="35"/>
      <c r="O13" s="35"/>
      <c r="P13" s="35"/>
      <c r="Q13" s="35"/>
      <c r="R13" s="35"/>
      <c r="S13" s="35"/>
      <c r="T13" s="35"/>
      <c r="U13" s="32"/>
      <c r="V13" s="33"/>
      <c r="W13" s="33"/>
      <c r="X13" s="35"/>
      <c r="Y13" s="35"/>
      <c r="Z13" s="32"/>
      <c r="AA13" s="35"/>
      <c r="AB13" s="32"/>
      <c r="AC13" s="35"/>
      <c r="AD13" s="32"/>
      <c r="AE13" s="221" t="s">
        <v>344</v>
      </c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2"/>
      <c r="AU13" s="35"/>
      <c r="AV13" s="32"/>
      <c r="AW13" s="35"/>
      <c r="AX13" s="32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2"/>
      <c r="BJ13" s="35"/>
      <c r="BK13" s="35"/>
      <c r="BL13" s="35"/>
      <c r="BM13" s="35"/>
    </row>
    <row r="14" spans="1:65" s="36" customFormat="1">
      <c r="A14" s="32">
        <f>'1-συμβολαια'!A14</f>
        <v>4609</v>
      </c>
      <c r="B14" s="16">
        <f>'4-πολλυπρ'!D14</f>
        <v>0</v>
      </c>
      <c r="C14" s="16">
        <f>'4-πολλυπρ'!I14</f>
        <v>0</v>
      </c>
      <c r="D14" s="34"/>
      <c r="E14" s="32"/>
      <c r="F14" s="32"/>
      <c r="G14" s="33"/>
      <c r="H14" s="32"/>
      <c r="I14" s="32"/>
      <c r="J14" s="32"/>
      <c r="K14" s="170" t="s">
        <v>344</v>
      </c>
      <c r="L14" s="35"/>
      <c r="M14" s="35"/>
      <c r="N14" s="35"/>
      <c r="O14" s="35"/>
      <c r="P14" s="35"/>
      <c r="Q14" s="35"/>
      <c r="R14" s="35"/>
      <c r="S14" s="35"/>
      <c r="T14" s="35"/>
      <c r="U14" s="32"/>
      <c r="V14" s="33"/>
      <c r="W14" s="33"/>
      <c r="X14" s="35"/>
      <c r="Y14" s="35"/>
      <c r="Z14" s="32"/>
      <c r="AA14" s="35"/>
      <c r="AB14" s="32"/>
      <c r="AC14" s="35"/>
      <c r="AD14" s="32"/>
      <c r="AE14" s="221" t="s">
        <v>344</v>
      </c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2"/>
      <c r="AU14" s="35"/>
      <c r="AV14" s="32"/>
      <c r="AW14" s="35"/>
      <c r="AX14" s="32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2"/>
      <c r="BJ14" s="35"/>
      <c r="BK14" s="35"/>
      <c r="BL14" s="35"/>
      <c r="BM14" s="35"/>
    </row>
    <row r="15" spans="1:65" s="36" customFormat="1">
      <c r="A15" s="32">
        <f>'1-συμβολαια'!A15</f>
        <v>4610</v>
      </c>
      <c r="B15" s="16">
        <f>'4-πολλυπρ'!D15</f>
        <v>0</v>
      </c>
      <c r="C15" s="16">
        <f>'4-πολλυπρ'!I15</f>
        <v>0</v>
      </c>
      <c r="D15" s="34"/>
      <c r="E15" s="32"/>
      <c r="F15" s="32"/>
      <c r="G15" s="33"/>
      <c r="H15" s="32"/>
      <c r="I15" s="32"/>
      <c r="J15" s="32"/>
      <c r="K15" s="170" t="s">
        <v>344</v>
      </c>
      <c r="L15" s="35"/>
      <c r="M15" s="35"/>
      <c r="N15" s="35"/>
      <c r="O15" s="35"/>
      <c r="P15" s="35"/>
      <c r="Q15" s="35"/>
      <c r="R15" s="35"/>
      <c r="S15" s="35"/>
      <c r="T15" s="35"/>
      <c r="U15" s="32"/>
      <c r="V15" s="33"/>
      <c r="W15" s="33"/>
      <c r="X15" s="35"/>
      <c r="Y15" s="35"/>
      <c r="Z15" s="32"/>
      <c r="AA15" s="35"/>
      <c r="AB15" s="32"/>
      <c r="AC15" s="35"/>
      <c r="AD15" s="32"/>
      <c r="AE15" s="221" t="s">
        <v>344</v>
      </c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2"/>
      <c r="AU15" s="35"/>
      <c r="AV15" s="32"/>
      <c r="AW15" s="35"/>
      <c r="AX15" s="32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2"/>
      <c r="BJ15" s="35"/>
      <c r="BK15" s="35"/>
      <c r="BL15" s="35"/>
      <c r="BM15" s="35"/>
    </row>
    <row r="16" spans="1:65" s="36" customFormat="1">
      <c r="A16" s="32">
        <f>'1-συμβολαια'!A16</f>
        <v>4611</v>
      </c>
      <c r="B16" s="16">
        <f>'4-πολλυπρ'!D16</f>
        <v>0</v>
      </c>
      <c r="C16" s="16">
        <f>'4-πολλυπρ'!I16</f>
        <v>0</v>
      </c>
      <c r="D16" s="34"/>
      <c r="E16" s="32"/>
      <c r="F16" s="32"/>
      <c r="G16" s="33"/>
      <c r="H16" s="32"/>
      <c r="I16" s="32"/>
      <c r="J16" s="32"/>
      <c r="K16" s="170" t="s">
        <v>344</v>
      </c>
      <c r="L16" s="35"/>
      <c r="M16" s="35"/>
      <c r="N16" s="35"/>
      <c r="O16" s="35"/>
      <c r="P16" s="35"/>
      <c r="Q16" s="35"/>
      <c r="R16" s="35"/>
      <c r="S16" s="35"/>
      <c r="T16" s="35"/>
      <c r="U16" s="32"/>
      <c r="V16" s="33"/>
      <c r="W16" s="33"/>
      <c r="X16" s="35"/>
      <c r="Y16" s="35"/>
      <c r="Z16" s="32"/>
      <c r="AA16" s="35"/>
      <c r="AB16" s="32"/>
      <c r="AC16" s="35"/>
      <c r="AD16" s="32"/>
      <c r="AE16" s="221" t="s">
        <v>344</v>
      </c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2"/>
      <c r="AU16" s="35"/>
      <c r="AV16" s="32"/>
      <c r="AW16" s="35"/>
      <c r="AX16" s="32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2"/>
      <c r="BJ16" s="35"/>
      <c r="BK16" s="35"/>
      <c r="BL16" s="35"/>
      <c r="BM16" s="35"/>
    </row>
    <row r="17" spans="1:65" s="36" customFormat="1">
      <c r="A17" s="32">
        <f>'1-συμβολαια'!A17</f>
        <v>0</v>
      </c>
      <c r="B17" s="16">
        <f>'4-πολλυπρ'!D17</f>
        <v>0</v>
      </c>
      <c r="C17" s="16">
        <f>'4-πολλυπρ'!I17</f>
        <v>0</v>
      </c>
      <c r="D17" s="34"/>
      <c r="E17" s="32"/>
      <c r="F17" s="32"/>
      <c r="G17" s="33"/>
      <c r="H17" s="32"/>
      <c r="I17" s="32"/>
      <c r="J17" s="32"/>
      <c r="K17" s="170" t="s">
        <v>344</v>
      </c>
      <c r="L17" s="35"/>
      <c r="M17" s="35"/>
      <c r="N17" s="35"/>
      <c r="O17" s="35"/>
      <c r="P17" s="35"/>
      <c r="Q17" s="35"/>
      <c r="R17" s="35"/>
      <c r="S17" s="35"/>
      <c r="T17" s="35"/>
      <c r="U17" s="32"/>
      <c r="V17" s="33"/>
      <c r="W17" s="33"/>
      <c r="X17" s="35"/>
      <c r="Y17" s="35"/>
      <c r="Z17" s="32"/>
      <c r="AA17" s="35"/>
      <c r="AB17" s="32"/>
      <c r="AC17" s="35"/>
      <c r="AD17" s="32"/>
      <c r="AE17" s="221" t="s">
        <v>344</v>
      </c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2"/>
      <c r="AU17" s="35"/>
      <c r="AV17" s="32"/>
      <c r="AW17" s="35"/>
      <c r="AX17" s="32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2"/>
      <c r="BJ17" s="35"/>
      <c r="BK17" s="35"/>
      <c r="BL17" s="35"/>
      <c r="BM17" s="35"/>
    </row>
    <row r="18" spans="1:65" s="36" customFormat="1">
      <c r="A18" s="32">
        <f>'1-συμβολαια'!A18</f>
        <v>0</v>
      </c>
      <c r="B18" s="16">
        <f>'4-πολλυπρ'!D18</f>
        <v>0</v>
      </c>
      <c r="C18" s="16">
        <f>'4-πολλυπρ'!I18</f>
        <v>0</v>
      </c>
      <c r="D18" s="34"/>
      <c r="E18" s="32"/>
      <c r="F18" s="32"/>
      <c r="G18" s="33"/>
      <c r="H18" s="32"/>
      <c r="I18" s="32"/>
      <c r="J18" s="32"/>
      <c r="K18" s="170" t="s">
        <v>344</v>
      </c>
      <c r="L18" s="35"/>
      <c r="M18" s="35"/>
      <c r="N18" s="35"/>
      <c r="O18" s="35"/>
      <c r="P18" s="35"/>
      <c r="Q18" s="35"/>
      <c r="R18" s="35"/>
      <c r="S18" s="35"/>
      <c r="T18" s="35"/>
      <c r="U18" s="32"/>
      <c r="V18" s="33"/>
      <c r="W18" s="33"/>
      <c r="X18" s="35"/>
      <c r="Y18" s="35"/>
      <c r="Z18" s="32"/>
      <c r="AA18" s="35"/>
      <c r="AB18" s="32"/>
      <c r="AC18" s="35"/>
      <c r="AD18" s="32"/>
      <c r="AE18" s="221" t="s">
        <v>344</v>
      </c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2"/>
      <c r="AU18" s="35"/>
      <c r="AV18" s="32"/>
      <c r="AW18" s="35"/>
      <c r="AX18" s="32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2"/>
      <c r="BJ18" s="35"/>
      <c r="BK18" s="35"/>
      <c r="BL18" s="35"/>
      <c r="BM18" s="35"/>
    </row>
    <row r="19" spans="1:65" s="36" customFormat="1">
      <c r="A19" s="32">
        <f>'1-συμβολαια'!A19</f>
        <v>4612</v>
      </c>
      <c r="B19" s="16">
        <f>'4-πολλυπρ'!D19</f>
        <v>0</v>
      </c>
      <c r="C19" s="16">
        <f>'4-πολλυπρ'!I19</f>
        <v>0</v>
      </c>
      <c r="D19" s="34"/>
      <c r="E19" s="32"/>
      <c r="F19" s="32"/>
      <c r="G19" s="33"/>
      <c r="H19" s="32"/>
      <c r="I19" s="32"/>
      <c r="J19" s="32"/>
      <c r="K19" s="170" t="s">
        <v>344</v>
      </c>
      <c r="L19" s="35"/>
      <c r="M19" s="35"/>
      <c r="N19" s="35"/>
      <c r="O19" s="35"/>
      <c r="P19" s="35"/>
      <c r="Q19" s="35"/>
      <c r="R19" s="35"/>
      <c r="S19" s="35"/>
      <c r="T19" s="35"/>
      <c r="U19" s="32"/>
      <c r="V19" s="33"/>
      <c r="W19" s="33"/>
      <c r="X19" s="35"/>
      <c r="Y19" s="35"/>
      <c r="Z19" s="32"/>
      <c r="AA19" s="35"/>
      <c r="AB19" s="32"/>
      <c r="AC19" s="35"/>
      <c r="AD19" s="32"/>
      <c r="AE19" s="221" t="s">
        <v>344</v>
      </c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2"/>
      <c r="AU19" s="35"/>
      <c r="AV19" s="32"/>
      <c r="AW19" s="35"/>
      <c r="AX19" s="32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2"/>
      <c r="BJ19" s="35"/>
      <c r="BK19" s="35"/>
      <c r="BL19" s="35"/>
      <c r="BM19" s="35"/>
    </row>
    <row r="20" spans="1:65" s="36" customFormat="1">
      <c r="A20" s="32">
        <f>'1-συμβολαια'!A20</f>
        <v>4613</v>
      </c>
      <c r="B20" s="16">
        <f>'4-πολλυπρ'!D20</f>
        <v>0</v>
      </c>
      <c r="C20" s="16">
        <f>'4-πολλυπρ'!I20</f>
        <v>0</v>
      </c>
      <c r="D20" s="34"/>
      <c r="E20" s="32"/>
      <c r="F20" s="32"/>
      <c r="G20" s="33"/>
      <c r="H20" s="32"/>
      <c r="I20" s="32"/>
      <c r="J20" s="32"/>
      <c r="K20" s="170" t="s">
        <v>344</v>
      </c>
      <c r="L20" s="35"/>
      <c r="M20" s="35"/>
      <c r="N20" s="35"/>
      <c r="O20" s="35"/>
      <c r="P20" s="35"/>
      <c r="Q20" s="35"/>
      <c r="R20" s="35"/>
      <c r="S20" s="35"/>
      <c r="T20" s="35"/>
      <c r="U20" s="32"/>
      <c r="V20" s="33"/>
      <c r="W20" s="33"/>
      <c r="X20" s="35"/>
      <c r="Y20" s="35"/>
      <c r="Z20" s="32"/>
      <c r="AA20" s="35"/>
      <c r="AB20" s="32"/>
      <c r="AC20" s="35"/>
      <c r="AD20" s="32"/>
      <c r="AE20" s="221" t="s">
        <v>344</v>
      </c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2"/>
      <c r="AU20" s="35"/>
      <c r="AV20" s="32"/>
      <c r="AW20" s="35"/>
      <c r="AX20" s="32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2"/>
      <c r="BJ20" s="35"/>
      <c r="BK20" s="35"/>
      <c r="BL20" s="35"/>
      <c r="BM20" s="35"/>
    </row>
    <row r="21" spans="1:65" s="36" customFormat="1">
      <c r="A21" s="32">
        <f>'1-συμβολαια'!A21</f>
        <v>4614</v>
      </c>
      <c r="B21" s="16">
        <f>'4-πολλυπρ'!D21</f>
        <v>0</v>
      </c>
      <c r="C21" s="16">
        <f>'4-πολλυπρ'!I21</f>
        <v>0</v>
      </c>
      <c r="D21" s="34"/>
      <c r="E21" s="32"/>
      <c r="F21" s="32"/>
      <c r="G21" s="33"/>
      <c r="H21" s="32"/>
      <c r="I21" s="32"/>
      <c r="J21" s="32"/>
      <c r="K21" s="170" t="s">
        <v>344</v>
      </c>
      <c r="L21" s="35"/>
      <c r="M21" s="35"/>
      <c r="N21" s="35"/>
      <c r="O21" s="35"/>
      <c r="P21" s="35"/>
      <c r="Q21" s="35"/>
      <c r="R21" s="35"/>
      <c r="S21" s="35"/>
      <c r="T21" s="35"/>
      <c r="U21" s="32"/>
      <c r="V21" s="33"/>
      <c r="W21" s="33"/>
      <c r="X21" s="35"/>
      <c r="Y21" s="35"/>
      <c r="Z21" s="32"/>
      <c r="AA21" s="35"/>
      <c r="AB21" s="32"/>
      <c r="AC21" s="35"/>
      <c r="AD21" s="32"/>
      <c r="AE21" s="221" t="s">
        <v>344</v>
      </c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2"/>
      <c r="AU21" s="35"/>
      <c r="AV21" s="32"/>
      <c r="AW21" s="35"/>
      <c r="AX21" s="32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2"/>
      <c r="BJ21" s="35"/>
      <c r="BK21" s="35"/>
      <c r="BL21" s="35"/>
      <c r="BM21" s="35"/>
    </row>
    <row r="22" spans="1:65" s="36" customFormat="1">
      <c r="A22" s="32">
        <f>'1-συμβολαια'!A22</f>
        <v>4615</v>
      </c>
      <c r="B22" s="16">
        <f>'4-πολλυπρ'!D22</f>
        <v>0</v>
      </c>
      <c r="C22" s="16">
        <f>'4-πολλυπρ'!I22</f>
        <v>0</v>
      </c>
      <c r="D22" s="34"/>
      <c r="E22" s="32"/>
      <c r="F22" s="32"/>
      <c r="G22" s="33"/>
      <c r="H22" s="32"/>
      <c r="I22" s="32"/>
      <c r="J22" s="32"/>
      <c r="K22" s="170" t="s">
        <v>344</v>
      </c>
      <c r="L22" s="35"/>
      <c r="M22" s="35"/>
      <c r="N22" s="35"/>
      <c r="O22" s="35"/>
      <c r="P22" s="35"/>
      <c r="Q22" s="35"/>
      <c r="R22" s="35"/>
      <c r="S22" s="35"/>
      <c r="T22" s="35"/>
      <c r="U22" s="32"/>
      <c r="V22" s="33"/>
      <c r="W22" s="33"/>
      <c r="X22" s="35"/>
      <c r="Y22" s="35"/>
      <c r="Z22" s="32"/>
      <c r="AA22" s="35"/>
      <c r="AB22" s="32"/>
      <c r="AC22" s="35"/>
      <c r="AD22" s="32"/>
      <c r="AE22" s="221" t="s">
        <v>344</v>
      </c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2"/>
      <c r="AU22" s="35"/>
      <c r="AV22" s="32"/>
      <c r="AW22" s="35"/>
      <c r="AX22" s="32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2"/>
      <c r="BJ22" s="35"/>
      <c r="BK22" s="35"/>
      <c r="BL22" s="35"/>
      <c r="BM22" s="35"/>
    </row>
    <row r="23" spans="1:65" s="19" customFormat="1">
      <c r="A23" s="32">
        <f>'1-συμβολαια'!A23</f>
        <v>0</v>
      </c>
      <c r="B23" s="16">
        <f>'4-πολλυπρ'!D23</f>
        <v>0</v>
      </c>
      <c r="C23" s="16">
        <f>'4-πολλυπρ'!I23</f>
        <v>0</v>
      </c>
      <c r="D23" s="26"/>
      <c r="E23" s="26"/>
      <c r="F23" s="13"/>
      <c r="G23" s="30"/>
      <c r="H23" s="13"/>
      <c r="I23" s="26"/>
      <c r="J23" s="13"/>
      <c r="K23" s="170" t="s">
        <v>344</v>
      </c>
      <c r="L23" s="26"/>
      <c r="M23" s="26"/>
      <c r="N23" s="26"/>
      <c r="O23" s="26"/>
      <c r="P23" s="26"/>
      <c r="Q23" s="26"/>
      <c r="R23" s="26"/>
      <c r="S23" s="26"/>
      <c r="T23" s="26"/>
      <c r="U23" s="13"/>
      <c r="V23" s="30"/>
      <c r="W23" s="30"/>
      <c r="X23" s="26"/>
      <c r="Y23" s="26"/>
      <c r="Z23" s="13"/>
      <c r="AA23" s="26"/>
      <c r="AB23" s="13"/>
      <c r="AC23" s="26"/>
      <c r="AD23" s="13"/>
      <c r="AE23" s="221" t="s">
        <v>344</v>
      </c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13"/>
      <c r="AU23" s="26"/>
      <c r="AV23" s="13"/>
      <c r="AW23" s="26"/>
      <c r="AX23" s="13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13"/>
      <c r="BJ23" s="26"/>
      <c r="BK23" s="26"/>
      <c r="BL23" s="26"/>
      <c r="BM23" s="26"/>
    </row>
    <row r="24" spans="1:65">
      <c r="A24" s="32">
        <f>'1-συμβολαια'!A24</f>
        <v>4616</v>
      </c>
      <c r="B24" s="16">
        <f>'4-πολλυπρ'!D24</f>
        <v>0</v>
      </c>
      <c r="C24" s="16">
        <f>'4-πολλυπρ'!I24</f>
        <v>0</v>
      </c>
      <c r="D24" s="26"/>
      <c r="E24" s="26"/>
      <c r="F24" s="13"/>
      <c r="G24" s="30"/>
      <c r="H24" s="13"/>
      <c r="I24" s="26"/>
      <c r="J24" s="13"/>
      <c r="K24" s="170" t="s">
        <v>344</v>
      </c>
      <c r="L24" s="26"/>
      <c r="M24" s="26"/>
      <c r="N24" s="26"/>
      <c r="O24" s="26"/>
      <c r="P24" s="26"/>
      <c r="Q24" s="26"/>
      <c r="R24" s="26"/>
      <c r="S24" s="26"/>
      <c r="T24" s="26"/>
      <c r="U24" s="13"/>
      <c r="V24" s="30"/>
      <c r="W24" s="30"/>
      <c r="X24" s="26"/>
      <c r="Y24" s="26"/>
      <c r="Z24" s="13"/>
      <c r="AA24" s="26"/>
      <c r="AB24" s="13"/>
      <c r="AC24" s="26"/>
      <c r="AD24" s="13"/>
      <c r="AE24" s="221" t="s">
        <v>344</v>
      </c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13"/>
      <c r="AU24" s="26"/>
      <c r="AV24" s="13"/>
      <c r="AW24" s="26"/>
      <c r="AX24" s="13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13"/>
      <c r="BJ24" s="26"/>
      <c r="BK24" s="26"/>
      <c r="BL24" s="26"/>
      <c r="BM24" s="26"/>
    </row>
    <row r="25" spans="1:65">
      <c r="A25" s="32">
        <f>'1-συμβολαια'!A25</f>
        <v>0</v>
      </c>
      <c r="B25" s="16">
        <f>'4-πολλυπρ'!D25</f>
        <v>0</v>
      </c>
      <c r="C25" s="16">
        <f>'4-πολλυπρ'!I25</f>
        <v>0</v>
      </c>
      <c r="D25" s="26"/>
      <c r="E25" s="26"/>
      <c r="F25" s="13"/>
      <c r="G25" s="30"/>
      <c r="H25" s="13"/>
      <c r="I25" s="26"/>
      <c r="J25" s="13"/>
      <c r="K25" s="170" t="s">
        <v>344</v>
      </c>
      <c r="L25" s="26"/>
      <c r="M25" s="26"/>
      <c r="N25" s="26"/>
      <c r="O25" s="26"/>
      <c r="P25" s="26"/>
      <c r="Q25" s="26"/>
      <c r="R25" s="26"/>
      <c r="S25" s="26"/>
      <c r="T25" s="26"/>
      <c r="U25" s="13"/>
      <c r="V25" s="30"/>
      <c r="W25" s="30"/>
      <c r="X25" s="26"/>
      <c r="Y25" s="26"/>
      <c r="Z25" s="13"/>
      <c r="AA25" s="26"/>
      <c r="AB25" s="13"/>
      <c r="AC25" s="26"/>
      <c r="AD25" s="13"/>
      <c r="AE25" s="221" t="s">
        <v>344</v>
      </c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13"/>
      <c r="AU25" s="26"/>
      <c r="AV25" s="13"/>
      <c r="AW25" s="26"/>
      <c r="AX25" s="13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13"/>
      <c r="BJ25" s="26"/>
      <c r="BK25" s="26"/>
      <c r="BL25" s="26"/>
      <c r="BM25" s="26"/>
    </row>
    <row r="26" spans="1:65">
      <c r="A26" s="32">
        <f>'1-συμβολαια'!A26</f>
        <v>0</v>
      </c>
      <c r="B26" s="16">
        <f>'4-πολλυπρ'!D26</f>
        <v>0</v>
      </c>
      <c r="C26" s="16">
        <f>'4-πολλυπρ'!I26</f>
        <v>0</v>
      </c>
      <c r="D26" s="26"/>
      <c r="E26" s="26"/>
      <c r="F26" s="13"/>
      <c r="G26" s="30"/>
      <c r="H26" s="13"/>
      <c r="I26" s="26"/>
      <c r="J26" s="13"/>
      <c r="K26" s="170" t="s">
        <v>344</v>
      </c>
      <c r="L26" s="26"/>
      <c r="M26" s="26"/>
      <c r="N26" s="26"/>
      <c r="O26" s="26"/>
      <c r="P26" s="26"/>
      <c r="Q26" s="26"/>
      <c r="R26" s="26"/>
      <c r="S26" s="26"/>
      <c r="T26" s="26"/>
      <c r="U26" s="13"/>
      <c r="V26" s="30"/>
      <c r="W26" s="30"/>
      <c r="X26" s="26"/>
      <c r="Y26" s="26"/>
      <c r="Z26" s="13"/>
      <c r="AA26" s="26"/>
      <c r="AB26" s="13"/>
      <c r="AC26" s="26"/>
      <c r="AD26" s="13"/>
      <c r="AE26" s="221" t="s">
        <v>344</v>
      </c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13"/>
      <c r="AU26" s="26"/>
      <c r="AV26" s="13"/>
      <c r="AW26" s="26"/>
      <c r="AX26" s="13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13"/>
      <c r="BJ26" s="26"/>
      <c r="BK26" s="26"/>
      <c r="BL26" s="26"/>
      <c r="BM26" s="26"/>
    </row>
    <row r="27" spans="1:65">
      <c r="A27" s="32">
        <f>'1-συμβολαια'!A27</f>
        <v>4617</v>
      </c>
      <c r="B27" s="16">
        <f>'4-πολλυπρ'!D27</f>
        <v>0</v>
      </c>
      <c r="C27" s="16">
        <f>'4-πολλυπρ'!I27</f>
        <v>0</v>
      </c>
      <c r="D27" s="26"/>
      <c r="E27" s="26"/>
      <c r="F27" s="13"/>
      <c r="G27" s="30"/>
      <c r="H27" s="13"/>
      <c r="I27" s="26"/>
      <c r="J27" s="13"/>
      <c r="K27" s="170" t="s">
        <v>344</v>
      </c>
      <c r="L27" s="26"/>
      <c r="M27" s="26"/>
      <c r="N27" s="26"/>
      <c r="O27" s="26"/>
      <c r="P27" s="26"/>
      <c r="Q27" s="26"/>
      <c r="R27" s="26"/>
      <c r="S27" s="26"/>
      <c r="T27" s="26"/>
      <c r="U27" s="13"/>
      <c r="V27" s="30"/>
      <c r="W27" s="30"/>
      <c r="X27" s="26"/>
      <c r="Y27" s="26"/>
      <c r="Z27" s="13"/>
      <c r="AA27" s="26"/>
      <c r="AB27" s="13"/>
      <c r="AC27" s="26"/>
      <c r="AD27" s="13"/>
      <c r="AE27" s="221" t="s">
        <v>344</v>
      </c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13"/>
      <c r="AU27" s="26"/>
      <c r="AV27" s="13"/>
      <c r="AW27" s="26"/>
      <c r="AX27" s="13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13"/>
      <c r="BJ27" s="26"/>
      <c r="BK27" s="26"/>
      <c r="BL27" s="26"/>
      <c r="BM27" s="26"/>
    </row>
    <row r="28" spans="1:65">
      <c r="A28" s="32">
        <f>'1-συμβολαια'!A28</f>
        <v>0</v>
      </c>
      <c r="B28" s="16">
        <f>'4-πολλυπρ'!D28</f>
        <v>0</v>
      </c>
      <c r="C28" s="16">
        <f>'4-πολλυπρ'!I28</f>
        <v>0</v>
      </c>
      <c r="D28" s="26"/>
      <c r="E28" s="26"/>
      <c r="F28" s="13"/>
      <c r="G28" s="30"/>
      <c r="H28" s="13"/>
      <c r="I28" s="26"/>
      <c r="J28" s="13"/>
      <c r="K28" s="170" t="s">
        <v>344</v>
      </c>
      <c r="L28" s="26"/>
      <c r="M28" s="26"/>
      <c r="N28" s="26"/>
      <c r="O28" s="26"/>
      <c r="P28" s="26"/>
      <c r="Q28" s="26"/>
      <c r="R28" s="26"/>
      <c r="S28" s="26"/>
      <c r="T28" s="26"/>
      <c r="U28" s="13"/>
      <c r="V28" s="30"/>
      <c r="W28" s="30"/>
      <c r="X28" s="26"/>
      <c r="Y28" s="26"/>
      <c r="Z28" s="13"/>
      <c r="AA28" s="26"/>
      <c r="AB28" s="13"/>
      <c r="AC28" s="26"/>
      <c r="AD28" s="13"/>
      <c r="AE28" s="221" t="s">
        <v>344</v>
      </c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13"/>
      <c r="AU28" s="26"/>
      <c r="AV28" s="13"/>
      <c r="AW28" s="26"/>
      <c r="AX28" s="13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13"/>
      <c r="BJ28" s="26"/>
      <c r="BK28" s="26"/>
      <c r="BL28" s="26"/>
      <c r="BM28" s="26"/>
    </row>
    <row r="29" spans="1:65">
      <c r="A29" s="32">
        <f>'1-συμβολαια'!A29</f>
        <v>4618</v>
      </c>
      <c r="B29" s="16">
        <f>'4-πολλυπρ'!D29</f>
        <v>0</v>
      </c>
      <c r="C29" s="16">
        <f>'4-πολλυπρ'!I29</f>
        <v>0</v>
      </c>
      <c r="D29" s="26"/>
      <c r="E29" s="26"/>
      <c r="F29" s="13"/>
      <c r="G29" s="30"/>
      <c r="H29" s="13"/>
      <c r="I29" s="26"/>
      <c r="J29" s="13"/>
      <c r="K29" s="170" t="s">
        <v>344</v>
      </c>
      <c r="L29" s="26"/>
      <c r="M29" s="26"/>
      <c r="N29" s="26"/>
      <c r="O29" s="26"/>
      <c r="P29" s="26"/>
      <c r="Q29" s="26"/>
      <c r="R29" s="26"/>
      <c r="S29" s="26"/>
      <c r="T29" s="26"/>
      <c r="U29" s="13"/>
      <c r="V29" s="30"/>
      <c r="W29" s="30"/>
      <c r="X29" s="26"/>
      <c r="Y29" s="26"/>
      <c r="Z29" s="13"/>
      <c r="AA29" s="26"/>
      <c r="AB29" s="13"/>
      <c r="AC29" s="26"/>
      <c r="AD29" s="13"/>
      <c r="AE29" s="221" t="s">
        <v>344</v>
      </c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13"/>
      <c r="AU29" s="26"/>
      <c r="AV29" s="13"/>
      <c r="AW29" s="26"/>
      <c r="AX29" s="13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13"/>
      <c r="BJ29" s="26"/>
      <c r="BK29" s="26"/>
      <c r="BL29" s="26"/>
      <c r="BM29" s="26"/>
    </row>
    <row r="30" spans="1:65">
      <c r="A30" s="32">
        <f>'1-συμβολαια'!A30</f>
        <v>4619</v>
      </c>
      <c r="B30" s="16">
        <f>'4-πολλυπρ'!D30</f>
        <v>0</v>
      </c>
      <c r="C30" s="16">
        <f>'4-πολλυπρ'!I30</f>
        <v>0</v>
      </c>
      <c r="D30" s="26"/>
      <c r="E30" s="26"/>
      <c r="F30" s="13"/>
      <c r="G30" s="30"/>
      <c r="H30" s="13"/>
      <c r="I30" s="26"/>
      <c r="J30" s="13"/>
      <c r="K30" s="170" t="s">
        <v>344</v>
      </c>
      <c r="L30" s="26"/>
      <c r="M30" s="26"/>
      <c r="N30" s="26"/>
      <c r="O30" s="26"/>
      <c r="P30" s="26"/>
      <c r="Q30" s="26"/>
      <c r="R30" s="26"/>
      <c r="S30" s="26"/>
      <c r="T30" s="26"/>
      <c r="U30" s="13"/>
      <c r="V30" s="30"/>
      <c r="W30" s="30"/>
      <c r="X30" s="26"/>
      <c r="Y30" s="26"/>
      <c r="Z30" s="13"/>
      <c r="AA30" s="26"/>
      <c r="AB30" s="13"/>
      <c r="AC30" s="26"/>
      <c r="AD30" s="13"/>
      <c r="AE30" s="221" t="s">
        <v>344</v>
      </c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13"/>
      <c r="AU30" s="26"/>
      <c r="AV30" s="13"/>
      <c r="AW30" s="26"/>
      <c r="AX30" s="13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13"/>
      <c r="BJ30" s="26"/>
      <c r="BK30" s="26"/>
      <c r="BL30" s="26"/>
      <c r="BM30" s="26"/>
    </row>
    <row r="31" spans="1:65">
      <c r="A31" s="32">
        <f>'1-συμβολαια'!A31</f>
        <v>0</v>
      </c>
      <c r="B31" s="16">
        <f>'4-πολλυπρ'!D31</f>
        <v>0</v>
      </c>
      <c r="C31" s="16">
        <f>'4-πολλυπρ'!I31</f>
        <v>0</v>
      </c>
      <c r="D31" s="26"/>
      <c r="E31" s="26"/>
      <c r="F31" s="13"/>
      <c r="G31" s="30"/>
      <c r="H31" s="13"/>
      <c r="I31" s="26"/>
      <c r="J31" s="13"/>
      <c r="K31" s="170" t="s">
        <v>344</v>
      </c>
      <c r="L31" s="26"/>
      <c r="M31" s="26"/>
      <c r="N31" s="26"/>
      <c r="O31" s="26"/>
      <c r="P31" s="26"/>
      <c r="Q31" s="26"/>
      <c r="R31" s="26"/>
      <c r="S31" s="26"/>
      <c r="T31" s="26"/>
      <c r="U31" s="13"/>
      <c r="V31" s="30"/>
      <c r="W31" s="30"/>
      <c r="X31" s="26"/>
      <c r="Y31" s="26"/>
      <c r="Z31" s="13"/>
      <c r="AA31" s="26"/>
      <c r="AB31" s="13"/>
      <c r="AC31" s="26"/>
      <c r="AD31" s="13"/>
      <c r="AE31" s="221" t="s">
        <v>344</v>
      </c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13"/>
      <c r="AU31" s="26"/>
      <c r="AV31" s="13"/>
      <c r="AW31" s="26"/>
      <c r="AX31" s="13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13"/>
      <c r="BJ31" s="26"/>
      <c r="BK31" s="26"/>
      <c r="BL31" s="26"/>
      <c r="BM31" s="26"/>
    </row>
    <row r="32" spans="1:65">
      <c r="A32" s="32">
        <f>'1-συμβολαια'!A32</f>
        <v>4620</v>
      </c>
      <c r="B32" s="16">
        <f>'4-πολλυπρ'!D32</f>
        <v>0</v>
      </c>
      <c r="C32" s="16">
        <f>'4-πολλυπρ'!I32</f>
        <v>0</v>
      </c>
      <c r="D32" s="26"/>
      <c r="E32" s="26"/>
      <c r="F32" s="13"/>
      <c r="G32" s="30"/>
      <c r="H32" s="13"/>
      <c r="I32" s="26"/>
      <c r="J32" s="13"/>
      <c r="K32" s="170" t="s">
        <v>344</v>
      </c>
      <c r="L32" s="26"/>
      <c r="M32" s="26"/>
      <c r="N32" s="26"/>
      <c r="O32" s="26"/>
      <c r="P32" s="26"/>
      <c r="Q32" s="26"/>
      <c r="R32" s="26"/>
      <c r="S32" s="26"/>
      <c r="T32" s="26"/>
      <c r="U32" s="13"/>
      <c r="V32" s="30"/>
      <c r="W32" s="30"/>
      <c r="X32" s="26"/>
      <c r="Y32" s="26"/>
      <c r="Z32" s="13"/>
      <c r="AA32" s="26"/>
      <c r="AB32" s="13"/>
      <c r="AC32" s="26"/>
      <c r="AD32" s="13"/>
      <c r="AE32" s="221" t="s">
        <v>344</v>
      </c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13"/>
      <c r="AU32" s="26"/>
      <c r="AV32" s="13"/>
      <c r="AW32" s="26"/>
      <c r="AX32" s="13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13"/>
      <c r="BJ32" s="26"/>
      <c r="BK32" s="26"/>
      <c r="BL32" s="26"/>
      <c r="BM32" s="26"/>
    </row>
    <row r="33" spans="1:65">
      <c r="A33" s="32">
        <f>'1-συμβολαια'!A33</f>
        <v>0</v>
      </c>
      <c r="B33" s="16">
        <f>'4-πολλυπρ'!D33</f>
        <v>0</v>
      </c>
      <c r="C33" s="16">
        <f>'4-πολλυπρ'!I33</f>
        <v>0</v>
      </c>
      <c r="D33" s="26"/>
      <c r="E33" s="26"/>
      <c r="F33" s="13"/>
      <c r="G33" s="30"/>
      <c r="H33" s="13"/>
      <c r="I33" s="26"/>
      <c r="J33" s="13"/>
      <c r="K33" s="170" t="s">
        <v>344</v>
      </c>
      <c r="L33" s="26"/>
      <c r="M33" s="26"/>
      <c r="N33" s="26"/>
      <c r="O33" s="26"/>
      <c r="P33" s="26"/>
      <c r="Q33" s="26"/>
      <c r="R33" s="26"/>
      <c r="S33" s="26"/>
      <c r="T33" s="26"/>
      <c r="U33" s="13"/>
      <c r="V33" s="30"/>
      <c r="W33" s="30"/>
      <c r="X33" s="26"/>
      <c r="Y33" s="26"/>
      <c r="Z33" s="13"/>
      <c r="AA33" s="26"/>
      <c r="AB33" s="13"/>
      <c r="AC33" s="26"/>
      <c r="AD33" s="13"/>
      <c r="AE33" s="221" t="s">
        <v>344</v>
      </c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13"/>
      <c r="AU33" s="26"/>
      <c r="AV33" s="13"/>
      <c r="AW33" s="26"/>
      <c r="AX33" s="13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13"/>
      <c r="BJ33" s="26"/>
      <c r="BK33" s="26"/>
      <c r="BL33" s="26"/>
      <c r="BM33" s="26"/>
    </row>
    <row r="34" spans="1:65">
      <c r="A34" s="32">
        <f>'1-συμβολαια'!A34</f>
        <v>0</v>
      </c>
      <c r="B34" s="16">
        <f>'4-πολλυπρ'!D34</f>
        <v>0</v>
      </c>
      <c r="C34" s="16">
        <f>'4-πολλυπρ'!I34</f>
        <v>0</v>
      </c>
      <c r="D34" s="26"/>
      <c r="E34" s="26"/>
      <c r="F34" s="13"/>
      <c r="G34" s="30"/>
      <c r="H34" s="13"/>
      <c r="I34" s="26"/>
      <c r="J34" s="13"/>
      <c r="K34" s="170" t="s">
        <v>344</v>
      </c>
      <c r="L34" s="26"/>
      <c r="M34" s="26"/>
      <c r="N34" s="26"/>
      <c r="O34" s="26"/>
      <c r="P34" s="26"/>
      <c r="Q34" s="26"/>
      <c r="R34" s="26"/>
      <c r="S34" s="26"/>
      <c r="T34" s="26"/>
      <c r="U34" s="13"/>
      <c r="V34" s="30"/>
      <c r="W34" s="30"/>
      <c r="X34" s="26"/>
      <c r="Y34" s="26"/>
      <c r="Z34" s="13"/>
      <c r="AA34" s="26"/>
      <c r="AB34" s="13"/>
      <c r="AC34" s="26"/>
      <c r="AD34" s="13"/>
      <c r="AE34" s="221" t="s">
        <v>344</v>
      </c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13"/>
      <c r="AU34" s="26"/>
      <c r="AV34" s="13"/>
      <c r="AW34" s="26"/>
      <c r="AX34" s="13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13"/>
      <c r="BJ34" s="26"/>
      <c r="BK34" s="26"/>
      <c r="BL34" s="26"/>
      <c r="BM34" s="26"/>
    </row>
    <row r="35" spans="1:65">
      <c r="A35" s="32">
        <f>'1-συμβολαια'!A35</f>
        <v>4621</v>
      </c>
      <c r="B35" s="16">
        <f>'4-πολλυπρ'!D35</f>
        <v>0</v>
      </c>
      <c r="C35" s="16">
        <f>'4-πολλυπρ'!I35</f>
        <v>0</v>
      </c>
      <c r="D35" s="26"/>
      <c r="E35" s="26"/>
      <c r="F35" s="13"/>
      <c r="G35" s="30"/>
      <c r="H35" s="13"/>
      <c r="I35" s="26"/>
      <c r="J35" s="13"/>
      <c r="K35" s="170" t="s">
        <v>344</v>
      </c>
      <c r="L35" s="26"/>
      <c r="M35" s="26"/>
      <c r="N35" s="26"/>
      <c r="O35" s="26"/>
      <c r="P35" s="26"/>
      <c r="Q35" s="26"/>
      <c r="R35" s="26"/>
      <c r="S35" s="26"/>
      <c r="T35" s="26"/>
      <c r="U35" s="13"/>
      <c r="V35" s="30"/>
      <c r="W35" s="30"/>
      <c r="X35" s="26"/>
      <c r="Y35" s="26"/>
      <c r="Z35" s="13"/>
      <c r="AA35" s="26"/>
      <c r="AB35" s="13"/>
      <c r="AC35" s="26"/>
      <c r="AD35" s="13"/>
      <c r="AE35" s="221" t="s">
        <v>344</v>
      </c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13"/>
      <c r="AU35" s="26"/>
      <c r="AV35" s="13"/>
      <c r="AW35" s="26"/>
      <c r="AX35" s="13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13"/>
      <c r="BJ35" s="26"/>
      <c r="BK35" s="26"/>
      <c r="BL35" s="26"/>
      <c r="BM35" s="26"/>
    </row>
    <row r="36" spans="1:65">
      <c r="A36" s="32">
        <f>'1-συμβολαια'!A36</f>
        <v>0</v>
      </c>
      <c r="B36" s="16">
        <f>'4-πολλυπρ'!D36</f>
        <v>0</v>
      </c>
      <c r="C36" s="16">
        <f>'4-πολλυπρ'!I36</f>
        <v>0</v>
      </c>
      <c r="D36" s="26"/>
      <c r="E36" s="26"/>
      <c r="F36" s="13"/>
      <c r="G36" s="30"/>
      <c r="H36" s="13"/>
      <c r="I36" s="26"/>
      <c r="J36" s="13"/>
      <c r="K36" s="170" t="s">
        <v>344</v>
      </c>
      <c r="L36" s="26"/>
      <c r="M36" s="26"/>
      <c r="N36" s="26"/>
      <c r="O36" s="26"/>
      <c r="P36" s="26"/>
      <c r="Q36" s="26"/>
      <c r="R36" s="26"/>
      <c r="S36" s="26"/>
      <c r="T36" s="26"/>
      <c r="U36" s="13"/>
      <c r="V36" s="30"/>
      <c r="W36" s="30"/>
      <c r="X36" s="26"/>
      <c r="Y36" s="26"/>
      <c r="Z36" s="13"/>
      <c r="AA36" s="26"/>
      <c r="AB36" s="13"/>
      <c r="AC36" s="26"/>
      <c r="AD36" s="13"/>
      <c r="AE36" s="221" t="s">
        <v>344</v>
      </c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13"/>
      <c r="AU36" s="26"/>
      <c r="AV36" s="13"/>
      <c r="AW36" s="26"/>
      <c r="AX36" s="13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13"/>
      <c r="BJ36" s="26"/>
      <c r="BK36" s="26"/>
      <c r="BL36" s="26"/>
      <c r="BM36" s="26"/>
    </row>
    <row r="37" spans="1:65">
      <c r="A37" s="32">
        <f>'1-συμβολαια'!A37</f>
        <v>4622</v>
      </c>
      <c r="B37" s="16">
        <f>'4-πολλυπρ'!D37</f>
        <v>0</v>
      </c>
      <c r="C37" s="16">
        <f>'4-πολλυπρ'!I37</f>
        <v>0</v>
      </c>
      <c r="D37" s="26"/>
      <c r="E37" s="26"/>
      <c r="F37" s="13"/>
      <c r="G37" s="30"/>
      <c r="H37" s="13"/>
      <c r="I37" s="26"/>
      <c r="J37" s="13"/>
      <c r="K37" s="170" t="s">
        <v>344</v>
      </c>
      <c r="L37" s="26"/>
      <c r="M37" s="26"/>
      <c r="N37" s="26"/>
      <c r="O37" s="26"/>
      <c r="P37" s="26"/>
      <c r="Q37" s="26"/>
      <c r="R37" s="26"/>
      <c r="S37" s="26"/>
      <c r="T37" s="26"/>
      <c r="U37" s="13"/>
      <c r="V37" s="30"/>
      <c r="W37" s="30"/>
      <c r="X37" s="26"/>
      <c r="Y37" s="26"/>
      <c r="Z37" s="13"/>
      <c r="AA37" s="26"/>
      <c r="AB37" s="13"/>
      <c r="AC37" s="26"/>
      <c r="AD37" s="13"/>
      <c r="AE37" s="221" t="s">
        <v>344</v>
      </c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13"/>
      <c r="AU37" s="26"/>
      <c r="AV37" s="13"/>
      <c r="AW37" s="26"/>
      <c r="AX37" s="13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13"/>
      <c r="BJ37" s="26"/>
      <c r="BK37" s="26"/>
      <c r="BL37" s="26"/>
      <c r="BM37" s="26"/>
    </row>
    <row r="38" spans="1:65">
      <c r="A38" s="32">
        <f>'1-συμβολαια'!A38</f>
        <v>4623</v>
      </c>
      <c r="B38" s="16">
        <f>'4-πολλυπρ'!D38</f>
        <v>0</v>
      </c>
      <c r="C38" s="16">
        <f>'4-πολλυπρ'!I38</f>
        <v>0</v>
      </c>
      <c r="D38" s="26"/>
      <c r="E38" s="26"/>
      <c r="F38" s="13"/>
      <c r="G38" s="30"/>
      <c r="H38" s="13"/>
      <c r="I38" s="26"/>
      <c r="J38" s="13"/>
      <c r="K38" s="170" t="s">
        <v>344</v>
      </c>
      <c r="L38" s="26"/>
      <c r="M38" s="26"/>
      <c r="N38" s="26"/>
      <c r="O38" s="26"/>
      <c r="P38" s="26"/>
      <c r="Q38" s="26"/>
      <c r="R38" s="26"/>
      <c r="S38" s="26"/>
      <c r="T38" s="26"/>
      <c r="U38" s="13"/>
      <c r="V38" s="30"/>
      <c r="W38" s="30"/>
      <c r="X38" s="26"/>
      <c r="Y38" s="26"/>
      <c r="Z38" s="13"/>
      <c r="AA38" s="26"/>
      <c r="AB38" s="13"/>
      <c r="AC38" s="26"/>
      <c r="AD38" s="13"/>
      <c r="AE38" s="221" t="s">
        <v>344</v>
      </c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13"/>
      <c r="AU38" s="26"/>
      <c r="AV38" s="13"/>
      <c r="AW38" s="26"/>
      <c r="AX38" s="13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13"/>
      <c r="BJ38" s="26"/>
      <c r="BK38" s="26"/>
      <c r="BL38" s="26"/>
      <c r="BM38" s="26"/>
    </row>
    <row r="39" spans="1:65">
      <c r="A39" s="32">
        <f>'1-συμβολαια'!A39</f>
        <v>4624</v>
      </c>
      <c r="B39" s="16">
        <f>'4-πολλυπρ'!D39</f>
        <v>0</v>
      </c>
      <c r="C39" s="16">
        <f>'4-πολλυπρ'!I39</f>
        <v>0</v>
      </c>
      <c r="D39" s="26"/>
      <c r="E39" s="26"/>
      <c r="F39" s="13"/>
      <c r="G39" s="30"/>
      <c r="H39" s="13"/>
      <c r="I39" s="26"/>
      <c r="J39" s="13"/>
      <c r="K39" s="170" t="s">
        <v>344</v>
      </c>
      <c r="L39" s="26"/>
      <c r="M39" s="26"/>
      <c r="N39" s="26"/>
      <c r="O39" s="26"/>
      <c r="P39" s="26"/>
      <c r="Q39" s="26"/>
      <c r="R39" s="26"/>
      <c r="S39" s="26"/>
      <c r="T39" s="26"/>
      <c r="U39" s="13"/>
      <c r="V39" s="30"/>
      <c r="W39" s="30"/>
      <c r="X39" s="26"/>
      <c r="Y39" s="26"/>
      <c r="Z39" s="13"/>
      <c r="AA39" s="26"/>
      <c r="AB39" s="13"/>
      <c r="AC39" s="26"/>
      <c r="AD39" s="13"/>
      <c r="AE39" s="221" t="s">
        <v>344</v>
      </c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13"/>
      <c r="AU39" s="26"/>
      <c r="AV39" s="13"/>
      <c r="AW39" s="26"/>
      <c r="AX39" s="13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13"/>
      <c r="BJ39" s="26"/>
      <c r="BK39" s="26"/>
      <c r="BL39" s="26"/>
      <c r="BM39" s="26"/>
    </row>
    <row r="40" spans="1:65">
      <c r="A40" s="32">
        <f>'1-συμβολαια'!A40</f>
        <v>0</v>
      </c>
      <c r="B40" s="16">
        <f>'4-πολλυπρ'!D40</f>
        <v>0</v>
      </c>
      <c r="C40" s="16">
        <f>'4-πολλυπρ'!I40</f>
        <v>0</v>
      </c>
      <c r="D40" s="26"/>
      <c r="E40" s="26"/>
      <c r="F40" s="13"/>
      <c r="G40" s="30"/>
      <c r="H40" s="13"/>
      <c r="I40" s="26"/>
      <c r="J40" s="13"/>
      <c r="K40" s="170" t="s">
        <v>344</v>
      </c>
      <c r="L40" s="26"/>
      <c r="M40" s="26"/>
      <c r="N40" s="26"/>
      <c r="O40" s="26"/>
      <c r="P40" s="26"/>
      <c r="Q40" s="26"/>
      <c r="R40" s="26"/>
      <c r="S40" s="26"/>
      <c r="T40" s="26"/>
      <c r="U40" s="13"/>
      <c r="V40" s="30"/>
      <c r="W40" s="30"/>
      <c r="X40" s="26"/>
      <c r="Y40" s="26"/>
      <c r="Z40" s="13"/>
      <c r="AA40" s="26"/>
      <c r="AB40" s="13"/>
      <c r="AC40" s="26"/>
      <c r="AD40" s="13"/>
      <c r="AE40" s="221" t="s">
        <v>344</v>
      </c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13"/>
      <c r="AU40" s="26"/>
      <c r="AV40" s="13"/>
      <c r="AW40" s="26"/>
      <c r="AX40" s="13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13"/>
      <c r="BJ40" s="26"/>
      <c r="BK40" s="26"/>
      <c r="BL40" s="26"/>
      <c r="BM40" s="26"/>
    </row>
    <row r="41" spans="1:65">
      <c r="A41" s="32">
        <f>'1-συμβολαια'!A41</f>
        <v>0</v>
      </c>
      <c r="B41" s="16">
        <f>'4-πολλυπρ'!D41</f>
        <v>0</v>
      </c>
      <c r="C41" s="16">
        <f>'4-πολλυπρ'!I41</f>
        <v>0</v>
      </c>
      <c r="D41" s="26"/>
      <c r="E41" s="26"/>
      <c r="F41" s="13"/>
      <c r="G41" s="30"/>
      <c r="H41" s="13"/>
      <c r="I41" s="26"/>
      <c r="J41" s="13"/>
      <c r="K41" s="170" t="s">
        <v>344</v>
      </c>
      <c r="L41" s="26"/>
      <c r="M41" s="26"/>
      <c r="N41" s="26"/>
      <c r="O41" s="26"/>
      <c r="P41" s="26"/>
      <c r="Q41" s="26"/>
      <c r="R41" s="26"/>
      <c r="S41" s="26"/>
      <c r="T41" s="26"/>
      <c r="U41" s="13"/>
      <c r="V41" s="30"/>
      <c r="W41" s="30"/>
      <c r="X41" s="26"/>
      <c r="Y41" s="26"/>
      <c r="Z41" s="13"/>
      <c r="AA41" s="26"/>
      <c r="AB41" s="13"/>
      <c r="AC41" s="26"/>
      <c r="AD41" s="13"/>
      <c r="AE41" s="221" t="s">
        <v>344</v>
      </c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13"/>
      <c r="AU41" s="26"/>
      <c r="AV41" s="13"/>
      <c r="AW41" s="26"/>
      <c r="AX41" s="13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13"/>
      <c r="BJ41" s="26"/>
      <c r="BK41" s="26"/>
      <c r="BL41" s="26"/>
      <c r="BM41" s="26"/>
    </row>
    <row r="42" spans="1:65">
      <c r="A42" s="32">
        <f>'1-συμβολαια'!A42</f>
        <v>4625</v>
      </c>
      <c r="B42" s="16">
        <f>'4-πολλυπρ'!D42</f>
        <v>0</v>
      </c>
      <c r="C42" s="16">
        <f>'4-πολλυπρ'!I42</f>
        <v>0</v>
      </c>
      <c r="D42" s="26"/>
      <c r="E42" s="26"/>
      <c r="F42" s="13"/>
      <c r="G42" s="30"/>
      <c r="H42" s="13"/>
      <c r="I42" s="26"/>
      <c r="J42" s="13"/>
      <c r="K42" s="170" t="s">
        <v>344</v>
      </c>
      <c r="L42" s="26"/>
      <c r="M42" s="26"/>
      <c r="N42" s="26"/>
      <c r="O42" s="26"/>
      <c r="P42" s="26"/>
      <c r="Q42" s="26"/>
      <c r="R42" s="26"/>
      <c r="S42" s="26"/>
      <c r="T42" s="26"/>
      <c r="U42" s="13"/>
      <c r="V42" s="30"/>
      <c r="W42" s="30"/>
      <c r="X42" s="26"/>
      <c r="Y42" s="26"/>
      <c r="Z42" s="13"/>
      <c r="AA42" s="26"/>
      <c r="AB42" s="13"/>
      <c r="AC42" s="26"/>
      <c r="AD42" s="13"/>
      <c r="AE42" s="221" t="s">
        <v>344</v>
      </c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13"/>
      <c r="AU42" s="26"/>
      <c r="AV42" s="13"/>
      <c r="AW42" s="26"/>
      <c r="AX42" s="13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13"/>
      <c r="BJ42" s="26"/>
      <c r="BK42" s="26"/>
      <c r="BL42" s="26"/>
      <c r="BM42" s="26"/>
    </row>
    <row r="43" spans="1:65">
      <c r="A43" s="32">
        <f>'1-συμβολαια'!A43</f>
        <v>0</v>
      </c>
      <c r="B43" s="16">
        <f>'4-πολλυπρ'!D43</f>
        <v>0</v>
      </c>
      <c r="C43" s="16">
        <f>'4-πολλυπρ'!I43</f>
        <v>0</v>
      </c>
      <c r="D43" s="26"/>
      <c r="E43" s="26"/>
      <c r="F43" s="13"/>
      <c r="G43" s="30"/>
      <c r="H43" s="13"/>
      <c r="I43" s="26"/>
      <c r="J43" s="13"/>
      <c r="K43" s="170" t="s">
        <v>344</v>
      </c>
      <c r="L43" s="26"/>
      <c r="M43" s="26"/>
      <c r="N43" s="26"/>
      <c r="O43" s="26"/>
      <c r="P43" s="26"/>
      <c r="Q43" s="26"/>
      <c r="R43" s="26"/>
      <c r="S43" s="26"/>
      <c r="T43" s="26"/>
      <c r="U43" s="13"/>
      <c r="V43" s="30"/>
      <c r="W43" s="30"/>
      <c r="X43" s="26"/>
      <c r="Y43" s="26"/>
      <c r="Z43" s="13"/>
      <c r="AA43" s="26"/>
      <c r="AB43" s="13"/>
      <c r="AC43" s="26"/>
      <c r="AD43" s="13"/>
      <c r="AE43" s="221" t="s">
        <v>344</v>
      </c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13"/>
      <c r="AU43" s="26"/>
      <c r="AV43" s="13"/>
      <c r="AW43" s="26"/>
      <c r="AX43" s="13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13"/>
      <c r="BJ43" s="26"/>
      <c r="BK43" s="26"/>
      <c r="BL43" s="26"/>
      <c r="BM43" s="26"/>
    </row>
    <row r="44" spans="1:65">
      <c r="A44" s="32">
        <f>'1-συμβολαια'!A44</f>
        <v>4626</v>
      </c>
      <c r="B44" s="16">
        <f>'4-πολλυπρ'!D44</f>
        <v>0</v>
      </c>
      <c r="C44" s="16">
        <f>'4-πολλυπρ'!I44</f>
        <v>0</v>
      </c>
      <c r="D44" s="26"/>
      <c r="E44" s="26"/>
      <c r="F44" s="13"/>
      <c r="G44" s="30"/>
      <c r="H44" s="13"/>
      <c r="I44" s="26"/>
      <c r="J44" s="13"/>
      <c r="K44" s="170" t="s">
        <v>344</v>
      </c>
      <c r="L44" s="26"/>
      <c r="M44" s="26"/>
      <c r="N44" s="26"/>
      <c r="O44" s="26"/>
      <c r="P44" s="26"/>
      <c r="Q44" s="26"/>
      <c r="R44" s="26"/>
      <c r="S44" s="26"/>
      <c r="T44" s="26"/>
      <c r="U44" s="13"/>
      <c r="V44" s="30"/>
      <c r="W44" s="30"/>
      <c r="X44" s="26"/>
      <c r="Y44" s="26"/>
      <c r="Z44" s="13"/>
      <c r="AA44" s="26"/>
      <c r="AB44" s="13"/>
      <c r="AC44" s="26"/>
      <c r="AD44" s="13"/>
      <c r="AE44" s="221" t="s">
        <v>344</v>
      </c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13"/>
      <c r="AU44" s="26"/>
      <c r="AV44" s="13"/>
      <c r="AW44" s="26"/>
      <c r="AX44" s="13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13"/>
      <c r="BJ44" s="26"/>
      <c r="BK44" s="26"/>
      <c r="BL44" s="26"/>
      <c r="BM44" s="26"/>
    </row>
    <row r="45" spans="1:65">
      <c r="A45" s="32">
        <f>'1-συμβολαια'!A45</f>
        <v>0</v>
      </c>
      <c r="B45" s="16">
        <f>'4-πολλυπρ'!D45</f>
        <v>0</v>
      </c>
      <c r="C45" s="16">
        <f>'4-πολλυπρ'!I45</f>
        <v>0</v>
      </c>
      <c r="D45" s="26"/>
      <c r="E45" s="26"/>
      <c r="F45" s="13"/>
      <c r="G45" s="30"/>
      <c r="H45" s="13"/>
      <c r="I45" s="26"/>
      <c r="J45" s="13"/>
      <c r="K45" s="170" t="s">
        <v>344</v>
      </c>
      <c r="L45" s="26"/>
      <c r="M45" s="26"/>
      <c r="N45" s="26"/>
      <c r="O45" s="26"/>
      <c r="P45" s="26"/>
      <c r="Q45" s="26"/>
      <c r="R45" s="26"/>
      <c r="S45" s="26"/>
      <c r="T45" s="26"/>
      <c r="U45" s="13"/>
      <c r="V45" s="30"/>
      <c r="W45" s="30"/>
      <c r="X45" s="26"/>
      <c r="Y45" s="26"/>
      <c r="Z45" s="13"/>
      <c r="AA45" s="26"/>
      <c r="AB45" s="13"/>
      <c r="AC45" s="26"/>
      <c r="AD45" s="13"/>
      <c r="AE45" s="221" t="s">
        <v>344</v>
      </c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13"/>
      <c r="AU45" s="26"/>
      <c r="AV45" s="13"/>
      <c r="AW45" s="26"/>
      <c r="AX45" s="13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13"/>
      <c r="BJ45" s="26"/>
      <c r="BK45" s="26"/>
      <c r="BL45" s="26"/>
      <c r="BM45" s="26"/>
    </row>
    <row r="46" spans="1:65">
      <c r="A46" s="32">
        <f>'1-συμβολαια'!A46</f>
        <v>0</v>
      </c>
      <c r="B46" s="16">
        <f>'4-πολλυπρ'!D46</f>
        <v>0</v>
      </c>
      <c r="C46" s="16">
        <f>'4-πολλυπρ'!I46</f>
        <v>0</v>
      </c>
      <c r="D46" s="26"/>
      <c r="E46" s="26"/>
      <c r="F46" s="13"/>
      <c r="G46" s="30"/>
      <c r="H46" s="13"/>
      <c r="I46" s="26"/>
      <c r="J46" s="13"/>
      <c r="K46" s="170" t="s">
        <v>344</v>
      </c>
      <c r="L46" s="26"/>
      <c r="M46" s="26"/>
      <c r="N46" s="26"/>
      <c r="O46" s="26"/>
      <c r="P46" s="26"/>
      <c r="Q46" s="26"/>
      <c r="R46" s="26"/>
      <c r="S46" s="26"/>
      <c r="T46" s="26"/>
      <c r="U46" s="13"/>
      <c r="V46" s="30"/>
      <c r="W46" s="30"/>
      <c r="X46" s="26"/>
      <c r="Y46" s="26"/>
      <c r="Z46" s="13"/>
      <c r="AA46" s="26"/>
      <c r="AB46" s="13"/>
      <c r="AC46" s="26"/>
      <c r="AD46" s="13"/>
      <c r="AE46" s="221" t="s">
        <v>344</v>
      </c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13"/>
      <c r="AU46" s="26"/>
      <c r="AV46" s="13"/>
      <c r="AW46" s="26"/>
      <c r="AX46" s="13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13"/>
      <c r="BJ46" s="26"/>
      <c r="BK46" s="26"/>
      <c r="BL46" s="26"/>
      <c r="BM46" s="26"/>
    </row>
    <row r="47" spans="1:65">
      <c r="A47" s="32">
        <f>'1-συμβολαια'!A47</f>
        <v>4627</v>
      </c>
      <c r="B47" s="16">
        <f>'4-πολλυπρ'!D47</f>
        <v>0</v>
      </c>
      <c r="C47" s="16">
        <f>'4-πολλυπρ'!I47</f>
        <v>0</v>
      </c>
      <c r="D47" s="26"/>
      <c r="E47" s="26"/>
      <c r="F47" s="13"/>
      <c r="G47" s="30"/>
      <c r="H47" s="13"/>
      <c r="I47" s="26"/>
      <c r="J47" s="13"/>
      <c r="K47" s="170" t="s">
        <v>344</v>
      </c>
      <c r="L47" s="26"/>
      <c r="M47" s="26"/>
      <c r="N47" s="26"/>
      <c r="O47" s="26"/>
      <c r="P47" s="26"/>
      <c r="Q47" s="26"/>
      <c r="R47" s="26"/>
      <c r="S47" s="26"/>
      <c r="T47" s="26"/>
      <c r="U47" s="13"/>
      <c r="V47" s="30"/>
      <c r="W47" s="30"/>
      <c r="X47" s="26"/>
      <c r="Y47" s="26"/>
      <c r="Z47" s="13"/>
      <c r="AA47" s="26"/>
      <c r="AB47" s="13"/>
      <c r="AC47" s="26"/>
      <c r="AD47" s="13"/>
      <c r="AE47" s="221" t="s">
        <v>344</v>
      </c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13"/>
      <c r="AU47" s="26"/>
      <c r="AV47" s="13"/>
      <c r="AW47" s="26"/>
      <c r="AX47" s="13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13"/>
      <c r="BJ47" s="26"/>
      <c r="BK47" s="26"/>
      <c r="BL47" s="26"/>
      <c r="BM47" s="26"/>
    </row>
    <row r="48" spans="1:65">
      <c r="A48" s="32">
        <f>'1-συμβολαια'!A48</f>
        <v>0</v>
      </c>
      <c r="B48" s="16">
        <f>'4-πολλυπρ'!D48</f>
        <v>0</v>
      </c>
      <c r="C48" s="16">
        <f>'4-πολλυπρ'!I48</f>
        <v>0</v>
      </c>
      <c r="D48" s="26"/>
      <c r="E48" s="26"/>
      <c r="F48" s="13"/>
      <c r="G48" s="30"/>
      <c r="H48" s="13"/>
      <c r="I48" s="26"/>
      <c r="J48" s="13"/>
      <c r="K48" s="170" t="s">
        <v>344</v>
      </c>
      <c r="L48" s="26"/>
      <c r="M48" s="26"/>
      <c r="N48" s="26"/>
      <c r="O48" s="26"/>
      <c r="P48" s="26"/>
      <c r="Q48" s="26"/>
      <c r="R48" s="26"/>
      <c r="S48" s="26"/>
      <c r="T48" s="26"/>
      <c r="U48" s="13"/>
      <c r="V48" s="30"/>
      <c r="W48" s="30"/>
      <c r="X48" s="26"/>
      <c r="Y48" s="26"/>
      <c r="Z48" s="13"/>
      <c r="AA48" s="26"/>
      <c r="AB48" s="13"/>
      <c r="AC48" s="26"/>
      <c r="AD48" s="13"/>
      <c r="AE48" s="221" t="s">
        <v>344</v>
      </c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13"/>
      <c r="AU48" s="26"/>
      <c r="AV48" s="13"/>
      <c r="AW48" s="26"/>
      <c r="AX48" s="13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13"/>
      <c r="BJ48" s="26"/>
      <c r="BK48" s="26"/>
      <c r="BL48" s="26"/>
      <c r="BM48" s="26"/>
    </row>
    <row r="49" spans="1:65">
      <c r="A49" s="32">
        <f>'1-συμβολαια'!A49</f>
        <v>0</v>
      </c>
      <c r="B49" s="16">
        <f>'4-πολλυπρ'!D49</f>
        <v>0</v>
      </c>
      <c r="C49" s="16">
        <f>'4-πολλυπρ'!I49</f>
        <v>0</v>
      </c>
      <c r="D49" s="26"/>
      <c r="E49" s="26"/>
      <c r="F49" s="13"/>
      <c r="G49" s="30"/>
      <c r="H49" s="13"/>
      <c r="I49" s="26"/>
      <c r="J49" s="13"/>
      <c r="K49" s="170" t="s">
        <v>344</v>
      </c>
      <c r="L49" s="26"/>
      <c r="M49" s="26"/>
      <c r="N49" s="26"/>
      <c r="O49" s="26"/>
      <c r="P49" s="26"/>
      <c r="Q49" s="26"/>
      <c r="R49" s="26"/>
      <c r="S49" s="26"/>
      <c r="T49" s="26"/>
      <c r="U49" s="13"/>
      <c r="V49" s="30"/>
      <c r="W49" s="30"/>
      <c r="X49" s="26"/>
      <c r="Y49" s="26"/>
      <c r="Z49" s="13"/>
      <c r="AA49" s="26"/>
      <c r="AB49" s="13"/>
      <c r="AC49" s="26"/>
      <c r="AD49" s="13"/>
      <c r="AE49" s="221" t="s">
        <v>344</v>
      </c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13"/>
      <c r="AU49" s="26"/>
      <c r="AV49" s="13"/>
      <c r="AW49" s="26"/>
      <c r="AX49" s="13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13"/>
      <c r="BJ49" s="26"/>
      <c r="BK49" s="26"/>
      <c r="BL49" s="26"/>
      <c r="BM49" s="26"/>
    </row>
    <row r="50" spans="1:65">
      <c r="A50" s="32">
        <f>'1-συμβολαια'!A50</f>
        <v>4628</v>
      </c>
      <c r="B50" s="16">
        <f>'4-πολλυπρ'!D50</f>
        <v>0</v>
      </c>
      <c r="C50" s="16">
        <f>'4-πολλυπρ'!I50</f>
        <v>0</v>
      </c>
      <c r="D50" s="26"/>
      <c r="E50" s="26"/>
      <c r="F50" s="13"/>
      <c r="G50" s="30"/>
      <c r="H50" s="13"/>
      <c r="I50" s="26"/>
      <c r="J50" s="13"/>
      <c r="K50" s="170" t="s">
        <v>344</v>
      </c>
      <c r="L50" s="26"/>
      <c r="M50" s="26"/>
      <c r="N50" s="26"/>
      <c r="O50" s="26"/>
      <c r="P50" s="26"/>
      <c r="Q50" s="26"/>
      <c r="R50" s="26"/>
      <c r="S50" s="26"/>
      <c r="T50" s="26"/>
      <c r="U50" s="13"/>
      <c r="V50" s="30"/>
      <c r="W50" s="30"/>
      <c r="X50" s="26"/>
      <c r="Y50" s="26"/>
      <c r="Z50" s="13"/>
      <c r="AA50" s="26"/>
      <c r="AB50" s="13"/>
      <c r="AC50" s="26"/>
      <c r="AD50" s="13"/>
      <c r="AE50" s="221" t="s">
        <v>344</v>
      </c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13"/>
      <c r="AU50" s="26"/>
      <c r="AV50" s="13"/>
      <c r="AW50" s="26"/>
      <c r="AX50" s="13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13"/>
      <c r="BJ50" s="26"/>
      <c r="BK50" s="26"/>
      <c r="BL50" s="26"/>
      <c r="BM50" s="26"/>
    </row>
    <row r="51" spans="1:65">
      <c r="A51" s="32">
        <f>'1-συμβολαια'!A51</f>
        <v>4629</v>
      </c>
      <c r="B51" s="16">
        <f>'4-πολλυπρ'!D51</f>
        <v>0</v>
      </c>
      <c r="C51" s="16">
        <f>'4-πολλυπρ'!I51</f>
        <v>0</v>
      </c>
      <c r="D51" s="26"/>
      <c r="E51" s="26"/>
      <c r="F51" s="13"/>
      <c r="G51" s="30"/>
      <c r="H51" s="13"/>
      <c r="I51" s="26"/>
      <c r="J51" s="13"/>
      <c r="K51" s="170" t="s">
        <v>344</v>
      </c>
      <c r="L51" s="26"/>
      <c r="M51" s="26"/>
      <c r="N51" s="26"/>
      <c r="O51" s="26"/>
      <c r="P51" s="26"/>
      <c r="Q51" s="26"/>
      <c r="R51" s="26"/>
      <c r="S51" s="26"/>
      <c r="T51" s="26"/>
      <c r="U51" s="13"/>
      <c r="V51" s="30"/>
      <c r="W51" s="30"/>
      <c r="X51" s="26"/>
      <c r="Y51" s="26"/>
      <c r="Z51" s="13"/>
      <c r="AA51" s="26"/>
      <c r="AB51" s="13"/>
      <c r="AC51" s="26"/>
      <c r="AD51" s="13"/>
      <c r="AE51" s="221" t="s">
        <v>344</v>
      </c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13"/>
      <c r="AU51" s="26"/>
      <c r="AV51" s="13"/>
      <c r="AW51" s="26"/>
      <c r="AX51" s="13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13"/>
      <c r="BJ51" s="26"/>
      <c r="BK51" s="26"/>
      <c r="BL51" s="26"/>
      <c r="BM51" s="26"/>
    </row>
    <row r="52" spans="1:65">
      <c r="A52" s="32">
        <f>'1-συμβολαια'!A52</f>
        <v>0</v>
      </c>
      <c r="B52" s="16">
        <f>'4-πολλυπρ'!D52</f>
        <v>0</v>
      </c>
      <c r="C52" s="16">
        <f>'4-πολλυπρ'!I52</f>
        <v>0</v>
      </c>
      <c r="D52" s="26"/>
      <c r="E52" s="26"/>
      <c r="F52" s="13"/>
      <c r="G52" s="30"/>
      <c r="H52" s="13"/>
      <c r="I52" s="26"/>
      <c r="J52" s="13"/>
      <c r="K52" s="170" t="s">
        <v>344</v>
      </c>
      <c r="L52" s="26"/>
      <c r="M52" s="26"/>
      <c r="N52" s="26"/>
      <c r="O52" s="26"/>
      <c r="P52" s="26"/>
      <c r="Q52" s="26"/>
      <c r="R52" s="26"/>
      <c r="S52" s="26"/>
      <c r="T52" s="26"/>
      <c r="U52" s="13"/>
      <c r="V52" s="30"/>
      <c r="W52" s="30"/>
      <c r="X52" s="26"/>
      <c r="Y52" s="26"/>
      <c r="Z52" s="13"/>
      <c r="AA52" s="26"/>
      <c r="AB52" s="13"/>
      <c r="AC52" s="26"/>
      <c r="AD52" s="13"/>
      <c r="AE52" s="221" t="s">
        <v>344</v>
      </c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13"/>
      <c r="AU52" s="26"/>
      <c r="AV52" s="13"/>
      <c r="AW52" s="26"/>
      <c r="AX52" s="13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13"/>
      <c r="BJ52" s="26"/>
      <c r="BK52" s="26"/>
      <c r="BL52" s="26"/>
      <c r="BM52" s="26"/>
    </row>
    <row r="53" spans="1:65">
      <c r="A53" s="32">
        <f>'1-συμβολαια'!A53</f>
        <v>0</v>
      </c>
      <c r="B53" s="16">
        <f>'4-πολλυπρ'!D53</f>
        <v>0</v>
      </c>
      <c r="C53" s="16">
        <f>'4-πολλυπρ'!I53</f>
        <v>0</v>
      </c>
      <c r="D53" s="26"/>
      <c r="E53" s="26"/>
      <c r="F53" s="13"/>
      <c r="G53" s="30"/>
      <c r="H53" s="13"/>
      <c r="I53" s="26"/>
      <c r="J53" s="13"/>
      <c r="K53" s="170" t="s">
        <v>344</v>
      </c>
      <c r="L53" s="26"/>
      <c r="M53" s="26"/>
      <c r="N53" s="26"/>
      <c r="O53" s="26"/>
      <c r="P53" s="26"/>
      <c r="Q53" s="26"/>
      <c r="R53" s="26"/>
      <c r="S53" s="26"/>
      <c r="T53" s="26"/>
      <c r="U53" s="13"/>
      <c r="V53" s="30"/>
      <c r="W53" s="30"/>
      <c r="X53" s="26"/>
      <c r="Y53" s="26"/>
      <c r="Z53" s="13"/>
      <c r="AA53" s="26"/>
      <c r="AB53" s="13"/>
      <c r="AC53" s="26"/>
      <c r="AD53" s="13"/>
      <c r="AE53" s="221" t="s">
        <v>344</v>
      </c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13"/>
      <c r="AU53" s="26"/>
      <c r="AV53" s="13"/>
      <c r="AW53" s="26"/>
      <c r="AX53" s="13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13"/>
      <c r="BJ53" s="26"/>
      <c r="BK53" s="26"/>
      <c r="BL53" s="26"/>
      <c r="BM53" s="26"/>
    </row>
    <row r="54" spans="1:65">
      <c r="A54" s="32">
        <f>'1-συμβολαια'!A54</f>
        <v>4630</v>
      </c>
      <c r="B54" s="16">
        <f>'4-πολλυπρ'!D54</f>
        <v>0</v>
      </c>
      <c r="C54" s="16">
        <f>'4-πολλυπρ'!I54</f>
        <v>0</v>
      </c>
      <c r="D54" s="26"/>
      <c r="E54" s="26"/>
      <c r="F54" s="13"/>
      <c r="G54" s="30"/>
      <c r="H54" s="13"/>
      <c r="I54" s="26"/>
      <c r="J54" s="13"/>
      <c r="K54" s="170" t="s">
        <v>344</v>
      </c>
      <c r="L54" s="26"/>
      <c r="M54" s="26"/>
      <c r="N54" s="26"/>
      <c r="O54" s="26"/>
      <c r="P54" s="26"/>
      <c r="Q54" s="26"/>
      <c r="R54" s="26"/>
      <c r="S54" s="26"/>
      <c r="T54" s="26"/>
      <c r="U54" s="13"/>
      <c r="V54" s="30"/>
      <c r="W54" s="30"/>
      <c r="X54" s="26"/>
      <c r="Y54" s="26"/>
      <c r="Z54" s="13"/>
      <c r="AA54" s="26"/>
      <c r="AB54" s="13"/>
      <c r="AC54" s="26"/>
      <c r="AD54" s="13"/>
      <c r="AE54" s="221" t="s">
        <v>344</v>
      </c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13"/>
      <c r="AU54" s="26"/>
      <c r="AV54" s="13"/>
      <c r="AW54" s="26"/>
      <c r="AX54" s="13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13"/>
      <c r="BJ54" s="26"/>
      <c r="BK54" s="26"/>
      <c r="BL54" s="26"/>
      <c r="BM54" s="26"/>
    </row>
    <row r="55" spans="1:65">
      <c r="A55" s="32">
        <f>'1-συμβολαια'!A55</f>
        <v>0</v>
      </c>
      <c r="B55" s="16">
        <f>'4-πολλυπρ'!D55</f>
        <v>0</v>
      </c>
      <c r="C55" s="16">
        <f>'4-πολλυπρ'!I55</f>
        <v>0</v>
      </c>
      <c r="D55" s="26"/>
      <c r="E55" s="26"/>
      <c r="F55" s="13"/>
      <c r="G55" s="30"/>
      <c r="H55" s="13"/>
      <c r="I55" s="26"/>
      <c r="J55" s="13"/>
      <c r="K55" s="170" t="s">
        <v>344</v>
      </c>
      <c r="L55" s="26"/>
      <c r="M55" s="26"/>
      <c r="N55" s="26"/>
      <c r="O55" s="26"/>
      <c r="P55" s="26"/>
      <c r="Q55" s="26"/>
      <c r="R55" s="26"/>
      <c r="S55" s="26"/>
      <c r="T55" s="26"/>
      <c r="U55" s="13"/>
      <c r="V55" s="30"/>
      <c r="W55" s="30"/>
      <c r="X55" s="26"/>
      <c r="Y55" s="26"/>
      <c r="Z55" s="13"/>
      <c r="AA55" s="26"/>
      <c r="AB55" s="13"/>
      <c r="AC55" s="26"/>
      <c r="AD55" s="13"/>
      <c r="AE55" s="221" t="s">
        <v>344</v>
      </c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13"/>
      <c r="AU55" s="26"/>
      <c r="AV55" s="13"/>
      <c r="AW55" s="26"/>
      <c r="AX55" s="13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13"/>
      <c r="BJ55" s="26"/>
      <c r="BK55" s="26"/>
      <c r="BL55" s="26"/>
      <c r="BM55" s="26"/>
    </row>
    <row r="56" spans="1:65">
      <c r="A56" s="32">
        <f>'1-συμβολαια'!A56</f>
        <v>4631</v>
      </c>
      <c r="B56" s="16">
        <f>'4-πολλυπρ'!D56</f>
        <v>0</v>
      </c>
      <c r="C56" s="16">
        <f>'4-πολλυπρ'!I56</f>
        <v>0</v>
      </c>
      <c r="D56" s="26"/>
      <c r="E56" s="26"/>
      <c r="F56" s="13"/>
      <c r="G56" s="30"/>
      <c r="H56" s="13"/>
      <c r="I56" s="26"/>
      <c r="J56" s="13"/>
      <c r="K56" s="170" t="s">
        <v>344</v>
      </c>
      <c r="L56" s="26"/>
      <c r="M56" s="26"/>
      <c r="N56" s="26"/>
      <c r="O56" s="26"/>
      <c r="P56" s="26"/>
      <c r="Q56" s="26"/>
      <c r="R56" s="26"/>
      <c r="S56" s="26"/>
      <c r="T56" s="26"/>
      <c r="U56" s="13"/>
      <c r="V56" s="30"/>
      <c r="W56" s="30"/>
      <c r="X56" s="26"/>
      <c r="Y56" s="26"/>
      <c r="Z56" s="13"/>
      <c r="AA56" s="26"/>
      <c r="AB56" s="13"/>
      <c r="AC56" s="26"/>
      <c r="AD56" s="13"/>
      <c r="AE56" s="221" t="s">
        <v>344</v>
      </c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13"/>
      <c r="AU56" s="26"/>
      <c r="AV56" s="13"/>
      <c r="AW56" s="26"/>
      <c r="AX56" s="13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13"/>
      <c r="BJ56" s="26"/>
      <c r="BK56" s="26"/>
      <c r="BL56" s="26"/>
      <c r="BM56" s="26"/>
    </row>
    <row r="57" spans="1:65">
      <c r="A57" s="32">
        <f>'1-συμβολαια'!A57</f>
        <v>0</v>
      </c>
      <c r="B57" s="16">
        <f>'4-πολλυπρ'!D57</f>
        <v>0</v>
      </c>
      <c r="C57" s="16">
        <f>'4-πολλυπρ'!I57</f>
        <v>0</v>
      </c>
      <c r="D57" s="26"/>
      <c r="E57" s="26"/>
      <c r="F57" s="13"/>
      <c r="G57" s="30"/>
      <c r="H57" s="13"/>
      <c r="I57" s="26"/>
      <c r="J57" s="13"/>
      <c r="K57" s="170" t="s">
        <v>344</v>
      </c>
      <c r="L57" s="26"/>
      <c r="M57" s="26"/>
      <c r="N57" s="26"/>
      <c r="O57" s="26"/>
      <c r="P57" s="26"/>
      <c r="Q57" s="26"/>
      <c r="R57" s="26"/>
      <c r="S57" s="26"/>
      <c r="T57" s="26"/>
      <c r="U57" s="13"/>
      <c r="V57" s="30"/>
      <c r="W57" s="30"/>
      <c r="X57" s="26"/>
      <c r="Y57" s="26"/>
      <c r="Z57" s="13"/>
      <c r="AA57" s="26"/>
      <c r="AB57" s="13"/>
      <c r="AC57" s="26"/>
      <c r="AD57" s="13"/>
      <c r="AE57" s="221" t="s">
        <v>344</v>
      </c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13"/>
      <c r="AU57" s="26"/>
      <c r="AV57" s="13"/>
      <c r="AW57" s="26"/>
      <c r="AX57" s="13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13"/>
      <c r="BJ57" s="26"/>
      <c r="BK57" s="26"/>
      <c r="BL57" s="26"/>
      <c r="BM57" s="26"/>
    </row>
    <row r="58" spans="1:65">
      <c r="A58" s="32">
        <f>'1-συμβολαια'!A58</f>
        <v>0</v>
      </c>
      <c r="B58" s="16">
        <f>'4-πολλυπρ'!D58</f>
        <v>0</v>
      </c>
      <c r="C58" s="16">
        <f>'4-πολλυπρ'!I58</f>
        <v>0</v>
      </c>
      <c r="D58" s="26"/>
      <c r="E58" s="26"/>
      <c r="F58" s="13"/>
      <c r="G58" s="30"/>
      <c r="H58" s="13"/>
      <c r="I58" s="26"/>
      <c r="J58" s="13"/>
      <c r="K58" s="170" t="s">
        <v>344</v>
      </c>
      <c r="L58" s="26"/>
      <c r="M58" s="26"/>
      <c r="N58" s="26"/>
      <c r="O58" s="26"/>
      <c r="P58" s="26"/>
      <c r="Q58" s="26"/>
      <c r="R58" s="26"/>
      <c r="S58" s="26"/>
      <c r="T58" s="26"/>
      <c r="U58" s="13"/>
      <c r="V58" s="30"/>
      <c r="W58" s="30"/>
      <c r="X58" s="26"/>
      <c r="Y58" s="26"/>
      <c r="Z58" s="13"/>
      <c r="AA58" s="26"/>
      <c r="AB58" s="13"/>
      <c r="AC58" s="26"/>
      <c r="AD58" s="13"/>
      <c r="AE58" s="221" t="s">
        <v>344</v>
      </c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13"/>
      <c r="AU58" s="26"/>
      <c r="AV58" s="13"/>
      <c r="AW58" s="26"/>
      <c r="AX58" s="13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13"/>
      <c r="BJ58" s="26"/>
      <c r="BK58" s="26"/>
      <c r="BL58" s="26"/>
      <c r="BM58" s="26"/>
    </row>
    <row r="60" spans="1:65">
      <c r="F60" s="841" t="s">
        <v>345</v>
      </c>
      <c r="G60" s="841"/>
      <c r="H60" s="841"/>
      <c r="I60" s="841"/>
    </row>
    <row r="61" spans="1:65">
      <c r="F61" s="841"/>
      <c r="G61" s="841"/>
      <c r="H61" s="841"/>
      <c r="I61" s="841"/>
    </row>
  </sheetData>
  <mergeCells count="9">
    <mergeCell ref="AX1:BM1"/>
    <mergeCell ref="D2:E2"/>
    <mergeCell ref="F60:I6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AS139"/>
  <sheetViews>
    <sheetView workbookViewId="0">
      <pane ySplit="2" topLeftCell="A24" activePane="bottomLeft" state="frozen"/>
      <selection pane="bottomLeft" activeCell="T64" sqref="T64"/>
    </sheetView>
  </sheetViews>
  <sheetFormatPr defaultRowHeight="11.25"/>
  <cols>
    <col min="1" max="1" width="7.28515625" style="8" bestFit="1" customWidth="1"/>
    <col min="2" max="2" width="5.5703125" style="8" bestFit="1" customWidth="1"/>
    <col min="3" max="3" width="52.28515625" style="111" bestFit="1" customWidth="1"/>
    <col min="4" max="4" width="11.5703125" style="3" customWidth="1"/>
    <col min="5" max="5" width="11" style="3" customWidth="1"/>
    <col min="6" max="6" width="8.140625" style="3" bestFit="1" customWidth="1"/>
    <col min="7" max="7" width="8" style="2" customWidth="1"/>
    <col min="8" max="9" width="8.28515625" style="2" customWidth="1"/>
    <col min="10" max="10" width="5.7109375" style="2" bestFit="1" customWidth="1"/>
    <col min="11" max="11" width="5.140625" style="2" bestFit="1" customWidth="1"/>
    <col min="12" max="12" width="5" style="2" bestFit="1" customWidth="1"/>
    <col min="13" max="13" width="9.85546875" style="2" customWidth="1"/>
    <col min="14" max="14" width="9.42578125" style="2" customWidth="1"/>
    <col min="15" max="15" width="8.140625" style="2" bestFit="1" customWidth="1"/>
    <col min="16" max="16" width="6.140625" style="91" bestFit="1" customWidth="1"/>
    <col min="17" max="17" width="6.42578125" style="2" bestFit="1" customWidth="1"/>
    <col min="18" max="18" width="8.140625" style="2" bestFit="1" customWidth="1"/>
    <col min="19" max="19" width="9.42578125" style="2" bestFit="1" customWidth="1"/>
    <col min="20" max="20" width="8.28515625" style="2" bestFit="1" customWidth="1"/>
    <col min="21" max="21" width="9.42578125" style="2" bestFit="1" customWidth="1"/>
    <col min="22" max="22" width="8.28515625" style="2" bestFit="1" customWidth="1"/>
    <col min="23" max="23" width="10.28515625" style="2" bestFit="1" customWidth="1"/>
    <col min="24" max="25" width="9.42578125" style="2" bestFit="1" customWidth="1"/>
    <col min="26" max="26" width="8.42578125" style="29" bestFit="1" customWidth="1"/>
    <col min="27" max="27" width="10.7109375" style="29" customWidth="1"/>
    <col min="28" max="28" width="36" style="93" customWidth="1"/>
    <col min="29" max="44" width="7" style="3" customWidth="1"/>
    <col min="45" max="45" width="29.28515625" style="3" bestFit="1" customWidth="1"/>
    <col min="46" max="16384" width="9.140625" style="3"/>
  </cols>
  <sheetData>
    <row r="1" spans="1:28" ht="29.25" customHeight="1">
      <c r="A1" s="876" t="s">
        <v>1</v>
      </c>
      <c r="B1" s="878" t="s">
        <v>2</v>
      </c>
      <c r="C1" s="875" t="s">
        <v>0</v>
      </c>
      <c r="D1" s="879" t="s">
        <v>11</v>
      </c>
      <c r="E1" s="873" t="s">
        <v>12</v>
      </c>
      <c r="F1" s="881" t="s">
        <v>465</v>
      </c>
      <c r="G1" s="882"/>
      <c r="H1" s="882"/>
      <c r="I1" s="883" t="s">
        <v>389</v>
      </c>
      <c r="J1" s="869" t="s">
        <v>62</v>
      </c>
      <c r="K1" s="869"/>
      <c r="L1" s="869"/>
      <c r="M1" s="851" t="s">
        <v>571</v>
      </c>
      <c r="N1" s="854" t="s">
        <v>151</v>
      </c>
      <c r="O1" s="858" t="s">
        <v>560</v>
      </c>
      <c r="P1" s="859"/>
      <c r="Q1" s="859"/>
      <c r="R1" s="852" t="s">
        <v>559</v>
      </c>
      <c r="S1" s="862" t="s">
        <v>43</v>
      </c>
      <c r="T1" s="863"/>
      <c r="U1" s="751" t="s">
        <v>58</v>
      </c>
      <c r="V1" s="753"/>
      <c r="W1" s="860" t="s">
        <v>80</v>
      </c>
      <c r="X1" s="861"/>
      <c r="Y1" s="861"/>
      <c r="Z1" s="864" t="s">
        <v>54</v>
      </c>
      <c r="AA1" s="866" t="s">
        <v>44</v>
      </c>
      <c r="AB1" s="856" t="s">
        <v>84</v>
      </c>
    </row>
    <row r="2" spans="1:28" ht="26.25" thickBot="1">
      <c r="A2" s="877"/>
      <c r="B2" s="600"/>
      <c r="C2" s="625"/>
      <c r="D2" s="880"/>
      <c r="E2" s="874"/>
      <c r="F2" s="308" t="s">
        <v>279</v>
      </c>
      <c r="G2" s="307" t="s">
        <v>101</v>
      </c>
      <c r="H2" s="391" t="s">
        <v>47</v>
      </c>
      <c r="I2" s="884"/>
      <c r="J2" s="587" t="s">
        <v>520</v>
      </c>
      <c r="K2" s="587" t="s">
        <v>151</v>
      </c>
      <c r="L2" s="588" t="s">
        <v>47</v>
      </c>
      <c r="M2" s="671"/>
      <c r="N2" s="855"/>
      <c r="O2" s="85" t="s">
        <v>23</v>
      </c>
      <c r="P2" s="586" t="s">
        <v>86</v>
      </c>
      <c r="Q2" s="392" t="s">
        <v>85</v>
      </c>
      <c r="R2" s="853"/>
      <c r="S2" s="44" t="s">
        <v>23</v>
      </c>
      <c r="T2" s="39" t="s">
        <v>34</v>
      </c>
      <c r="U2" s="44" t="s">
        <v>23</v>
      </c>
      <c r="V2" s="45" t="s">
        <v>34</v>
      </c>
      <c r="W2" s="44" t="s">
        <v>78</v>
      </c>
      <c r="X2" s="10" t="s">
        <v>79</v>
      </c>
      <c r="Y2" s="43" t="s">
        <v>33</v>
      </c>
      <c r="Z2" s="865"/>
      <c r="AA2" s="867"/>
      <c r="AB2" s="857"/>
    </row>
    <row r="3" spans="1:28" s="5" customFormat="1">
      <c r="A3" s="482">
        <f>'1-συμβολαια'!A3</f>
        <v>4600</v>
      </c>
      <c r="B3" s="478">
        <f>'1-συμβολαια'!B3</f>
        <v>2</v>
      </c>
      <c r="C3" s="479" t="str">
        <f>'1-συμβολαια'!C3</f>
        <v>δωρεά</v>
      </c>
      <c r="D3" s="408">
        <f>'4-πολλυπρ'!D3</f>
        <v>0</v>
      </c>
      <c r="E3" s="408">
        <f>'4-πολλυπρ'!I3</f>
        <v>0</v>
      </c>
      <c r="F3" s="411">
        <f>'14-βιβλΕσ'!L3</f>
        <v>14.427308</v>
      </c>
      <c r="G3" s="413">
        <f>'11-χαρτόσ'!L3+'13-ντιΜιΧο'!CA3</f>
        <v>4.46</v>
      </c>
      <c r="H3" s="413">
        <f>F3+G3</f>
        <v>18.887308000000001</v>
      </c>
      <c r="I3" s="413"/>
      <c r="J3" s="306"/>
      <c r="K3" s="306"/>
      <c r="L3" s="306"/>
      <c r="M3" s="413">
        <f>('14-βιβλΕσ'!O3+'14-βιβλΕσ'!P3+'14-βιβλΕσ'!T3)*40%</f>
        <v>77.484288000000006</v>
      </c>
      <c r="N3" s="413">
        <f>'14-βιβλΕσ'!T3</f>
        <v>198.4</v>
      </c>
      <c r="O3" s="413"/>
      <c r="P3" s="325"/>
      <c r="Q3" s="325"/>
      <c r="R3" s="413"/>
      <c r="S3" s="413">
        <f>H3+I3+L3+M3+O3+R3</f>
        <v>96.371596000000011</v>
      </c>
      <c r="T3" s="329">
        <v>984</v>
      </c>
      <c r="U3" s="413">
        <f>Y3-S3</f>
        <v>101.79507899999999</v>
      </c>
      <c r="V3" s="329">
        <v>524</v>
      </c>
      <c r="W3" s="413">
        <f>'1-συμβολαια'!L3+H3+'8-κ-15-17'!AE3+L3+N3</f>
        <v>375.42667499999999</v>
      </c>
      <c r="X3" s="413">
        <f>'1-συμβολαια'!M3</f>
        <v>177.26</v>
      </c>
      <c r="Y3" s="413">
        <f t="shared" ref="Y3:Y34" si="0">W3-X3</f>
        <v>198.166675</v>
      </c>
      <c r="Z3" s="480">
        <v>45663</v>
      </c>
      <c r="AA3" s="577">
        <f t="shared" ref="AA3:AA56" si="1">T3+V3</f>
        <v>1508</v>
      </c>
      <c r="AB3" s="481"/>
    </row>
    <row r="4" spans="1:28" s="5" customFormat="1">
      <c r="A4" s="482"/>
      <c r="B4" s="478"/>
      <c r="C4" s="479" t="str">
        <f>'1-συμβολαια'!C4</f>
        <v>ΧΡΗΣΙΚΤΗΣΙΑ οικοπέδου &amp; οικίας = 1930 πατρός ΔΩΡΕΑ άτυπη</v>
      </c>
      <c r="D4" s="408">
        <f>'4-πολλυπρ'!D4</f>
        <v>0</v>
      </c>
      <c r="E4" s="408">
        <f>'4-πολλυπρ'!I4</f>
        <v>0</v>
      </c>
      <c r="F4" s="411">
        <f>'14-βιβλΕσ'!L4</f>
        <v>7.2753120000000013</v>
      </c>
      <c r="G4" s="413">
        <f>'11-χαρτόσ'!L4+'13-ντιΜιΧο'!CA4</f>
        <v>0</v>
      </c>
      <c r="H4" s="413">
        <f t="shared" ref="H4:H56" si="2">F4+G4</f>
        <v>7.2753120000000013</v>
      </c>
      <c r="I4" s="413">
        <f>'8-κ-15-17'!AG4</f>
        <v>25.830750000000002</v>
      </c>
      <c r="J4" s="306"/>
      <c r="K4" s="306"/>
      <c r="L4" s="306"/>
      <c r="M4" s="413">
        <f>('14-βιβλΕσ'!O4+'14-βιβλΕσ'!P4+'14-βιβλΕσ'!T4)*40%</f>
        <v>25.804032000000003</v>
      </c>
      <c r="N4" s="413">
        <f>'14-βιβλΕσ'!T4</f>
        <v>0</v>
      </c>
      <c r="O4" s="413"/>
      <c r="P4" s="325"/>
      <c r="Q4" s="325"/>
      <c r="R4" s="413"/>
      <c r="S4" s="413">
        <f t="shared" ref="S4:S56" si="3">H4+I4+L4+M4+O4+R4</f>
        <v>58.910094000000001</v>
      </c>
      <c r="T4" s="329">
        <v>602</v>
      </c>
      <c r="U4" s="413">
        <f t="shared" ref="U4:U56" si="4">Y4-S4</f>
        <v>31.43073600000001</v>
      </c>
      <c r="V4" s="329">
        <v>162</v>
      </c>
      <c r="W4" s="413">
        <f>'1-συμβολαια'!L4+H4+'8-κ-15-17'!AE4+L4+N4</f>
        <v>90.340830000000011</v>
      </c>
      <c r="X4" s="413">
        <f>'1-συμβολαια'!M4</f>
        <v>0</v>
      </c>
      <c r="Y4" s="413">
        <f t="shared" si="0"/>
        <v>90.340830000000011</v>
      </c>
      <c r="Z4" s="480">
        <v>45663</v>
      </c>
      <c r="AA4" s="577">
        <f t="shared" si="1"/>
        <v>764</v>
      </c>
      <c r="AB4" s="481"/>
    </row>
    <row r="5" spans="1:28" s="5" customFormat="1">
      <c r="A5" s="491">
        <f>'1-συμβολαια'!A5</f>
        <v>4601</v>
      </c>
      <c r="B5" s="478">
        <f>'1-συμβολαια'!B5</f>
        <v>9</v>
      </c>
      <c r="C5" s="479" t="str">
        <f>'1-συμβολαια'!C5</f>
        <v>αγοραπωλησίας 13.835κ ΕΞΟΦΛΗΣΗ</v>
      </c>
      <c r="D5" s="408">
        <f>'4-πολλυπρ'!D5</f>
        <v>0</v>
      </c>
      <c r="E5" s="408">
        <f>'4-πολλυπρ'!I5</f>
        <v>0</v>
      </c>
      <c r="F5" s="411">
        <f>'14-βιβλΕσ'!L5</f>
        <v>2.6898</v>
      </c>
      <c r="G5" s="413">
        <f>'11-χαρτόσ'!L5+'13-ντιΜιΧο'!CA5</f>
        <v>13.65</v>
      </c>
      <c r="H5" s="413">
        <f t="shared" si="2"/>
        <v>16.3398</v>
      </c>
      <c r="I5" s="413"/>
      <c r="J5" s="306"/>
      <c r="K5" s="306"/>
      <c r="L5" s="306"/>
      <c r="M5" s="413">
        <f>('14-βιβλΕσ'!O5+'14-βιβλΕσ'!P5+'14-βιβλΕσ'!T5)*40%</f>
        <v>147.16800000000001</v>
      </c>
      <c r="N5" s="413">
        <f>'14-βιβλΕσ'!T5</f>
        <v>344.16</v>
      </c>
      <c r="O5" s="413"/>
      <c r="P5" s="325"/>
      <c r="Q5" s="325"/>
      <c r="R5" s="413"/>
      <c r="S5" s="413">
        <f t="shared" si="3"/>
        <v>163.5078</v>
      </c>
      <c r="T5" s="329">
        <v>1670</v>
      </c>
      <c r="U5" s="413">
        <f t="shared" si="4"/>
        <v>218.06219999999999</v>
      </c>
      <c r="V5" s="329">
        <v>1123</v>
      </c>
      <c r="W5" s="413">
        <f>'1-συμβολαια'!L5+H5+'8-κ-15-17'!AE5+L5+N5</f>
        <v>415.61</v>
      </c>
      <c r="X5" s="413">
        <f>'1-συμβολαια'!M5</f>
        <v>34.04</v>
      </c>
      <c r="Y5" s="413">
        <f t="shared" si="0"/>
        <v>381.57</v>
      </c>
      <c r="Z5" s="480">
        <v>45663</v>
      </c>
      <c r="AA5" s="325">
        <f t="shared" si="1"/>
        <v>2793</v>
      </c>
      <c r="AB5" s="492" t="s">
        <v>563</v>
      </c>
    </row>
    <row r="6" spans="1:28" s="5" customFormat="1">
      <c r="A6" s="482">
        <f>'1-συμβολαια'!A6</f>
        <v>4602</v>
      </c>
      <c r="B6" s="478">
        <f>'1-συμβολαια'!B6</f>
        <v>10</v>
      </c>
      <c r="C6" s="479" t="str">
        <f>'1-συμβολαια'!C6</f>
        <v>κληρονομιάς ΑΠΟΔΟΧΗ</v>
      </c>
      <c r="D6" s="408">
        <f>'4-πολλυπρ'!D6</f>
        <v>0</v>
      </c>
      <c r="E6" s="408">
        <f>'4-πολλυπρ'!I6</f>
        <v>0</v>
      </c>
      <c r="F6" s="411">
        <f>'14-βιβλΕσ'!L6</f>
        <v>4.6497000000000002</v>
      </c>
      <c r="G6" s="413">
        <f>'11-χαρτόσ'!L6+'13-ντιΜιΧο'!CA6</f>
        <v>4.46</v>
      </c>
      <c r="H6" s="413">
        <f t="shared" si="2"/>
        <v>9.1097000000000001</v>
      </c>
      <c r="I6" s="413"/>
      <c r="J6" s="306"/>
      <c r="K6" s="306"/>
      <c r="L6" s="306"/>
      <c r="M6" s="413">
        <f>('14-βιβλΕσ'!O6+'14-βιβλΕσ'!P6+'14-βιβλΕσ'!T6)*40%</f>
        <v>103.82000000000004</v>
      </c>
      <c r="N6" s="413">
        <f>'14-βιβλΕσ'!T6</f>
        <v>211.51000000000005</v>
      </c>
      <c r="O6" s="505">
        <f t="shared" ref="O6:O11" si="5">Y6</f>
        <v>264.01000000000005</v>
      </c>
      <c r="P6" s="325"/>
      <c r="Q6" s="325"/>
      <c r="R6" s="413"/>
      <c r="S6" s="505">
        <f>H6+I6+L6+M6+R6</f>
        <v>112.92970000000004</v>
      </c>
      <c r="T6" s="329">
        <v>1154</v>
      </c>
      <c r="U6" s="413">
        <f t="shared" si="4"/>
        <v>151.08030000000002</v>
      </c>
      <c r="V6" s="329">
        <v>778</v>
      </c>
      <c r="W6" s="413">
        <f>'1-συμβολαια'!L6+H6+'8-κ-15-17'!AE6+L6+N6</f>
        <v>309.01000000000005</v>
      </c>
      <c r="X6" s="413">
        <f>'1-συμβολαια'!M6</f>
        <v>45</v>
      </c>
      <c r="Y6" s="413">
        <f t="shared" si="0"/>
        <v>264.01000000000005</v>
      </c>
      <c r="Z6" s="480">
        <v>45663</v>
      </c>
      <c r="AA6" s="577">
        <f t="shared" si="1"/>
        <v>1932</v>
      </c>
      <c r="AB6" s="481"/>
    </row>
    <row r="7" spans="1:28" s="5" customFormat="1">
      <c r="A7" s="482"/>
      <c r="B7" s="478"/>
      <c r="C7" s="479" t="str">
        <f>'1-συμβολαια'!C7</f>
        <v>ΧΡΗΣΙΚΤΗΣΙΑ αγροτεμαχίου = 19?? ΑΝΑΔΑΣΜΟΣ</v>
      </c>
      <c r="D7" s="408">
        <f>'4-πολλυπρ'!D7</f>
        <v>0</v>
      </c>
      <c r="E7" s="408">
        <f>'4-πολλυπρ'!I7</f>
        <v>0</v>
      </c>
      <c r="F7" s="411">
        <f>'14-βιβλΕσ'!L7</f>
        <v>3.2757120000000004</v>
      </c>
      <c r="G7" s="413">
        <f>'11-χαρτόσ'!L7+'13-ντιΜιΧο'!CA7</f>
        <v>0</v>
      </c>
      <c r="H7" s="413">
        <f t="shared" si="2"/>
        <v>3.2757120000000004</v>
      </c>
      <c r="I7" s="413">
        <f>'8-κ-15-17'!AG7</f>
        <v>8.6102500000000006</v>
      </c>
      <c r="J7" s="306"/>
      <c r="K7" s="306"/>
      <c r="L7" s="306"/>
      <c r="M7" s="413">
        <f>('14-βιβλΕσ'!O7+'14-βιβλΕσ'!P7+'14-βιβλΕσ'!T7)*40%</f>
        <v>12.794432</v>
      </c>
      <c r="N7" s="413">
        <f>'14-βιβλΕσ'!T7</f>
        <v>0</v>
      </c>
      <c r="O7" s="505">
        <f t="shared" si="5"/>
        <v>40.596330000000002</v>
      </c>
      <c r="P7" s="325"/>
      <c r="Q7" s="325"/>
      <c r="R7" s="413"/>
      <c r="S7" s="505">
        <f>H7+I7+L7+M7+R7</f>
        <v>24.680394</v>
      </c>
      <c r="T7" s="329">
        <v>252</v>
      </c>
      <c r="U7" s="413">
        <f t="shared" si="4"/>
        <v>15.915936000000002</v>
      </c>
      <c r="V7" s="329">
        <v>82</v>
      </c>
      <c r="W7" s="413">
        <f>'1-συμβολαια'!L7+H7+'8-κ-15-17'!AE7+L7+N7</f>
        <v>40.596330000000002</v>
      </c>
      <c r="X7" s="413">
        <f>'1-συμβολαια'!M7</f>
        <v>0</v>
      </c>
      <c r="Y7" s="413">
        <f t="shared" si="0"/>
        <v>40.596330000000002</v>
      </c>
      <c r="Z7" s="480">
        <v>45663</v>
      </c>
      <c r="AA7" s="577">
        <f t="shared" si="1"/>
        <v>334</v>
      </c>
      <c r="AB7" s="481"/>
    </row>
    <row r="8" spans="1:28" s="5" customFormat="1">
      <c r="A8" s="491">
        <f>'1-συμβολαια'!A8</f>
        <v>4603</v>
      </c>
      <c r="B8" s="478">
        <f>'1-συμβολαια'!B8</f>
        <v>10</v>
      </c>
      <c r="C8" s="479" t="str">
        <f>'1-συμβολαια'!C8</f>
        <v>γονικής 11.618καπολα ΔΙΟΡΘΩΣΗ</v>
      </c>
      <c r="D8" s="408">
        <f>'4-πολλυπρ'!D8</f>
        <v>0</v>
      </c>
      <c r="E8" s="408">
        <f>'4-πολλυπρ'!I8</f>
        <v>0</v>
      </c>
      <c r="F8" s="411">
        <f>'14-βιβλΕσ'!L8</f>
        <v>2.6898</v>
      </c>
      <c r="G8" s="413">
        <f>'11-χαρτόσ'!L8+'13-ντιΜιΧο'!CA8</f>
        <v>4.46</v>
      </c>
      <c r="H8" s="413">
        <f t="shared" si="2"/>
        <v>7.1497999999999999</v>
      </c>
      <c r="I8" s="413"/>
      <c r="J8" s="306"/>
      <c r="K8" s="306"/>
      <c r="L8" s="306"/>
      <c r="M8" s="413">
        <f>('14-βιβλΕσ'!O8+'14-βιβλΕσ'!P8+'14-βιβλΕσ'!T8)*40%</f>
        <v>52.783999999999992</v>
      </c>
      <c r="N8" s="413">
        <f>'14-βιβλΕσ'!T8</f>
        <v>89.409999999999982</v>
      </c>
      <c r="O8" s="413"/>
      <c r="P8" s="325"/>
      <c r="Q8" s="325"/>
      <c r="R8" s="413"/>
      <c r="S8" s="413">
        <f t="shared" si="3"/>
        <v>59.933799999999991</v>
      </c>
      <c r="T8" s="329">
        <v>612</v>
      </c>
      <c r="U8" s="413">
        <f t="shared" si="4"/>
        <v>76.486200000000025</v>
      </c>
      <c r="V8" s="329">
        <v>394</v>
      </c>
      <c r="W8" s="413">
        <f>'1-συμβολαια'!L8+H8+'8-κ-15-17'!AE8+L8+N8</f>
        <v>164</v>
      </c>
      <c r="X8" s="413">
        <f>'1-συμβολαια'!M8</f>
        <v>27.58</v>
      </c>
      <c r="Y8" s="413">
        <f t="shared" si="0"/>
        <v>136.42000000000002</v>
      </c>
      <c r="Z8" s="480">
        <v>45664</v>
      </c>
      <c r="AA8" s="578">
        <f t="shared" si="1"/>
        <v>1006</v>
      </c>
      <c r="AB8" s="481"/>
    </row>
    <row r="9" spans="1:28" s="5" customFormat="1">
      <c r="A9" s="491">
        <f>'1-συμβολαια'!A9</f>
        <v>4604</v>
      </c>
      <c r="B9" s="478">
        <f>'1-συμβολαια'!B9</f>
        <v>10</v>
      </c>
      <c r="C9" s="479" t="str">
        <f>'1-συμβολαια'!C9</f>
        <v>γονικής 11.619καπολα ΔΙΟΡΘΩΣΗ</v>
      </c>
      <c r="D9" s="408">
        <f>'4-πολλυπρ'!D9</f>
        <v>0</v>
      </c>
      <c r="E9" s="408">
        <f>'4-πολλυπρ'!I9</f>
        <v>0</v>
      </c>
      <c r="F9" s="411">
        <f>'14-βιβλΕσ'!L9</f>
        <v>2.6898</v>
      </c>
      <c r="G9" s="413">
        <f>'11-χαρτόσ'!L9+'13-ντιΜιΧο'!CA9</f>
        <v>4.46</v>
      </c>
      <c r="H9" s="413">
        <f t="shared" si="2"/>
        <v>7.1497999999999999</v>
      </c>
      <c r="I9" s="413"/>
      <c r="J9" s="306"/>
      <c r="K9" s="306"/>
      <c r="L9" s="306"/>
      <c r="M9" s="413">
        <f>('14-βιβλΕσ'!O9+'14-βιβλΕσ'!P9+'14-βιβλΕσ'!T9)*40%</f>
        <v>39.636000000000003</v>
      </c>
      <c r="N9" s="413">
        <f>'14-βιβλΕσ'!T9</f>
        <v>65.929999999999993</v>
      </c>
      <c r="O9" s="413"/>
      <c r="P9" s="325"/>
      <c r="Q9" s="325"/>
      <c r="R9" s="413"/>
      <c r="S9" s="413">
        <f t="shared" si="3"/>
        <v>46.785800000000002</v>
      </c>
      <c r="T9" s="329">
        <v>478</v>
      </c>
      <c r="U9" s="413">
        <f t="shared" si="4"/>
        <v>56.764199999999981</v>
      </c>
      <c r="V9" s="329">
        <v>335</v>
      </c>
      <c r="W9" s="413">
        <f>'1-συμβολαια'!L9+H9+'8-κ-15-17'!AE9+L9+N9</f>
        <v>140.51999999999998</v>
      </c>
      <c r="X9" s="413">
        <f>'1-συμβολαια'!M9</f>
        <v>36.97</v>
      </c>
      <c r="Y9" s="413">
        <f t="shared" si="0"/>
        <v>103.54999999999998</v>
      </c>
      <c r="Z9" s="480">
        <v>45664</v>
      </c>
      <c r="AA9" s="578">
        <f t="shared" si="1"/>
        <v>813</v>
      </c>
      <c r="AB9" s="481"/>
    </row>
    <row r="10" spans="1:28" s="5" customFormat="1">
      <c r="A10" s="491">
        <f>'1-συμβολαια'!A10</f>
        <v>4605</v>
      </c>
      <c r="B10" s="478">
        <f>'1-συμβολαια'!B10</f>
        <v>10</v>
      </c>
      <c r="C10" s="517" t="str">
        <f>'1-συμβολαια'!C10</f>
        <v>* γονικής 11.618καπολα επικαρπίας ΕΝΣΩΜΑΤΩΣΗ {= παραίτηση αδερφής δικαιώματος οίκησης</v>
      </c>
      <c r="D10" s="408">
        <f>'4-πολλυπρ'!D10</f>
        <v>0</v>
      </c>
      <c r="E10" s="408">
        <f>'4-πολλυπρ'!I10</f>
        <v>0</v>
      </c>
      <c r="F10" s="411">
        <f>'14-βιβλΕσ'!L10</f>
        <v>6.6967119999999998</v>
      </c>
      <c r="G10" s="413">
        <f>'11-χαρτόσ'!L10+'13-ντιΜιΧο'!CA10</f>
        <v>4.46</v>
      </c>
      <c r="H10" s="413">
        <f t="shared" si="2"/>
        <v>11.156711999999999</v>
      </c>
      <c r="I10" s="413">
        <f>'8-κ-15-17'!AG10</f>
        <v>17.220500000000001</v>
      </c>
      <c r="J10" s="306"/>
      <c r="K10" s="306"/>
      <c r="L10" s="306"/>
      <c r="M10" s="413">
        <f>('14-βιβλΕσ'!O10+'14-βιβλΕσ'!P10+'14-βιβλΕσ'!T10)*40%</f>
        <v>36.751232000000002</v>
      </c>
      <c r="N10" s="413">
        <f>'14-βιβλΕσ'!T10</f>
        <v>60.35</v>
      </c>
      <c r="O10" s="413"/>
      <c r="P10" s="325"/>
      <c r="Q10" s="325"/>
      <c r="R10" s="413"/>
      <c r="S10" s="413">
        <f t="shared" si="3"/>
        <v>65.128444000000002</v>
      </c>
      <c r="T10" s="329">
        <v>665</v>
      </c>
      <c r="U10" s="413">
        <f t="shared" si="4"/>
        <v>48.430136000000005</v>
      </c>
      <c r="V10" s="329">
        <v>249</v>
      </c>
      <c r="W10" s="413">
        <f>'1-συμβολαια'!L10+H10+'8-κ-15-17'!AE10+L10+N10</f>
        <v>149.36858000000001</v>
      </c>
      <c r="X10" s="413">
        <f>'1-συμβολαια'!M10</f>
        <v>35.81</v>
      </c>
      <c r="Y10" s="413">
        <f t="shared" si="0"/>
        <v>113.55858000000001</v>
      </c>
      <c r="Z10" s="480">
        <v>45664</v>
      </c>
      <c r="AA10" s="325">
        <f t="shared" si="1"/>
        <v>914</v>
      </c>
      <c r="AB10" s="481"/>
    </row>
    <row r="11" spans="1:28" s="5" customFormat="1">
      <c r="A11" s="491">
        <f>'1-συμβολαια'!A11</f>
        <v>4606</v>
      </c>
      <c r="B11" s="478">
        <f>'1-συμβολαια'!B11</f>
        <v>40</v>
      </c>
      <c r="C11" s="479" t="str">
        <f>'1-συμβολαια'!C11</f>
        <v>πληρεξούσιο</v>
      </c>
      <c r="D11" s="408">
        <f>'4-πολλυπρ'!D11</f>
        <v>0</v>
      </c>
      <c r="E11" s="408">
        <f>'4-πολλυπρ'!I11</f>
        <v>0</v>
      </c>
      <c r="F11" s="411"/>
      <c r="G11" s="413">
        <f>'11-χαρτόσ'!L11+'13-ντιΜιΧο'!CA11</f>
        <v>0</v>
      </c>
      <c r="H11" s="413">
        <f t="shared" si="2"/>
        <v>0</v>
      </c>
      <c r="I11" s="413"/>
      <c r="J11" s="306"/>
      <c r="K11" s="306"/>
      <c r="L11" s="306"/>
      <c r="M11" s="413">
        <f>('14-βιβλΕσ'!O11+'14-βιβλΕσ'!P11+'14-βιβλΕσ'!T11)*40%</f>
        <v>6.0039999999999996</v>
      </c>
      <c r="N11" s="413">
        <f>'14-βιβλΕσ'!T11</f>
        <v>0</v>
      </c>
      <c r="O11" s="413">
        <f t="shared" si="5"/>
        <v>13.386099999999999</v>
      </c>
      <c r="P11" s="325"/>
      <c r="Q11" s="325"/>
      <c r="R11" s="413"/>
      <c r="S11" s="413">
        <f>O11+Y11</f>
        <v>26.772199999999998</v>
      </c>
      <c r="T11" s="329">
        <v>273</v>
      </c>
      <c r="U11" s="519"/>
      <c r="V11" s="520"/>
      <c r="W11" s="413">
        <f>'1-συμβολαια'!L11+H11+'8-κ-15-17'!AE11+L11+N11</f>
        <v>37.386099999999999</v>
      </c>
      <c r="X11" s="413">
        <f>'1-συμβολαια'!M11</f>
        <v>24</v>
      </c>
      <c r="Y11" s="413">
        <f t="shared" si="0"/>
        <v>13.386099999999999</v>
      </c>
      <c r="Z11" s="480">
        <v>45664</v>
      </c>
      <c r="AA11" s="325">
        <f t="shared" si="1"/>
        <v>273</v>
      </c>
      <c r="AB11" s="481"/>
    </row>
    <row r="12" spans="1:28" s="5" customFormat="1">
      <c r="A12" s="491">
        <f>'1-συμβολαια'!A12</f>
        <v>4607</v>
      </c>
      <c r="B12" s="478">
        <f>'1-συμβολαια'!B12</f>
        <v>11</v>
      </c>
      <c r="C12" s="479" t="str">
        <f>'1-συμβολαια'!C12</f>
        <v>αγοραπωλησίας 3.919 ΔΙΟΡΘΩΣΗ</v>
      </c>
      <c r="D12" s="408">
        <f>'4-πολλυπρ'!D12</f>
        <v>0</v>
      </c>
      <c r="E12" s="408">
        <f>'4-πολλυπρ'!I12</f>
        <v>0</v>
      </c>
      <c r="F12" s="411"/>
      <c r="G12" s="413">
        <f>'11-χαρτόσ'!L12+'13-ντιΜιΧο'!CA12</f>
        <v>3.96</v>
      </c>
      <c r="H12" s="413">
        <f t="shared" si="2"/>
        <v>3.96</v>
      </c>
      <c r="I12" s="413"/>
      <c r="J12" s="306"/>
      <c r="K12" s="306"/>
      <c r="L12" s="306"/>
      <c r="M12" s="413">
        <f>('14-βιβλΕσ'!O12+'14-βιβλΕσ'!P12+'14-βιβλΕσ'!T12)*40%</f>
        <v>30.832000000000001</v>
      </c>
      <c r="N12" s="413">
        <f>'14-βιβλΕσ'!T12</f>
        <v>65.64</v>
      </c>
      <c r="O12" s="413"/>
      <c r="P12" s="325"/>
      <c r="Q12" s="325"/>
      <c r="R12" s="413"/>
      <c r="S12" s="413">
        <f t="shared" si="3"/>
        <v>34.792000000000002</v>
      </c>
      <c r="T12" s="329">
        <v>355</v>
      </c>
      <c r="U12" s="413">
        <f t="shared" si="4"/>
        <v>43.558199999999999</v>
      </c>
      <c r="V12" s="329">
        <v>224</v>
      </c>
      <c r="W12" s="413">
        <f>'1-συμβολαια'!L12+H12+'8-κ-15-17'!AE12+L12+N12</f>
        <v>124.7102</v>
      </c>
      <c r="X12" s="413">
        <f>'1-συμβολαια'!M12</f>
        <v>46.36</v>
      </c>
      <c r="Y12" s="413">
        <f t="shared" si="0"/>
        <v>78.350200000000001</v>
      </c>
      <c r="Z12" s="480">
        <v>45664</v>
      </c>
      <c r="AA12" s="325">
        <f t="shared" si="1"/>
        <v>579</v>
      </c>
      <c r="AB12" s="481" t="s">
        <v>574</v>
      </c>
    </row>
    <row r="13" spans="1:28" s="5" customFormat="1">
      <c r="A13" s="491">
        <f>'1-συμβολαια'!A13</f>
        <v>4608</v>
      </c>
      <c r="B13" s="478">
        <f>'1-συμβολαια'!B13</f>
        <v>14</v>
      </c>
      <c r="C13" s="479" t="str">
        <f>'1-συμβολαια'!C13</f>
        <v>αγοραπωλησία τίμημα = Δ.Ο.Υ. =</v>
      </c>
      <c r="D13" s="408">
        <f>'4-πολλυπρ'!D13</f>
        <v>0</v>
      </c>
      <c r="E13" s="408">
        <f>'4-πολλυπρ'!I13</f>
        <v>0</v>
      </c>
      <c r="F13" s="411">
        <f>'14-βιβλΕσ'!L13</f>
        <v>6.9492979999999989</v>
      </c>
      <c r="G13" s="413">
        <f>'11-χαρτόσ'!L13+'13-ντιΜιΧο'!CA13</f>
        <v>4.46</v>
      </c>
      <c r="H13" s="413">
        <f t="shared" si="2"/>
        <v>11.409298</v>
      </c>
      <c r="I13" s="413"/>
      <c r="J13" s="306"/>
      <c r="K13" s="306"/>
      <c r="L13" s="306"/>
      <c r="M13" s="413">
        <f>('14-βιβλΕσ'!O13+'14-βιβλΕσ'!P13+'14-βιβλΕσ'!T13)*40%</f>
        <v>87.198927999999995</v>
      </c>
      <c r="N13" s="413">
        <f>'14-βιβλΕσ'!T13</f>
        <v>210.07</v>
      </c>
      <c r="O13" s="413"/>
      <c r="P13" s="325"/>
      <c r="Q13" s="325"/>
      <c r="R13" s="413"/>
      <c r="S13" s="413">
        <f t="shared" si="3"/>
        <v>98.608226000000002</v>
      </c>
      <c r="T13" s="329">
        <v>1007</v>
      </c>
      <c r="U13" s="413">
        <f t="shared" si="4"/>
        <v>123.84909399999995</v>
      </c>
      <c r="V13" s="329">
        <v>638</v>
      </c>
      <c r="W13" s="413">
        <f>'1-συμβολαια'!L13+H13+'8-κ-15-17'!AE13+L13+N13</f>
        <v>292.85731999999996</v>
      </c>
      <c r="X13" s="413">
        <f>'1-συμβολαια'!M13</f>
        <v>70.400000000000006</v>
      </c>
      <c r="Y13" s="413">
        <f t="shared" si="0"/>
        <v>222.45731999999995</v>
      </c>
      <c r="Z13" s="480">
        <v>45665</v>
      </c>
      <c r="AA13" s="325">
        <f t="shared" si="1"/>
        <v>1645</v>
      </c>
      <c r="AB13" s="481"/>
    </row>
    <row r="14" spans="1:28" s="5" customFormat="1">
      <c r="A14" s="491">
        <f>'1-συμβολαια'!A14</f>
        <v>4609</v>
      </c>
      <c r="B14" s="478">
        <f>'1-συμβολαια'!B14</f>
        <v>14</v>
      </c>
      <c r="C14" s="479" t="str">
        <f>'1-συμβολαια'!C14</f>
        <v>αγοραπωλησία τίμημα = 6.057,27 Δ.Ο.Υ. =</v>
      </c>
      <c r="D14" s="525">
        <f>'4-πολλυπρ'!D14</f>
        <v>0</v>
      </c>
      <c r="E14" s="525">
        <f>'4-πολλυπρ'!I14</f>
        <v>0</v>
      </c>
      <c r="F14" s="411">
        <f>'14-βιβλΕσ'!L14</f>
        <v>36.981397999999999</v>
      </c>
      <c r="G14" s="413">
        <f>'11-χαρτόσ'!L14+'13-ντιΜιΧο'!CA14</f>
        <v>4.46</v>
      </c>
      <c r="H14" s="413">
        <f t="shared" si="2"/>
        <v>41.441398</v>
      </c>
      <c r="I14" s="413"/>
      <c r="J14" s="306"/>
      <c r="K14" s="306"/>
      <c r="L14" s="306"/>
      <c r="M14" s="413">
        <f>('14-βιβλΕσ'!O14+'14-βιβλΕσ'!P14+'14-βιβλΕσ'!T14)*40%</f>
        <v>92.356528000000026</v>
      </c>
      <c r="N14" s="413">
        <f>'14-βιβλΕσ'!T14</f>
        <v>242.34</v>
      </c>
      <c r="O14" s="413"/>
      <c r="P14" s="325"/>
      <c r="Q14" s="325"/>
      <c r="R14" s="413"/>
      <c r="S14" s="413">
        <f t="shared" si="3"/>
        <v>133.79792600000002</v>
      </c>
      <c r="T14" s="329">
        <v>1367</v>
      </c>
      <c r="U14" s="413">
        <f t="shared" si="4"/>
        <v>101.55339399999997</v>
      </c>
      <c r="V14" s="329">
        <v>523</v>
      </c>
      <c r="W14" s="413">
        <f>'1-συμβολαια'!L14+H14+'8-κ-15-17'!AE14+L14+N14</f>
        <v>525.34132</v>
      </c>
      <c r="X14" s="413">
        <f>'1-συμβολαια'!M14</f>
        <v>289.99</v>
      </c>
      <c r="Y14" s="413">
        <f t="shared" si="0"/>
        <v>235.35131999999999</v>
      </c>
      <c r="Z14" s="480">
        <v>45667</v>
      </c>
      <c r="AA14" s="578">
        <f t="shared" si="1"/>
        <v>1890</v>
      </c>
      <c r="AB14" s="481"/>
    </row>
    <row r="15" spans="1:28" s="5" customFormat="1">
      <c r="A15" s="491">
        <f>'1-συμβολαια'!A15</f>
        <v>4610</v>
      </c>
      <c r="B15" s="478">
        <f>'1-συμβολαια'!B15</f>
        <v>14</v>
      </c>
      <c r="C15" s="479" t="str">
        <f>'1-συμβολαια'!C15</f>
        <v>πληρεξούσιο</v>
      </c>
      <c r="D15" s="525">
        <f>'4-πολλυπρ'!D15</f>
        <v>0</v>
      </c>
      <c r="E15" s="525">
        <f>'4-πολλυπρ'!I15</f>
        <v>0</v>
      </c>
      <c r="F15" s="411">
        <f>'14-βιβλΕσ'!L15</f>
        <v>1.2686000000000002</v>
      </c>
      <c r="G15" s="413">
        <f>'11-χαρτόσ'!L15+'13-ντιΜιΧο'!CA15</f>
        <v>0</v>
      </c>
      <c r="H15" s="413">
        <f t="shared" si="2"/>
        <v>1.2686000000000002</v>
      </c>
      <c r="I15" s="413"/>
      <c r="J15" s="306"/>
      <c r="K15" s="306"/>
      <c r="L15" s="306"/>
      <c r="M15" s="413">
        <f>('14-βιβλΕσ'!O15+'14-βιβλΕσ'!P15+'14-βιβλΕσ'!T15)*40%</f>
        <v>-3.3560000000000003</v>
      </c>
      <c r="N15" s="413">
        <f>'14-βιβλΕσ'!T15</f>
        <v>0.3</v>
      </c>
      <c r="O15" s="413"/>
      <c r="P15" s="325"/>
      <c r="Q15" s="325"/>
      <c r="R15" s="413"/>
      <c r="S15" s="413">
        <f t="shared" si="3"/>
        <v>-2.0874000000000001</v>
      </c>
      <c r="T15" s="329"/>
      <c r="U15" s="413">
        <f t="shared" si="4"/>
        <v>-6.3026</v>
      </c>
      <c r="V15" s="329"/>
      <c r="W15" s="413">
        <f>'1-συμβολαια'!L15+H15+'8-κ-15-17'!AE15+L15+N15</f>
        <v>18.489999999999998</v>
      </c>
      <c r="X15" s="413">
        <f>'1-συμβολαια'!M15</f>
        <v>26.88</v>
      </c>
      <c r="Y15" s="413">
        <f t="shared" si="0"/>
        <v>-8.39</v>
      </c>
      <c r="Z15" s="480">
        <v>45667</v>
      </c>
      <c r="AA15" s="578">
        <f t="shared" si="1"/>
        <v>0</v>
      </c>
      <c r="AB15" s="481"/>
    </row>
    <row r="16" spans="1:28" s="5" customFormat="1">
      <c r="A16" s="482">
        <f>'1-συμβολαια'!A16</f>
        <v>4611</v>
      </c>
      <c r="B16" s="478">
        <f>'1-συμβολαια'!B16</f>
        <v>15</v>
      </c>
      <c r="C16" s="479" t="str">
        <f>'1-συμβολαια'!C16</f>
        <v>γονική</v>
      </c>
      <c r="D16" s="408">
        <f>'4-πολλυπρ'!D16</f>
        <v>0</v>
      </c>
      <c r="E16" s="408">
        <f>'4-πολλυπρ'!I16</f>
        <v>0</v>
      </c>
      <c r="F16" s="411">
        <f>'14-βιβλΕσ'!L16</f>
        <v>65.878500000000003</v>
      </c>
      <c r="G16" s="413">
        <f>'11-χαρτόσ'!L16+'13-ντιΜιΧο'!CA16</f>
        <v>4.46</v>
      </c>
      <c r="H16" s="413">
        <f t="shared" si="2"/>
        <v>70.338499999999996</v>
      </c>
      <c r="I16" s="413"/>
      <c r="J16" s="306"/>
      <c r="K16" s="306"/>
      <c r="L16" s="306"/>
      <c r="M16" s="413">
        <f>('14-βιβλΕσ'!O16+'14-βιβλΕσ'!P16+'14-βιβλΕσ'!T16)*40%</f>
        <v>105.51287999999998</v>
      </c>
      <c r="N16" s="413">
        <f>'14-βιβλΕσ'!T16</f>
        <v>259.07819999999998</v>
      </c>
      <c r="O16" s="413"/>
      <c r="P16" s="325"/>
      <c r="Q16" s="325"/>
      <c r="R16" s="413"/>
      <c r="S16" s="413">
        <f t="shared" si="3"/>
        <v>175.85137999999998</v>
      </c>
      <c r="T16" s="329">
        <v>1796</v>
      </c>
      <c r="U16" s="413">
        <f t="shared" si="4"/>
        <v>92.393684999999977</v>
      </c>
      <c r="V16" s="329">
        <v>476</v>
      </c>
      <c r="W16" s="413">
        <f>'1-συμβολαια'!L16+H16+'8-κ-15-17'!AE16+L16+N16</f>
        <v>1003.825065</v>
      </c>
      <c r="X16" s="413">
        <f>'1-συμβολαια'!M16</f>
        <v>735.58</v>
      </c>
      <c r="Y16" s="413">
        <f t="shared" si="0"/>
        <v>268.24506499999995</v>
      </c>
      <c r="Z16" s="480">
        <v>45667</v>
      </c>
      <c r="AA16" s="577">
        <f t="shared" si="1"/>
        <v>2272</v>
      </c>
      <c r="AB16" s="481"/>
    </row>
    <row r="17" spans="1:28" s="5" customFormat="1">
      <c r="A17" s="482">
        <f>'1-συμβολαια'!A17</f>
        <v>0</v>
      </c>
      <c r="B17" s="478">
        <f>'1-συμβολαια'!B17</f>
        <v>0</v>
      </c>
      <c r="C17" s="585" t="str">
        <f>'1-συμβολαια'!C17</f>
        <v>ΧΡΗΣΙΚΤΗΣΙΑ οικοπέδου = 1973 κυπαρισσίουΠαναγιώτη ΑΓΟΡΑΠΩΛΗΣΙΑ άτυπη</v>
      </c>
      <c r="D17" s="408">
        <f>'4-πολλυπρ'!D17</f>
        <v>0</v>
      </c>
      <c r="E17" s="408">
        <f>'4-πολλυπρ'!I17</f>
        <v>0</v>
      </c>
      <c r="F17" s="411">
        <f>'14-βιβλΕσ'!L17</f>
        <v>5.275512</v>
      </c>
      <c r="G17" s="413">
        <f>'11-χαρτόσ'!L17+'13-ντιΜιΧο'!CA17</f>
        <v>0</v>
      </c>
      <c r="H17" s="413">
        <f t="shared" si="2"/>
        <v>5.275512</v>
      </c>
      <c r="I17" s="413">
        <f>'8-κ-15-17'!AG17</f>
        <v>17.220500000000001</v>
      </c>
      <c r="J17" s="306"/>
      <c r="K17" s="306"/>
      <c r="L17" s="306"/>
      <c r="M17" s="413">
        <f>('14-βιβλΕσ'!O17+'14-βιβλΕσ'!P17+'14-βιβλΕσ'!T17)*40%</f>
        <v>22.815232000000002</v>
      </c>
      <c r="N17" s="413">
        <f>'14-βιβλΕσ'!T17</f>
        <v>0</v>
      </c>
      <c r="O17" s="413"/>
      <c r="P17" s="325"/>
      <c r="Q17" s="325"/>
      <c r="R17" s="413"/>
      <c r="S17" s="413">
        <f t="shared" si="3"/>
        <v>45.311244000000002</v>
      </c>
      <c r="T17" s="329">
        <v>463</v>
      </c>
      <c r="U17" s="413">
        <f t="shared" si="4"/>
        <v>28.947335999999993</v>
      </c>
      <c r="V17" s="329">
        <v>149</v>
      </c>
      <c r="W17" s="413">
        <f>'1-συμβολαια'!L17+H17+'8-κ-15-17'!AE17+L17+N17</f>
        <v>74.258579999999995</v>
      </c>
      <c r="X17" s="413">
        <f>'1-συμβολαια'!M17</f>
        <v>0</v>
      </c>
      <c r="Y17" s="413">
        <f t="shared" si="0"/>
        <v>74.258579999999995</v>
      </c>
      <c r="Z17" s="480">
        <v>45667</v>
      </c>
      <c r="AA17" s="577">
        <f t="shared" si="1"/>
        <v>612</v>
      </c>
      <c r="AB17" s="481"/>
    </row>
    <row r="18" spans="1:28" s="5" customFormat="1">
      <c r="A18" s="482">
        <f>'1-συμβολαια'!A18</f>
        <v>0</v>
      </c>
      <c r="B18" s="478">
        <f>'1-συμβολαια'!B18</f>
        <v>0</v>
      </c>
      <c r="C18" s="479" t="str">
        <f>'1-συμβολαια'!C18</f>
        <v>οριζόντιος ΣΥΣΤΑΣΗ</v>
      </c>
      <c r="D18" s="408">
        <f>'4-πολλυπρ'!D18</f>
        <v>0</v>
      </c>
      <c r="E18" s="408">
        <f>'4-πολλυπρ'!I18</f>
        <v>0</v>
      </c>
      <c r="F18" s="411">
        <f>'14-βιβλΕσ'!L18</f>
        <v>4.6069000000000004</v>
      </c>
      <c r="G18" s="413">
        <f>'11-χαρτόσ'!L18+'13-ντιΜιΧο'!CA18</f>
        <v>0</v>
      </c>
      <c r="H18" s="413">
        <f t="shared" si="2"/>
        <v>4.6069000000000004</v>
      </c>
      <c r="I18" s="413"/>
      <c r="J18" s="306"/>
      <c r="K18" s="306"/>
      <c r="L18" s="306"/>
      <c r="M18" s="413">
        <f>('14-βιβλΕσ'!O18+'14-βιβλΕσ'!P18+'14-βιβλΕσ'!T18)*40%</f>
        <v>48.827999999999996</v>
      </c>
      <c r="N18" s="413">
        <f>'14-βιβλΕσ'!T18</f>
        <v>29.94</v>
      </c>
      <c r="O18" s="413"/>
      <c r="P18" s="325"/>
      <c r="Q18" s="325"/>
      <c r="R18" s="413"/>
      <c r="S18" s="413">
        <f t="shared" si="3"/>
        <v>53.434899999999999</v>
      </c>
      <c r="T18" s="329">
        <v>546</v>
      </c>
      <c r="U18" s="413">
        <f t="shared" si="4"/>
        <v>68.63509999999998</v>
      </c>
      <c r="V18" s="329">
        <v>354</v>
      </c>
      <c r="W18" s="413">
        <f>'1-συμβολαια'!L18+H18+'8-κ-15-17'!AE18+L18+N18</f>
        <v>122.06999999999998</v>
      </c>
      <c r="X18" s="413">
        <f>'1-συμβολαια'!M18</f>
        <v>0</v>
      </c>
      <c r="Y18" s="413">
        <f t="shared" si="0"/>
        <v>122.06999999999998</v>
      </c>
      <c r="Z18" s="480">
        <v>45667</v>
      </c>
      <c r="AA18" s="577">
        <f t="shared" si="1"/>
        <v>900</v>
      </c>
      <c r="AB18" s="481"/>
    </row>
    <row r="19" spans="1:28" s="5" customFormat="1">
      <c r="A19" s="491">
        <f>'1-συμβολαια'!A19</f>
        <v>4612</v>
      </c>
      <c r="B19" s="478">
        <f>'1-συμβολαια'!B19</f>
        <v>15</v>
      </c>
      <c r="C19" s="479" t="str">
        <f>'1-συμβολαια'!C19</f>
        <v>κληρονομιάς ΑΠΟΔΟΧΗ</v>
      </c>
      <c r="D19" s="408">
        <f>'4-πολλυπρ'!D19</f>
        <v>0</v>
      </c>
      <c r="E19" s="408">
        <f>'4-πολλυπρ'!I19</f>
        <v>0</v>
      </c>
      <c r="F19" s="411">
        <f>'14-βιβλΕσ'!L19</f>
        <v>6.4262000000000006</v>
      </c>
      <c r="G19" s="413">
        <f>'11-χαρτόσ'!L19+'13-ντιΜιΧο'!CA19</f>
        <v>4.46</v>
      </c>
      <c r="H19" s="413">
        <f t="shared" si="2"/>
        <v>10.886200000000001</v>
      </c>
      <c r="I19" s="413"/>
      <c r="J19" s="306"/>
      <c r="K19" s="306"/>
      <c r="L19" s="306"/>
      <c r="M19" s="413">
        <f>('14-βιβλΕσ'!O19+'14-βιβλΕσ'!P19+'14-βιβλΕσ'!T19)*40%</f>
        <v>129.63999999999999</v>
      </c>
      <c r="N19" s="413">
        <f>'14-βιβλΕσ'!T19</f>
        <v>279.89</v>
      </c>
      <c r="O19" s="413"/>
      <c r="P19" s="325"/>
      <c r="Q19" s="325"/>
      <c r="R19" s="413"/>
      <c r="S19" s="413">
        <f t="shared" si="3"/>
        <v>140.52619999999999</v>
      </c>
      <c r="T19" s="329">
        <v>1436</v>
      </c>
      <c r="U19" s="413">
        <f t="shared" si="4"/>
        <v>188.03380000000001</v>
      </c>
      <c r="V19" s="329">
        <v>968</v>
      </c>
      <c r="W19" s="413">
        <f>'1-συμβολαια'!L19+H19+'8-κ-15-17'!AE19+L19+N19</f>
        <v>402.63</v>
      </c>
      <c r="X19" s="413">
        <f>'1-συμβολαια'!M19</f>
        <v>74.069999999999993</v>
      </c>
      <c r="Y19" s="413">
        <f t="shared" si="0"/>
        <v>328.56</v>
      </c>
      <c r="Z19" s="480">
        <v>38363</v>
      </c>
      <c r="AA19" s="578">
        <f t="shared" si="1"/>
        <v>2404</v>
      </c>
      <c r="AB19" s="481"/>
    </row>
    <row r="20" spans="1:28" s="5" customFormat="1">
      <c r="A20" s="491">
        <f>'1-συμβολαια'!A20</f>
        <v>4613</v>
      </c>
      <c r="B20" s="478">
        <f>'1-συμβολαια'!B20</f>
        <v>15</v>
      </c>
      <c r="C20" s="479" t="str">
        <f>'1-συμβολαια'!C20</f>
        <v>γονική</v>
      </c>
      <c r="D20" s="408">
        <f>'4-πολλυπρ'!D20</f>
        <v>0</v>
      </c>
      <c r="E20" s="408">
        <f>'4-πολλυπρ'!I20</f>
        <v>0</v>
      </c>
      <c r="F20" s="411">
        <f>'14-βιβλΕσ'!L20</f>
        <v>16.01296</v>
      </c>
      <c r="G20" s="413">
        <f>'11-χαρτόσ'!L20+'13-ντιΜιΧο'!CA20</f>
        <v>4.46</v>
      </c>
      <c r="H20" s="413">
        <f t="shared" si="2"/>
        <v>20.47296</v>
      </c>
      <c r="I20" s="413"/>
      <c r="J20" s="306"/>
      <c r="K20" s="306"/>
      <c r="L20" s="306"/>
      <c r="M20" s="413">
        <f>('14-βιβλΕσ'!O20+'14-βιβλΕσ'!P20+'14-βιβλΕσ'!T20)*40%</f>
        <v>96.705759999999998</v>
      </c>
      <c r="N20" s="413">
        <f>'14-βιβλΕσ'!T20</f>
        <v>233.82999999999998</v>
      </c>
      <c r="O20" s="413"/>
      <c r="P20" s="325"/>
      <c r="Q20" s="325"/>
      <c r="R20" s="413"/>
      <c r="S20" s="413">
        <f t="shared" si="3"/>
        <v>117.17872</v>
      </c>
      <c r="T20" s="329">
        <v>1197</v>
      </c>
      <c r="U20" s="413">
        <f t="shared" si="4"/>
        <v>129.03922</v>
      </c>
      <c r="V20" s="329">
        <v>665</v>
      </c>
      <c r="W20" s="413">
        <f>'1-συμβολαια'!L20+H20+'8-κ-15-17'!AE20+L20+N20</f>
        <v>433.07794000000001</v>
      </c>
      <c r="X20" s="413">
        <f>'1-συμβολαια'!M20</f>
        <v>186.86</v>
      </c>
      <c r="Y20" s="413">
        <f t="shared" si="0"/>
        <v>246.21794</v>
      </c>
      <c r="Z20" s="480">
        <v>45669</v>
      </c>
      <c r="AA20" s="578">
        <f t="shared" si="1"/>
        <v>1862</v>
      </c>
      <c r="AB20" s="481">
        <v>4612</v>
      </c>
    </row>
    <row r="21" spans="1:28" s="5" customFormat="1">
      <c r="A21" s="491">
        <f>'1-συμβολαια'!A21</f>
        <v>4614</v>
      </c>
      <c r="B21" s="478">
        <f>'1-συμβολαια'!B21</f>
        <v>15</v>
      </c>
      <c r="C21" s="479" t="str">
        <f>'1-συμβολαια'!C21</f>
        <v>διαθήκη</v>
      </c>
      <c r="D21" s="408">
        <f>'4-πολλυπρ'!D21</f>
        <v>0</v>
      </c>
      <c r="E21" s="408">
        <f>'4-πολλυπρ'!I21</f>
        <v>0</v>
      </c>
      <c r="F21" s="411"/>
      <c r="G21" s="413"/>
      <c r="H21" s="413">
        <f t="shared" si="2"/>
        <v>0</v>
      </c>
      <c r="I21" s="413"/>
      <c r="J21" s="306"/>
      <c r="K21" s="306"/>
      <c r="L21" s="306"/>
      <c r="M21" s="413">
        <f>('14-βιβλΕσ'!O21+'14-βιβλΕσ'!P21+'14-βιβλΕσ'!T21)*40%</f>
        <v>3.7080000000000002</v>
      </c>
      <c r="N21" s="413">
        <f>'14-βιβλΕσ'!T21</f>
        <v>0.3</v>
      </c>
      <c r="O21" s="413"/>
      <c r="P21" s="325"/>
      <c r="Q21" s="325"/>
      <c r="R21" s="413"/>
      <c r="S21" s="413">
        <f t="shared" si="3"/>
        <v>3.7080000000000002</v>
      </c>
      <c r="T21" s="329">
        <v>38</v>
      </c>
      <c r="U21" s="413">
        <f t="shared" si="4"/>
        <v>4.0951000000000004</v>
      </c>
      <c r="V21" s="329">
        <v>21</v>
      </c>
      <c r="W21" s="413">
        <f>'1-συμβολαια'!L21+H21+'8-κ-15-17'!AE21+L21+N21</f>
        <v>75.123099999999994</v>
      </c>
      <c r="X21" s="413">
        <f>'1-συμβολαια'!M21</f>
        <v>67.319999999999993</v>
      </c>
      <c r="Y21" s="413">
        <f t="shared" si="0"/>
        <v>7.8031000000000006</v>
      </c>
      <c r="Z21" s="480">
        <v>45670</v>
      </c>
      <c r="AA21" s="325">
        <f t="shared" si="1"/>
        <v>59</v>
      </c>
      <c r="AB21" s="481"/>
    </row>
    <row r="22" spans="1:28" s="5" customFormat="1">
      <c r="A22" s="482">
        <f>'1-συμβολαια'!A22</f>
        <v>4615</v>
      </c>
      <c r="B22" s="478">
        <f>'1-συμβολαια'!B22</f>
        <v>15</v>
      </c>
      <c r="C22" s="479" t="str">
        <f>'1-συμβολαια'!C22</f>
        <v>δωρεά</v>
      </c>
      <c r="D22" s="408">
        <f>'4-πολλυπρ'!D22</f>
        <v>0</v>
      </c>
      <c r="E22" s="408">
        <f>'4-πολλυπρ'!I22</f>
        <v>0</v>
      </c>
      <c r="F22" s="411">
        <f>'14-βιβλΕσ'!L22</f>
        <v>35.823892000000001</v>
      </c>
      <c r="G22" s="413">
        <f>'11-χαρτόσ'!L22+'13-ντιΜιΧο'!CA22</f>
        <v>4.96</v>
      </c>
      <c r="H22" s="413">
        <f t="shared" si="2"/>
        <v>40.783892000000002</v>
      </c>
      <c r="I22" s="413"/>
      <c r="J22" s="306"/>
      <c r="K22" s="306"/>
      <c r="L22" s="306"/>
      <c r="M22" s="413">
        <f>('14-βιβλΕσ'!O22+'14-βιβλΕσ'!P22+'14-βιβλΕσ'!T22)*40%</f>
        <v>112.946112</v>
      </c>
      <c r="N22" s="413">
        <f>'14-βιβλΕσ'!T22</f>
        <v>239.84000000000003</v>
      </c>
      <c r="O22" s="413"/>
      <c r="P22" s="325"/>
      <c r="Q22" s="325"/>
      <c r="R22" s="413"/>
      <c r="S22" s="413">
        <f t="shared" si="3"/>
        <v>153.73000400000001</v>
      </c>
      <c r="T22" s="329">
        <v>1570</v>
      </c>
      <c r="U22" s="413">
        <f t="shared" si="4"/>
        <v>133.59730100000002</v>
      </c>
      <c r="V22" s="329">
        <v>688</v>
      </c>
      <c r="W22" s="413">
        <f>'1-συμβολαια'!L22+H22+'8-κ-15-17'!AE22+L22+N22</f>
        <v>691.07730500000002</v>
      </c>
      <c r="X22" s="413">
        <f>'1-συμβολαια'!M22</f>
        <v>403.75</v>
      </c>
      <c r="Y22" s="413">
        <f t="shared" si="0"/>
        <v>287.32730500000002</v>
      </c>
      <c r="Z22" s="480">
        <v>45670</v>
      </c>
      <c r="AA22" s="577">
        <f t="shared" si="1"/>
        <v>2258</v>
      </c>
      <c r="AB22" s="481"/>
    </row>
    <row r="23" spans="1:28" s="5" customFormat="1">
      <c r="A23" s="482">
        <f>'1-συμβολαια'!A23</f>
        <v>0</v>
      </c>
      <c r="B23" s="478">
        <f>'1-συμβολαια'!B23</f>
        <v>0</v>
      </c>
      <c r="C23" s="479" t="str">
        <f>'1-συμβολαια'!C23</f>
        <v>ΧΡΗΣΙΚΤΗΣΙΑ οικοπέδου &amp; οικίας = 1935 πατρός ΔΩΡΕΑ άτυπη</v>
      </c>
      <c r="D23" s="408">
        <f>'4-πολλυπρ'!D23</f>
        <v>0</v>
      </c>
      <c r="E23" s="408">
        <f>'4-πολλυπρ'!I23</f>
        <v>0</v>
      </c>
      <c r="F23" s="411">
        <f>'14-βιβλΕσ'!L23</f>
        <v>13.274712000000001</v>
      </c>
      <c r="G23" s="413">
        <f>'11-χαρτόσ'!L23+'13-ντιΜιΧο'!CA23</f>
        <v>0</v>
      </c>
      <c r="H23" s="413">
        <f t="shared" si="2"/>
        <v>13.274712000000001</v>
      </c>
      <c r="I23" s="413">
        <f>'8-κ-15-17'!AG23</f>
        <v>51.661500000000004</v>
      </c>
      <c r="J23" s="306"/>
      <c r="K23" s="306"/>
      <c r="L23" s="306"/>
      <c r="M23" s="413">
        <f>('14-βιβλΕσ'!O23+'14-βιβλΕσ'!P23+'14-βιβλΕσ'!T23)*40%</f>
        <v>47.670432000000005</v>
      </c>
      <c r="N23" s="413">
        <f>'14-βιβλΕσ'!T23</f>
        <v>0</v>
      </c>
      <c r="O23" s="413"/>
      <c r="P23" s="325"/>
      <c r="Q23" s="325"/>
      <c r="R23" s="413"/>
      <c r="S23" s="413">
        <f t="shared" si="3"/>
        <v>112.60664400000002</v>
      </c>
      <c r="T23" s="329">
        <v>1150</v>
      </c>
      <c r="U23" s="413">
        <f t="shared" si="4"/>
        <v>58.230935999999986</v>
      </c>
      <c r="V23" s="329">
        <v>300</v>
      </c>
      <c r="W23" s="413">
        <f>'1-συμβολαια'!L23+H23+'8-κ-15-17'!AE23+L23+N23</f>
        <v>170.83758</v>
      </c>
      <c r="X23" s="413">
        <f>'1-συμβολαια'!M23</f>
        <v>0</v>
      </c>
      <c r="Y23" s="413">
        <f t="shared" si="0"/>
        <v>170.83758</v>
      </c>
      <c r="Z23" s="480">
        <v>45670</v>
      </c>
      <c r="AA23" s="577">
        <f t="shared" si="1"/>
        <v>1450</v>
      </c>
      <c r="AB23" s="481"/>
    </row>
    <row r="24" spans="1:28" s="5" customFormat="1">
      <c r="A24" s="548">
        <f>'1-συμβολαια'!A24</f>
        <v>4616</v>
      </c>
      <c r="B24" s="478">
        <f>'1-συμβολαια'!B24</f>
        <v>17</v>
      </c>
      <c r="C24" s="479" t="str">
        <f>'1-συμβολαια'!C24</f>
        <v>δωρεά</v>
      </c>
      <c r="D24" s="408">
        <f>'4-πολλυπρ'!D24</f>
        <v>0</v>
      </c>
      <c r="E24" s="408">
        <f>'4-πολλυπρ'!I24</f>
        <v>0</v>
      </c>
      <c r="F24" s="411">
        <f>'14-βιβλΕσ'!L24</f>
        <v>22.708402</v>
      </c>
      <c r="G24" s="413">
        <f>'11-χαρτόσ'!L24+'13-ντιΜιΧο'!CA24</f>
        <v>4.46</v>
      </c>
      <c r="H24" s="413">
        <f t="shared" si="2"/>
        <v>27.168402</v>
      </c>
      <c r="I24" s="413"/>
      <c r="J24" s="306"/>
      <c r="K24" s="306"/>
      <c r="L24" s="306"/>
      <c r="M24" s="413">
        <f>('14-βιβλΕσ'!O24+'14-βιβλΕσ'!P24+'14-βιβλΕσ'!T24)*40%</f>
        <v>150.9246392</v>
      </c>
      <c r="N24" s="413">
        <f>'14-βιβλΕσ'!T24</f>
        <v>239.39</v>
      </c>
      <c r="O24" s="413"/>
      <c r="P24" s="325"/>
      <c r="Q24" s="325"/>
      <c r="R24" s="413"/>
      <c r="S24" s="413">
        <f t="shared" si="3"/>
        <v>178.09304120000002</v>
      </c>
      <c r="T24" s="329">
        <v>1819</v>
      </c>
      <c r="U24" s="413">
        <f t="shared" si="4"/>
        <v>73.688776299999915</v>
      </c>
      <c r="V24" s="329">
        <v>380</v>
      </c>
      <c r="W24" s="413">
        <f>'1-συμβολαια'!L24+H24+'8-κ-15-17'!AE24+L24+N24</f>
        <v>512.10181749999992</v>
      </c>
      <c r="X24" s="413">
        <f>'1-συμβολαια'!M24</f>
        <v>260.32</v>
      </c>
      <c r="Y24" s="413">
        <f t="shared" si="0"/>
        <v>251.78181749999993</v>
      </c>
      <c r="Z24" s="480">
        <v>45670</v>
      </c>
      <c r="AA24" s="578">
        <f t="shared" si="1"/>
        <v>2199</v>
      </c>
      <c r="AB24" s="481"/>
    </row>
    <row r="25" spans="1:28" s="5" customFormat="1">
      <c r="A25" s="548">
        <f>'1-συμβολαια'!A25</f>
        <v>0</v>
      </c>
      <c r="B25" s="478">
        <f>'1-συμβολαια'!B25</f>
        <v>0</v>
      </c>
      <c r="C25" s="479" t="str">
        <f>'1-συμβολαια'!C25</f>
        <v>ΧΡΗΣΙΚΤΗΣΙΑ αγροτεμαχίου = 1925 πατρός ΔΩΡΕΑ άτυπη</v>
      </c>
      <c r="D25" s="408">
        <f>'4-πολλυπρ'!D25</f>
        <v>0</v>
      </c>
      <c r="E25" s="408">
        <f>'4-πολλυπρ'!I25</f>
        <v>0</v>
      </c>
      <c r="F25" s="411">
        <f>'14-βιβλΕσ'!L25</f>
        <v>3.275712</v>
      </c>
      <c r="G25" s="413">
        <f>'11-χαρτόσ'!L25+'13-ντιΜιΧο'!CA25</f>
        <v>0</v>
      </c>
      <c r="H25" s="413">
        <f t="shared" si="2"/>
        <v>3.275712</v>
      </c>
      <c r="I25" s="413">
        <f>'8-κ-15-17'!AG25</f>
        <v>8.6102500000000006</v>
      </c>
      <c r="J25" s="306"/>
      <c r="K25" s="306"/>
      <c r="L25" s="306"/>
      <c r="M25" s="413">
        <f>('14-βιβλΕσ'!O25+'14-βιβλΕσ'!P25+'14-βιβλΕσ'!T25)*40%</f>
        <v>17.3481472</v>
      </c>
      <c r="N25" s="413">
        <f>'14-βιβλΕσ'!T25</f>
        <v>0</v>
      </c>
      <c r="O25" s="413"/>
      <c r="P25" s="325"/>
      <c r="Q25" s="325"/>
      <c r="R25" s="413"/>
      <c r="S25" s="413">
        <f t="shared" si="3"/>
        <v>29.234109199999999</v>
      </c>
      <c r="T25" s="329">
        <v>299</v>
      </c>
      <c r="U25" s="413">
        <f t="shared" si="4"/>
        <v>26.022220799999999</v>
      </c>
      <c r="V25" s="329">
        <v>134</v>
      </c>
      <c r="W25" s="413">
        <f>'1-συμβολαια'!L25+H25+'8-κ-15-17'!AE25+L25+N25</f>
        <v>55.256329999999998</v>
      </c>
      <c r="X25" s="413">
        <f>'1-συμβολαια'!M25</f>
        <v>0</v>
      </c>
      <c r="Y25" s="413">
        <f t="shared" si="0"/>
        <v>55.256329999999998</v>
      </c>
      <c r="Z25" s="480">
        <v>45670</v>
      </c>
      <c r="AA25" s="578">
        <f t="shared" si="1"/>
        <v>433</v>
      </c>
      <c r="AB25" s="481"/>
    </row>
    <row r="26" spans="1:28" s="5" customFormat="1">
      <c r="A26" s="548">
        <f>'1-συμβολαια'!A26</f>
        <v>0</v>
      </c>
      <c r="B26" s="478">
        <f>'1-συμβολαια'!B26</f>
        <v>0</v>
      </c>
      <c r="C26" s="479" t="str">
        <f>'1-συμβολαια'!C26</f>
        <v>ΧΡΗΣΙΚΤΗΣΙΑ αγροτεμαχίου (νυν οικόπεδο) = 1975 ΑΝΑΔΑΣΜΟΣ</v>
      </c>
      <c r="D26" s="408">
        <f>'4-πολλυπρ'!D26</f>
        <v>0</v>
      </c>
      <c r="E26" s="408">
        <f>'4-πολλυπρ'!I26</f>
        <v>0</v>
      </c>
      <c r="F26" s="411">
        <f>'14-βιβλΕσ'!L26</f>
        <v>7.2753120000000013</v>
      </c>
      <c r="G26" s="413">
        <f>'11-χαρτόσ'!L26+'13-ντιΜιΧο'!CA26</f>
        <v>0</v>
      </c>
      <c r="H26" s="413">
        <f t="shared" si="2"/>
        <v>7.2753120000000013</v>
      </c>
      <c r="I26" s="413">
        <f>'8-κ-15-17'!AG26</f>
        <v>25.830750000000002</v>
      </c>
      <c r="J26" s="306"/>
      <c r="K26" s="306"/>
      <c r="L26" s="306"/>
      <c r="M26" s="413">
        <f>('14-βιβλΕσ'!O26+'14-βιβλΕσ'!P26+'14-βιβλΕσ'!T26)*40%</f>
        <v>26.740032000000003</v>
      </c>
      <c r="N26" s="413">
        <f>'14-βιβλΕσ'!T26</f>
        <v>0</v>
      </c>
      <c r="O26" s="413"/>
      <c r="P26" s="325"/>
      <c r="Q26" s="325"/>
      <c r="R26" s="413"/>
      <c r="S26" s="413">
        <f t="shared" si="3"/>
        <v>59.846094000000008</v>
      </c>
      <c r="T26" s="329">
        <v>611</v>
      </c>
      <c r="U26" s="413">
        <f t="shared" si="4"/>
        <v>32.834736000000007</v>
      </c>
      <c r="V26" s="329">
        <v>169</v>
      </c>
      <c r="W26" s="413">
        <f>'1-συμβολαια'!L26+H26+'8-κ-15-17'!AE26+L26+N26</f>
        <v>92.680830000000014</v>
      </c>
      <c r="X26" s="413">
        <f>'1-συμβολαια'!M26</f>
        <v>0</v>
      </c>
      <c r="Y26" s="413">
        <f t="shared" si="0"/>
        <v>92.680830000000014</v>
      </c>
      <c r="Z26" s="480">
        <v>45670</v>
      </c>
      <c r="AA26" s="578">
        <f t="shared" si="1"/>
        <v>780</v>
      </c>
      <c r="AB26" s="481"/>
    </row>
    <row r="27" spans="1:28" s="5" customFormat="1">
      <c r="A27" s="482">
        <f>'1-συμβολαια'!A27</f>
        <v>4617</v>
      </c>
      <c r="B27" s="478">
        <f>'1-συμβολαια'!B27</f>
        <v>17</v>
      </c>
      <c r="C27" s="479" t="str">
        <f>'1-συμβολαια'!C27</f>
        <v>προσύμφωνο μεταβιβάσεως ποσοστών οικοπέδου</v>
      </c>
      <c r="D27" s="408">
        <f>'4-πολλυπρ'!D27</f>
        <v>0</v>
      </c>
      <c r="E27" s="408">
        <f>'4-πολλυπρ'!I27</f>
        <v>0</v>
      </c>
      <c r="F27" s="411">
        <f>'14-βιβλΕσ'!L27</f>
        <v>8.0739999999999998</v>
      </c>
      <c r="G27" s="413">
        <f>'11-χαρτόσ'!L27+'13-ντιΜιΧο'!CA27</f>
        <v>0</v>
      </c>
      <c r="H27" s="413">
        <f t="shared" si="2"/>
        <v>8.0739999999999998</v>
      </c>
      <c r="I27" s="413"/>
      <c r="J27" s="306"/>
      <c r="K27" s="306"/>
      <c r="L27" s="306"/>
      <c r="M27" s="413">
        <f>('14-βιβλΕσ'!O27+'14-βιβλΕσ'!P27+'14-βιβλΕσ'!T27)*40%</f>
        <v>43.137599999999999</v>
      </c>
      <c r="N27" s="413">
        <f>'14-βιβλΕσ'!T27</f>
        <v>0</v>
      </c>
      <c r="O27" s="413"/>
      <c r="P27" s="325"/>
      <c r="Q27" s="325"/>
      <c r="R27" s="413">
        <f>Y27</f>
        <v>99.77</v>
      </c>
      <c r="S27" s="413">
        <f>Y27+R27</f>
        <v>199.54</v>
      </c>
      <c r="T27" s="329">
        <v>2038</v>
      </c>
      <c r="U27" s="519"/>
      <c r="V27" s="520"/>
      <c r="W27" s="413">
        <f>'1-συμβολαια'!L27+H27+'8-κ-15-17'!AE27+L27+N27</f>
        <v>99.77</v>
      </c>
      <c r="X27" s="413">
        <f>'1-συμβολαια'!M27</f>
        <v>0</v>
      </c>
      <c r="Y27" s="413">
        <f t="shared" si="0"/>
        <v>99.77</v>
      </c>
      <c r="Z27" s="480">
        <v>45671</v>
      </c>
      <c r="AA27" s="577">
        <f t="shared" si="1"/>
        <v>2038</v>
      </c>
      <c r="AB27" s="481">
        <v>3353</v>
      </c>
    </row>
    <row r="28" spans="1:28" s="5" customFormat="1">
      <c r="A28" s="482">
        <f>'1-συμβολαια'!A28</f>
        <v>0</v>
      </c>
      <c r="B28" s="478">
        <f>'1-συμβολαια'!B28</f>
        <v>0</v>
      </c>
      <c r="C28" s="479" t="str">
        <f>'1-συμβολαια'!C28</f>
        <v>εργολαβικό</v>
      </c>
      <c r="D28" s="408">
        <f>'4-πολλυπρ'!D28</f>
        <v>0</v>
      </c>
      <c r="E28" s="408">
        <f>'4-πολλυπρ'!I28</f>
        <v>0</v>
      </c>
      <c r="F28" s="411">
        <f>'14-βιβλΕσ'!L28</f>
        <v>1.635912</v>
      </c>
      <c r="G28" s="413">
        <f>'11-χαρτόσ'!L28+'13-ντιΜιΧο'!CA28</f>
        <v>0</v>
      </c>
      <c r="H28" s="413">
        <f t="shared" si="2"/>
        <v>1.635912</v>
      </c>
      <c r="I28" s="413">
        <f>'8-κ-15-17'!AG28</f>
        <v>2.6</v>
      </c>
      <c r="J28" s="306"/>
      <c r="K28" s="306"/>
      <c r="L28" s="306"/>
      <c r="M28" s="413">
        <f>('14-βιβλΕσ'!O28+'14-βιβλΕσ'!P28+'14-βιβλΕσ'!T28)*40%</f>
        <v>4.0296319999999985</v>
      </c>
      <c r="N28" s="413">
        <f>'14-βιβλΕσ'!T28</f>
        <v>20.57</v>
      </c>
      <c r="O28" s="413"/>
      <c r="P28" s="325"/>
      <c r="Q28" s="325"/>
      <c r="R28" s="413">
        <f>Y28</f>
        <v>12.674079999999996</v>
      </c>
      <c r="S28" s="413">
        <f>Y28+R28</f>
        <v>25.348159999999993</v>
      </c>
      <c r="T28" s="329">
        <v>259</v>
      </c>
      <c r="U28" s="519"/>
      <c r="V28" s="520"/>
      <c r="W28" s="413">
        <f>'1-συμβολαια'!L28+H28+'8-κ-15-17'!AE28+L28+N28</f>
        <v>61.204079999999998</v>
      </c>
      <c r="X28" s="413">
        <f>'1-συμβολαια'!M28</f>
        <v>48.53</v>
      </c>
      <c r="Y28" s="413">
        <f t="shared" si="0"/>
        <v>12.674079999999996</v>
      </c>
      <c r="Z28" s="480">
        <v>45671</v>
      </c>
      <c r="AA28" s="577">
        <f t="shared" si="1"/>
        <v>259</v>
      </c>
      <c r="AB28" s="481"/>
    </row>
    <row r="29" spans="1:28" s="5" customFormat="1">
      <c r="A29" s="491">
        <f>'1-συμβολαια'!A29</f>
        <v>4618</v>
      </c>
      <c r="B29" s="478">
        <f>'1-συμβολαια'!B29</f>
        <v>18</v>
      </c>
      <c r="C29" s="479" t="str">
        <f>'1-συμβολαια'!C29</f>
        <v>πληρεξούσιο</v>
      </c>
      <c r="D29" s="408">
        <f>'4-πολλυπρ'!D29</f>
        <v>0</v>
      </c>
      <c r="E29" s="408">
        <f>'4-πολλυπρ'!I29</f>
        <v>0</v>
      </c>
      <c r="F29" s="411">
        <f>'14-βιβλΕσ'!L29</f>
        <v>1.2686000000000002</v>
      </c>
      <c r="G29" s="413">
        <f>'11-χαρτόσ'!L29+'13-ντιΜιΧο'!CA29</f>
        <v>4.92</v>
      </c>
      <c r="H29" s="413">
        <f t="shared" si="2"/>
        <v>6.1886000000000001</v>
      </c>
      <c r="I29" s="413"/>
      <c r="J29" s="306"/>
      <c r="K29" s="306"/>
      <c r="L29" s="306"/>
      <c r="M29" s="413">
        <f>('14-βιβλΕσ'!O29+'14-βιβλΕσ'!P29+'14-βιβλΕσ'!T29)*40%</f>
        <v>3.7319999999999993</v>
      </c>
      <c r="N29" s="413">
        <f>'14-βιβλΕσ'!T29</f>
        <v>11.68</v>
      </c>
      <c r="O29" s="413"/>
      <c r="P29" s="325"/>
      <c r="Q29" s="325"/>
      <c r="R29" s="413"/>
      <c r="S29" s="413">
        <f t="shared" si="3"/>
        <v>9.9206000000000003</v>
      </c>
      <c r="T29" s="329">
        <v>101</v>
      </c>
      <c r="U29" s="413">
        <f t="shared" si="4"/>
        <v>4.3293999999999997</v>
      </c>
      <c r="V29" s="329">
        <v>22</v>
      </c>
      <c r="W29" s="413">
        <f>'1-συμβολαια'!L29+H29+'8-κ-15-17'!AE29+L29+N29</f>
        <v>34.79</v>
      </c>
      <c r="X29" s="413">
        <f>'1-συμβολαια'!M29</f>
        <v>20.54</v>
      </c>
      <c r="Y29" s="413">
        <f t="shared" si="0"/>
        <v>14.25</v>
      </c>
      <c r="Z29" s="480">
        <v>45671</v>
      </c>
      <c r="AA29" s="325">
        <f t="shared" si="1"/>
        <v>123</v>
      </c>
      <c r="AB29" s="481"/>
    </row>
    <row r="30" spans="1:28" s="5" customFormat="1">
      <c r="A30" s="482">
        <f>'1-συμβολαια'!A30</f>
        <v>4619</v>
      </c>
      <c r="B30" s="478">
        <f>'1-συμβολαια'!B30</f>
        <v>18</v>
      </c>
      <c r="C30" s="479" t="str">
        <f>'1-συμβολαια'!C30</f>
        <v>αγοραπωλησίας ΠΡΟΣΥΜΦΩΝΟ τίμημα = αρραβών =</v>
      </c>
      <c r="D30" s="408">
        <f>'4-πολλυπρ'!D30</f>
        <v>0</v>
      </c>
      <c r="E30" s="408">
        <f>'4-πολλυπρ'!I30</f>
        <v>0</v>
      </c>
      <c r="F30" s="411">
        <f>'14-βιβλΕσ'!L30</f>
        <v>6.6477120000000003</v>
      </c>
      <c r="G30" s="413">
        <f>'11-χαρτόσ'!L30+'13-ντιΜιΧο'!CA30</f>
        <v>1.98</v>
      </c>
      <c r="H30" s="413">
        <f t="shared" si="2"/>
        <v>8.6277120000000007</v>
      </c>
      <c r="I30" s="413"/>
      <c r="J30" s="306"/>
      <c r="K30" s="306"/>
      <c r="L30" s="306"/>
      <c r="M30" s="413">
        <f>('14-βιβλΕσ'!O30+'14-βιβλΕσ'!P30+'14-βιβλΕσ'!T30)*40%</f>
        <v>24.637632</v>
      </c>
      <c r="N30" s="413">
        <f>'14-βιβλΕσ'!T30</f>
        <v>50.15</v>
      </c>
      <c r="O30" s="413"/>
      <c r="P30" s="325"/>
      <c r="Q30" s="325"/>
      <c r="R30" s="413"/>
      <c r="S30" s="413">
        <f t="shared" si="3"/>
        <v>33.265343999999999</v>
      </c>
      <c r="T30" s="329">
        <v>340</v>
      </c>
      <c r="U30" s="413">
        <f t="shared" si="4"/>
        <v>30.30873600000001</v>
      </c>
      <c r="V30" s="329">
        <v>156</v>
      </c>
      <c r="W30" s="413">
        <f>'1-συμβολαια'!L30+H30+'8-κ-15-17'!AE30+L30+N30</f>
        <v>108.23408000000001</v>
      </c>
      <c r="X30" s="413">
        <f>'1-συμβολαια'!M30</f>
        <v>44.66</v>
      </c>
      <c r="Y30" s="413">
        <f t="shared" si="0"/>
        <v>63.574080000000009</v>
      </c>
      <c r="Z30" s="480">
        <v>45671</v>
      </c>
      <c r="AA30" s="577">
        <f t="shared" si="1"/>
        <v>496</v>
      </c>
      <c r="AB30" s="481"/>
    </row>
    <row r="31" spans="1:28" s="5" customFormat="1">
      <c r="A31" s="482">
        <f>'1-συμβολαια'!A31</f>
        <v>0</v>
      </c>
      <c r="B31" s="478">
        <f>'1-συμβολαια'!B31</f>
        <v>0</v>
      </c>
      <c r="C31" s="479" t="str">
        <f>'1-συμβολαια'!C31</f>
        <v>ΧΡΗΣΙΚΤΗΣΙΑ αγροτεμαχίου = 1975 πατρός ΔΩΡΕΑ άτυπη</v>
      </c>
      <c r="D31" s="408">
        <f>'4-πολλυπρ'!D31</f>
        <v>0</v>
      </c>
      <c r="E31" s="408">
        <f>'4-πολλυπρ'!I31</f>
        <v>0</v>
      </c>
      <c r="F31" s="411">
        <f>'14-βιβλΕσ'!L31</f>
        <v>3.2757120000000004</v>
      </c>
      <c r="G31" s="413">
        <f>'11-χαρτόσ'!L31+'13-ντιΜιΧο'!CA31</f>
        <v>0</v>
      </c>
      <c r="H31" s="413">
        <f t="shared" si="2"/>
        <v>3.2757120000000004</v>
      </c>
      <c r="I31" s="413">
        <f>'8-κ-15-17'!AG31</f>
        <v>8.6102500000000006</v>
      </c>
      <c r="J31" s="306"/>
      <c r="K31" s="306"/>
      <c r="L31" s="306"/>
      <c r="M31" s="413">
        <f>('14-βιβλΕσ'!O31+'14-βιβλΕσ'!P31+'14-βιβλΕσ'!T31)*40%</f>
        <v>11.382432000000001</v>
      </c>
      <c r="N31" s="413">
        <f>'14-βιβλΕσ'!T31</f>
        <v>0</v>
      </c>
      <c r="O31" s="413"/>
      <c r="P31" s="325"/>
      <c r="Q31" s="325"/>
      <c r="R31" s="413"/>
      <c r="S31" s="413">
        <f t="shared" si="3"/>
        <v>23.268394000000001</v>
      </c>
      <c r="T31" s="329">
        <v>238</v>
      </c>
      <c r="U31" s="413">
        <f t="shared" si="4"/>
        <v>13.797936</v>
      </c>
      <c r="V31" s="329">
        <v>71</v>
      </c>
      <c r="W31" s="413">
        <f>'1-συμβολαια'!L31+H31+'8-κ-15-17'!AE31+L31+N31</f>
        <v>37.066330000000001</v>
      </c>
      <c r="X31" s="413">
        <f>'1-συμβολαια'!M31</f>
        <v>0</v>
      </c>
      <c r="Y31" s="413">
        <f t="shared" si="0"/>
        <v>37.066330000000001</v>
      </c>
      <c r="Z31" s="480">
        <v>45671</v>
      </c>
      <c r="AA31" s="577">
        <f t="shared" si="1"/>
        <v>309</v>
      </c>
      <c r="AB31" s="481"/>
    </row>
    <row r="32" spans="1:28" s="5" customFormat="1">
      <c r="A32" s="564">
        <f>'1-συμβολαια'!A32</f>
        <v>4620</v>
      </c>
      <c r="B32" s="478">
        <f>'1-συμβολαια'!B32</f>
        <v>21</v>
      </c>
      <c r="C32" s="479" t="str">
        <f>'1-συμβολαια'!C32</f>
        <v>γονική</v>
      </c>
      <c r="D32" s="408">
        <f>'4-πολλυπρ'!D32</f>
        <v>0</v>
      </c>
      <c r="E32" s="408">
        <f>'4-πολλυπρ'!I32</f>
        <v>0</v>
      </c>
      <c r="F32" s="411">
        <f>'14-βιβλΕσ'!L32</f>
        <v>16.853825999999998</v>
      </c>
      <c r="G32" s="413">
        <f>'11-χαρτόσ'!L32+'13-ντιΜιΧο'!CA32</f>
        <v>4.46</v>
      </c>
      <c r="H32" s="413">
        <f t="shared" si="2"/>
        <v>21.313825999999999</v>
      </c>
      <c r="I32" s="413"/>
      <c r="J32" s="306"/>
      <c r="K32" s="306"/>
      <c r="L32" s="306"/>
      <c r="M32" s="413">
        <f>('14-βιβλΕσ'!O32+'14-βιβλΕσ'!P32+'14-βιβλΕσ'!T32)*40%</f>
        <v>176.25846960000001</v>
      </c>
      <c r="N32" s="413">
        <f>'14-βιβλΕσ'!T32</f>
        <v>285.48</v>
      </c>
      <c r="O32" s="505"/>
      <c r="P32" s="325"/>
      <c r="Q32" s="325"/>
      <c r="R32" s="505"/>
      <c r="S32" s="413">
        <f t="shared" si="3"/>
        <v>197.57229560000002</v>
      </c>
      <c r="T32" s="329">
        <v>2018</v>
      </c>
      <c r="U32" s="413">
        <f t="shared" si="4"/>
        <v>60.384951899999976</v>
      </c>
      <c r="V32" s="329">
        <v>311</v>
      </c>
      <c r="W32" s="413">
        <f>'1-συμβολαια'!L32+H32+'8-κ-15-17'!AE32+L32+N32</f>
        <v>495.54724750000003</v>
      </c>
      <c r="X32" s="413">
        <f>'1-συμβολαια'!M32</f>
        <v>237.59</v>
      </c>
      <c r="Y32" s="413">
        <f t="shared" si="0"/>
        <v>257.95724749999999</v>
      </c>
      <c r="Z32" s="480">
        <v>45672</v>
      </c>
      <c r="AA32" s="578">
        <f t="shared" si="1"/>
        <v>2329</v>
      </c>
      <c r="AB32" s="481"/>
    </row>
    <row r="33" spans="1:28" s="5" customFormat="1">
      <c r="A33" s="548">
        <f>'1-συμβολαια'!A33</f>
        <v>0</v>
      </c>
      <c r="B33" s="478">
        <f>'1-συμβολαια'!B33</f>
        <v>0</v>
      </c>
      <c r="C33" s="479" t="str">
        <f>'1-συμβολαια'!C33</f>
        <v>κάθετος ΣΥΣΤΑΣΗ</v>
      </c>
      <c r="D33" s="408">
        <f>'4-πολλυπρ'!D33</f>
        <v>0</v>
      </c>
      <c r="E33" s="408">
        <f>'4-πολλυπρ'!I33</f>
        <v>0</v>
      </c>
      <c r="F33" s="411">
        <f>'14-βιβλΕσ'!L33</f>
        <v>7.5114000000000001</v>
      </c>
      <c r="G33" s="413">
        <f>'11-χαρτόσ'!L33+'13-ντιΜιΧο'!CA33</f>
        <v>0.5</v>
      </c>
      <c r="H33" s="413">
        <f t="shared" si="2"/>
        <v>8.0114000000000001</v>
      </c>
      <c r="I33" s="413"/>
      <c r="J33" s="306"/>
      <c r="K33" s="306"/>
      <c r="L33" s="306"/>
      <c r="M33" s="413">
        <f>('14-βιβλΕσ'!O33+'14-βιβλΕσ'!P33+'14-βιβλΕσ'!T33)*40%</f>
        <v>32.035999999999994</v>
      </c>
      <c r="N33" s="413">
        <f>'14-βιβλΕσ'!T33</f>
        <v>6.75</v>
      </c>
      <c r="O33" s="505"/>
      <c r="P33" s="325"/>
      <c r="Q33" s="325"/>
      <c r="R33" s="505"/>
      <c r="S33" s="413">
        <f t="shared" si="3"/>
        <v>40.047399999999996</v>
      </c>
      <c r="T33" s="329">
        <v>409</v>
      </c>
      <c r="U33" s="413">
        <f t="shared" si="4"/>
        <v>40.542599999999993</v>
      </c>
      <c r="V33" s="329">
        <v>209</v>
      </c>
      <c r="W33" s="413">
        <f>'1-συμβολαια'!L33+H33+'8-κ-15-17'!AE33+L33+N33</f>
        <v>80.589999999999989</v>
      </c>
      <c r="X33" s="413">
        <f>'1-συμβολαια'!M33</f>
        <v>0</v>
      </c>
      <c r="Y33" s="413">
        <f t="shared" si="0"/>
        <v>80.589999999999989</v>
      </c>
      <c r="Z33" s="480">
        <v>45672</v>
      </c>
      <c r="AA33" s="578">
        <f t="shared" si="1"/>
        <v>618</v>
      </c>
      <c r="AB33" s="481"/>
    </row>
    <row r="34" spans="1:28" s="5" customFormat="1">
      <c r="A34" s="548">
        <f>'1-συμβολαια'!A34</f>
        <v>0</v>
      </c>
      <c r="B34" s="478">
        <f>'1-συμβολαια'!B34</f>
        <v>0</v>
      </c>
      <c r="C34" s="479" t="str">
        <f>'1-συμβολαια'!C34</f>
        <v>ΧΡΗΣΙΚΤΗΣΙΑ αγροτεμαχίου (νυν οικόπεδο) = 19?? ΑΝΑΔΑΣΜΟΣ</v>
      </c>
      <c r="D34" s="408">
        <f>'4-πολλυπρ'!D34</f>
        <v>0</v>
      </c>
      <c r="E34" s="408">
        <f>'4-πολλυπρ'!I34</f>
        <v>0</v>
      </c>
      <c r="F34" s="411">
        <f>'14-βιβλΕσ'!L34</f>
        <v>7.2753120000000013</v>
      </c>
      <c r="G34" s="413">
        <f>'11-χαρτόσ'!L34+'13-ντιΜιΧο'!CA34</f>
        <v>0</v>
      </c>
      <c r="H34" s="413">
        <f t="shared" si="2"/>
        <v>7.2753120000000013</v>
      </c>
      <c r="I34" s="413">
        <f>'8-κ-15-17'!AG34</f>
        <v>25.830750000000002</v>
      </c>
      <c r="J34" s="306"/>
      <c r="K34" s="306"/>
      <c r="L34" s="306"/>
      <c r="M34" s="413">
        <f>('14-βιβλΕσ'!O34+'14-βιβλΕσ'!P34+'14-βιβλΕσ'!T34)*40%</f>
        <v>22.653907200000003</v>
      </c>
      <c r="N34" s="413">
        <f>'14-βιβλΕσ'!T34</f>
        <v>0</v>
      </c>
      <c r="O34" s="505"/>
      <c r="P34" s="325"/>
      <c r="Q34" s="325"/>
      <c r="R34" s="505"/>
      <c r="S34" s="413">
        <f t="shared" si="3"/>
        <v>55.7599692</v>
      </c>
      <c r="T34" s="329">
        <v>495</v>
      </c>
      <c r="U34" s="413">
        <f t="shared" si="4"/>
        <v>33.980860800000002</v>
      </c>
      <c r="V34" s="329">
        <v>175</v>
      </c>
      <c r="W34" s="413">
        <f>'1-συμβολαια'!L34+H34+'8-κ-15-17'!AE34+L34+N34</f>
        <v>89.740830000000003</v>
      </c>
      <c r="X34" s="413">
        <f>'1-συμβολαια'!M34</f>
        <v>0</v>
      </c>
      <c r="Y34" s="413">
        <f t="shared" si="0"/>
        <v>89.740830000000003</v>
      </c>
      <c r="Z34" s="480">
        <v>45672</v>
      </c>
      <c r="AA34" s="578">
        <f t="shared" si="1"/>
        <v>670</v>
      </c>
      <c r="AB34" s="481"/>
    </row>
    <row r="35" spans="1:28" s="5" customFormat="1">
      <c r="A35" s="564">
        <f>'1-συμβολαια'!A35</f>
        <v>4621</v>
      </c>
      <c r="B35" s="478">
        <f>'1-συμβολαια'!B35</f>
        <v>21</v>
      </c>
      <c r="C35" s="479" t="str">
        <f>'1-συμβολαια'!C35</f>
        <v>γονική</v>
      </c>
      <c r="D35" s="408">
        <f>'4-πολλυπρ'!D35</f>
        <v>0</v>
      </c>
      <c r="E35" s="408">
        <f>'4-πολλυπρ'!I35</f>
        <v>0</v>
      </c>
      <c r="F35" s="411">
        <f>'14-βιβλΕσ'!L35</f>
        <v>60.500481999999998</v>
      </c>
      <c r="G35" s="413">
        <f>'11-χαρτόσ'!L35+'13-ντιΜιΧο'!CA35</f>
        <v>4.46</v>
      </c>
      <c r="H35" s="413">
        <f t="shared" si="2"/>
        <v>64.960481999999999</v>
      </c>
      <c r="I35" s="413"/>
      <c r="J35" s="306"/>
      <c r="K35" s="306"/>
      <c r="L35" s="306"/>
      <c r="M35" s="413">
        <f>('14-βιβλΕσ'!O35+'14-βιβλΕσ'!P35+'14-βιβλΕσ'!T35)*40%</f>
        <v>269.98899219999998</v>
      </c>
      <c r="N35" s="413">
        <f>'14-βιβλΕσ'!T35</f>
        <v>271.09000000000003</v>
      </c>
      <c r="O35" s="505"/>
      <c r="P35" s="325"/>
      <c r="Q35" s="325"/>
      <c r="R35" s="505"/>
      <c r="S35" s="413">
        <f t="shared" si="3"/>
        <v>334.9494742</v>
      </c>
      <c r="T35" s="329">
        <v>3421</v>
      </c>
      <c r="U35" s="444">
        <f t="shared" si="4"/>
        <v>-141.06455669999997</v>
      </c>
      <c r="V35" s="326">
        <v>-726</v>
      </c>
      <c r="W35" s="413">
        <f>'1-συμβολαια'!L35+H35+'8-κ-15-17'!AE35+L35+N35</f>
        <v>958.46491750000007</v>
      </c>
      <c r="X35" s="413">
        <f>'1-συμβολαια'!M35</f>
        <v>764.58</v>
      </c>
      <c r="Y35" s="413">
        <f t="shared" ref="Y35:Y56" si="6">W35-X35</f>
        <v>193.88491750000003</v>
      </c>
      <c r="Z35" s="480">
        <v>45675</v>
      </c>
      <c r="AA35" s="578">
        <f t="shared" si="1"/>
        <v>2695</v>
      </c>
      <c r="AB35" s="481"/>
    </row>
    <row r="36" spans="1:28" s="5" customFormat="1">
      <c r="A36" s="482">
        <f>'1-συμβολαια'!A36</f>
        <v>0</v>
      </c>
      <c r="B36" s="478">
        <f>'1-συμβολαια'!B36</f>
        <v>0</v>
      </c>
      <c r="C36" s="479" t="str">
        <f>'1-συμβολαια'!C36</f>
        <v>οριζόντιος ΣΥΣΤΑΣΗ</v>
      </c>
      <c r="D36" s="408">
        <f>'4-πολλυπρ'!D36</f>
        <v>0</v>
      </c>
      <c r="E36" s="408">
        <f>'4-πολλυπρ'!I36</f>
        <v>0</v>
      </c>
      <c r="F36" s="411">
        <f>'14-βιβλΕσ'!L36</f>
        <v>7.5114000000000001</v>
      </c>
      <c r="G36" s="413">
        <f>'11-χαρτόσ'!L36+'13-ντιΜιΧο'!CA36</f>
        <v>0.5</v>
      </c>
      <c r="H36" s="413">
        <f t="shared" si="2"/>
        <v>8.0114000000000001</v>
      </c>
      <c r="I36" s="413"/>
      <c r="J36" s="306"/>
      <c r="K36" s="306"/>
      <c r="L36" s="306"/>
      <c r="M36" s="413">
        <f>('14-βιβλΕσ'!O36+'14-βιβλΕσ'!P36+'14-βιβλΕσ'!T36)*40%</f>
        <v>38.379999999999995</v>
      </c>
      <c r="N36" s="413">
        <f>'14-βιβλΕσ'!T36</f>
        <v>6.75</v>
      </c>
      <c r="O36" s="505"/>
      <c r="P36" s="325"/>
      <c r="Q36" s="325"/>
      <c r="R36" s="505"/>
      <c r="S36" s="413">
        <f t="shared" si="3"/>
        <v>46.391399999999997</v>
      </c>
      <c r="T36" s="329">
        <v>474</v>
      </c>
      <c r="U36" s="413">
        <f t="shared" si="4"/>
        <v>50.058599999999991</v>
      </c>
      <c r="V36" s="329">
        <v>258</v>
      </c>
      <c r="W36" s="413">
        <f>'1-συμβολαια'!L36+H36+'8-κ-15-17'!AE36+L36+N36</f>
        <v>96.449999999999989</v>
      </c>
      <c r="X36" s="413">
        <f>'1-συμβολαια'!M36</f>
        <v>0</v>
      </c>
      <c r="Y36" s="413">
        <f t="shared" si="6"/>
        <v>96.449999999999989</v>
      </c>
      <c r="Z36" s="480">
        <v>45675</v>
      </c>
      <c r="AA36" s="578">
        <f t="shared" si="1"/>
        <v>732</v>
      </c>
      <c r="AB36" s="481"/>
    </row>
    <row r="37" spans="1:28" s="5" customFormat="1">
      <c r="A37" s="491">
        <f>'1-συμβολαια'!A37</f>
        <v>4622</v>
      </c>
      <c r="B37" s="478">
        <f>'1-συμβολαια'!B37</f>
        <v>21</v>
      </c>
      <c r="C37" s="479" t="str">
        <f>'1-συμβολαια'!C37</f>
        <v>πληρεξούσιο</v>
      </c>
      <c r="D37" s="408">
        <f>'4-πολλυπρ'!D37</f>
        <v>0</v>
      </c>
      <c r="E37" s="408">
        <f>'4-πολλυπρ'!I37</f>
        <v>0</v>
      </c>
      <c r="F37" s="411">
        <f>'14-βιβλΕσ'!L37</f>
        <v>1.2686000000000002</v>
      </c>
      <c r="G37" s="413">
        <f>'11-χαρτόσ'!L37+'13-ντιΜιΧο'!CA37</f>
        <v>0</v>
      </c>
      <c r="H37" s="413">
        <f t="shared" si="2"/>
        <v>1.2686000000000002</v>
      </c>
      <c r="I37" s="413"/>
      <c r="J37" s="306"/>
      <c r="K37" s="306"/>
      <c r="L37" s="306"/>
      <c r="M37" s="413">
        <f>('14-βιβλΕσ'!O37+'14-βιβλΕσ'!P37+'14-βιβλΕσ'!T37)*40%</f>
        <v>-0.82000000000000073</v>
      </c>
      <c r="N37" s="413">
        <f>'14-βιβλΕσ'!T37</f>
        <v>0.3</v>
      </c>
      <c r="O37" s="413"/>
      <c r="P37" s="325"/>
      <c r="Q37" s="325"/>
      <c r="R37" s="413"/>
      <c r="S37" s="413">
        <f t="shared" si="3"/>
        <v>0.44859999999999944</v>
      </c>
      <c r="T37" s="329"/>
      <c r="U37" s="444">
        <f t="shared" si="4"/>
        <v>-2.4986000000000002</v>
      </c>
      <c r="V37" s="329"/>
      <c r="W37" s="413">
        <f>'1-συμβολαια'!L37+H37+'8-κ-15-17'!AE37+L37+N37</f>
        <v>18.489999999999998</v>
      </c>
      <c r="X37" s="413">
        <f>'1-συμβολαια'!M37</f>
        <v>20.54</v>
      </c>
      <c r="Y37" s="413">
        <f t="shared" si="6"/>
        <v>-2.0500000000000007</v>
      </c>
      <c r="Z37" s="480"/>
      <c r="AA37" s="325">
        <f t="shared" si="1"/>
        <v>0</v>
      </c>
      <c r="AB37" s="481"/>
    </row>
    <row r="38" spans="1:28" s="5" customFormat="1">
      <c r="A38" s="491">
        <f>'1-συμβολαια'!A38</f>
        <v>4623</v>
      </c>
      <c r="B38" s="478">
        <f>'1-συμβολαια'!B38</f>
        <v>21</v>
      </c>
      <c r="C38" s="479" t="str">
        <f>'1-συμβολαια'!C38</f>
        <v>πληρεξούσιο</v>
      </c>
      <c r="D38" s="408">
        <f>'4-πολλυπρ'!D38</f>
        <v>0</v>
      </c>
      <c r="E38" s="408">
        <f>'4-πολλυπρ'!I38</f>
        <v>0</v>
      </c>
      <c r="F38" s="411">
        <f>'14-βιβλΕσ'!L38</f>
        <v>1.6239000000000001</v>
      </c>
      <c r="G38" s="413">
        <f>'11-χαρτόσ'!L38+'13-ντιΜιΧο'!CA38</f>
        <v>0</v>
      </c>
      <c r="H38" s="413">
        <f t="shared" si="2"/>
        <v>1.6239000000000001</v>
      </c>
      <c r="I38" s="413"/>
      <c r="J38" s="306"/>
      <c r="K38" s="306"/>
      <c r="L38" s="306"/>
      <c r="M38" s="413">
        <f>('14-βιβλΕσ'!O38+'14-βιβλΕσ'!P38+'14-βιβλΕσ'!T38)*40%</f>
        <v>11.148</v>
      </c>
      <c r="N38" s="413">
        <f>'14-βιβλΕσ'!T38</f>
        <v>0.6</v>
      </c>
      <c r="O38" s="413"/>
      <c r="P38" s="325"/>
      <c r="Q38" s="325"/>
      <c r="R38" s="413"/>
      <c r="S38" s="413">
        <f t="shared" si="3"/>
        <v>12.7719</v>
      </c>
      <c r="T38" s="329">
        <v>130</v>
      </c>
      <c r="U38" s="413">
        <f t="shared" si="4"/>
        <v>15.098099999999997</v>
      </c>
      <c r="V38" s="329">
        <v>78</v>
      </c>
      <c r="W38" s="413">
        <f>'1-συμβολαια'!L38+H38+'8-κ-15-17'!AE38+L38+N38</f>
        <v>54.269999999999996</v>
      </c>
      <c r="X38" s="413">
        <f>'1-συμβολαια'!M38</f>
        <v>26.4</v>
      </c>
      <c r="Y38" s="413">
        <f t="shared" si="6"/>
        <v>27.869999999999997</v>
      </c>
      <c r="Z38" s="480">
        <v>45676</v>
      </c>
      <c r="AA38" s="325">
        <f t="shared" si="1"/>
        <v>208</v>
      </c>
      <c r="AB38" s="481"/>
    </row>
    <row r="39" spans="1:28" s="5" customFormat="1">
      <c r="A39" s="482">
        <f>'1-συμβολαια'!A39</f>
        <v>4624</v>
      </c>
      <c r="B39" s="478">
        <f>'1-συμβολαια'!B39</f>
        <v>23</v>
      </c>
      <c r="C39" s="479" t="str">
        <f>'1-συμβολαια'!C39</f>
        <v>*γονική ΨΙΛΗΣ ΚΥΡΙΟΤΗΤΑΣ</v>
      </c>
      <c r="D39" s="408">
        <f>'4-πολλυπρ'!D39</f>
        <v>0</v>
      </c>
      <c r="E39" s="408">
        <f>'4-πολλυπρ'!I39</f>
        <v>0</v>
      </c>
      <c r="F39" s="411">
        <f>'14-βιβλΕσ'!L39</f>
        <v>25.633672000000004</v>
      </c>
      <c r="G39" s="413">
        <f>'11-χαρτόσ'!L39+'13-ντιΜιΧο'!CA39</f>
        <v>4.46</v>
      </c>
      <c r="H39" s="413">
        <f t="shared" si="2"/>
        <v>30.093672000000005</v>
      </c>
      <c r="I39" s="413"/>
      <c r="J39" s="306"/>
      <c r="K39" s="306"/>
      <c r="L39" s="306"/>
      <c r="M39" s="413">
        <f>('14-βιβλΕσ'!O39+'14-βιβλΕσ'!P39+'14-βιβλΕσ'!T39)*40%</f>
        <v>140.87611120000003</v>
      </c>
      <c r="N39" s="413">
        <f>'14-βιβλΕσ'!T39</f>
        <v>203.60999999999999</v>
      </c>
      <c r="O39" s="413"/>
      <c r="P39" s="325"/>
      <c r="Q39" s="325"/>
      <c r="R39" s="413"/>
      <c r="S39" s="413">
        <f t="shared" si="3"/>
        <v>170.96978320000002</v>
      </c>
      <c r="T39" s="329">
        <v>1746</v>
      </c>
      <c r="U39" s="413">
        <f t="shared" si="4"/>
        <v>48.028746799999993</v>
      </c>
      <c r="V39" s="329">
        <v>247</v>
      </c>
      <c r="W39" s="413">
        <f>'1-συμβολαια'!L39+H39+'8-κ-15-17'!AE39+L39+N39</f>
        <v>508.41853000000003</v>
      </c>
      <c r="X39" s="413">
        <f>'1-συμβολαια'!M39</f>
        <v>289.42</v>
      </c>
      <c r="Y39" s="413">
        <f t="shared" si="6"/>
        <v>218.99853000000002</v>
      </c>
      <c r="Z39" s="480">
        <v>45678</v>
      </c>
      <c r="AA39" s="577">
        <f t="shared" si="1"/>
        <v>1993</v>
      </c>
      <c r="AB39" s="481"/>
    </row>
    <row r="40" spans="1:28" s="5" customFormat="1">
      <c r="A40" s="482">
        <f>'1-συμβολαια'!A40</f>
        <v>0</v>
      </c>
      <c r="B40" s="478">
        <f>'1-συμβολαια'!B40</f>
        <v>0</v>
      </c>
      <c r="C40" s="479" t="str">
        <f>'1-συμβολαια'!C40</f>
        <v>ΧΡΗΣΙΚΤΗΣΙΑ οικοπέδου = 1949 πατρός ΔΩΡΕΑ άτυπη</v>
      </c>
      <c r="D40" s="408">
        <f>'4-πολλυπρ'!D40</f>
        <v>0</v>
      </c>
      <c r="E40" s="408">
        <f>'4-πολλυπρ'!I40</f>
        <v>0</v>
      </c>
      <c r="F40" s="411">
        <f>'14-βιβλΕσ'!L40</f>
        <v>9.275112</v>
      </c>
      <c r="G40" s="413">
        <f>'11-χαρτόσ'!L40+'13-ντιΜιΧο'!CA40</f>
        <v>0</v>
      </c>
      <c r="H40" s="413">
        <f t="shared" si="2"/>
        <v>9.275112</v>
      </c>
      <c r="I40" s="413">
        <f>'8-κ-15-17'!AG40</f>
        <v>34.441000000000003</v>
      </c>
      <c r="J40" s="306"/>
      <c r="K40" s="306"/>
      <c r="L40" s="306"/>
      <c r="M40" s="413">
        <f>('14-βιβλΕσ'!O40+'14-βιβλΕσ'!P40+'14-βιβλΕσ'!T40)*40%</f>
        <v>34.652831999999997</v>
      </c>
      <c r="N40" s="413">
        <f>'14-βιβλΕσ'!T40</f>
        <v>5.86</v>
      </c>
      <c r="O40" s="413"/>
      <c r="P40" s="325"/>
      <c r="Q40" s="325"/>
      <c r="R40" s="413"/>
      <c r="S40" s="413">
        <f t="shared" si="3"/>
        <v>78.368943999999999</v>
      </c>
      <c r="T40" s="329">
        <v>801</v>
      </c>
      <c r="U40" s="413">
        <f t="shared" si="4"/>
        <v>42.704135999999991</v>
      </c>
      <c r="V40" s="329">
        <v>220</v>
      </c>
      <c r="W40" s="413">
        <f>'1-συμβολαια'!L40+H40+'8-κ-15-17'!AE40+L40+N40</f>
        <v>121.07307999999999</v>
      </c>
      <c r="X40" s="413">
        <f>'1-συμβολαια'!M40</f>
        <v>0</v>
      </c>
      <c r="Y40" s="413">
        <f t="shared" si="6"/>
        <v>121.07307999999999</v>
      </c>
      <c r="Z40" s="480">
        <v>45678</v>
      </c>
      <c r="AA40" s="577">
        <f t="shared" si="1"/>
        <v>1021</v>
      </c>
      <c r="AB40" s="481"/>
    </row>
    <row r="41" spans="1:28" s="5" customFormat="1">
      <c r="A41" s="482">
        <f>'1-συμβολαια'!A41</f>
        <v>0</v>
      </c>
      <c r="B41" s="478">
        <f>'1-συμβολαια'!B41</f>
        <v>0</v>
      </c>
      <c r="C41" s="517" t="str">
        <f>'1-συμβολαια'!C41</f>
        <v>ΧΡΗΣΙΚΤΗΣΙΑ αγροτεμαχίων = 1963 αγοραπωλησίας ΒΑΣΕΙ προσυμφώνου ΜΗ εκτελεσθέντος</v>
      </c>
      <c r="D41" s="408">
        <f>'4-πολλυπρ'!D41</f>
        <v>0</v>
      </c>
      <c r="E41" s="408">
        <f>'4-πολλυπρ'!I41</f>
        <v>0</v>
      </c>
      <c r="F41" s="411">
        <f>'14-βιβλΕσ'!L41</f>
        <v>3.2757120000000004</v>
      </c>
      <c r="G41" s="413">
        <f>'11-χαρτόσ'!L41+'13-ντιΜιΧο'!CA41</f>
        <v>0</v>
      </c>
      <c r="H41" s="413">
        <f t="shared" si="2"/>
        <v>3.2757120000000004</v>
      </c>
      <c r="I41" s="413">
        <f>'8-κ-15-17'!AG41</f>
        <v>8.6102500000000006</v>
      </c>
      <c r="J41" s="306"/>
      <c r="K41" s="306"/>
      <c r="L41" s="306"/>
      <c r="M41" s="413">
        <f>('14-βιβλΕσ'!O41+'14-βιβλΕσ'!P41+'14-βιβλΕσ'!T41)*40%</f>
        <v>18.654432</v>
      </c>
      <c r="N41" s="413">
        <f>'14-βιβλΕσ'!T41</f>
        <v>5.86</v>
      </c>
      <c r="O41" s="413"/>
      <c r="P41" s="325"/>
      <c r="Q41" s="325"/>
      <c r="R41" s="413"/>
      <c r="S41" s="413">
        <f t="shared" si="3"/>
        <v>30.540393999999999</v>
      </c>
      <c r="T41" s="329">
        <v>312</v>
      </c>
      <c r="U41" s="413">
        <f t="shared" si="4"/>
        <v>24.705936000000001</v>
      </c>
      <c r="V41" s="329">
        <v>127</v>
      </c>
      <c r="W41" s="413">
        <f>'1-συμβολαια'!L41+H41+'8-κ-15-17'!AE41+L41+N41</f>
        <v>55.24633</v>
      </c>
      <c r="X41" s="413">
        <f>'1-συμβολαια'!M41</f>
        <v>0</v>
      </c>
      <c r="Y41" s="413">
        <f t="shared" si="6"/>
        <v>55.24633</v>
      </c>
      <c r="Z41" s="480">
        <v>45678</v>
      </c>
      <c r="AA41" s="577">
        <f t="shared" si="1"/>
        <v>439</v>
      </c>
      <c r="AB41" s="481"/>
    </row>
    <row r="42" spans="1:28" s="5" customFormat="1">
      <c r="A42" s="548">
        <f>'1-συμβολαια'!A42</f>
        <v>4625</v>
      </c>
      <c r="B42" s="478">
        <f>'1-συμβολαια'!B42</f>
        <v>23</v>
      </c>
      <c r="C42" s="479" t="str">
        <f>'1-συμβολαια'!C42</f>
        <v>*γονική ΨΙΛΗΣ ΚΥΡΙΟΤΗΤΑΣ</v>
      </c>
      <c r="D42" s="408">
        <f>'4-πολλυπρ'!D42</f>
        <v>0</v>
      </c>
      <c r="E42" s="408">
        <f>'4-πολλυπρ'!I42</f>
        <v>0</v>
      </c>
      <c r="F42" s="411">
        <f>'14-βιβλΕσ'!L42</f>
        <v>9.6294980000000017</v>
      </c>
      <c r="G42" s="413">
        <f>'11-χαρτόσ'!L42+'13-ντιΜιΧο'!CA42</f>
        <v>4.46</v>
      </c>
      <c r="H42" s="413">
        <f t="shared" si="2"/>
        <v>14.089498000000003</v>
      </c>
      <c r="I42" s="413"/>
      <c r="J42" s="306"/>
      <c r="K42" s="306"/>
      <c r="L42" s="306"/>
      <c r="M42" s="413">
        <f>('14-βιβλΕσ'!O42+'14-βιβλΕσ'!P42+'14-βιβλΕσ'!T42)*40%</f>
        <v>80.646128000000004</v>
      </c>
      <c r="N42" s="413">
        <f>'14-βιβλΕσ'!T42</f>
        <v>190.69000000000003</v>
      </c>
      <c r="O42" s="413"/>
      <c r="P42" s="325"/>
      <c r="Q42" s="325"/>
      <c r="R42" s="413"/>
      <c r="S42" s="413">
        <f t="shared" si="3"/>
        <v>94.735626000000011</v>
      </c>
      <c r="T42" s="329">
        <v>968</v>
      </c>
      <c r="U42" s="413">
        <f t="shared" si="4"/>
        <v>111.33841150000002</v>
      </c>
      <c r="V42" s="329">
        <v>573</v>
      </c>
      <c r="W42" s="413">
        <f>'1-συμβολαια'!L42+H42+'8-κ-15-17'!AE42+L42+N42</f>
        <v>318.30403750000005</v>
      </c>
      <c r="X42" s="413">
        <f>'1-συμβολαια'!M42</f>
        <v>112.23</v>
      </c>
      <c r="Y42" s="413">
        <f t="shared" si="6"/>
        <v>206.07403750000003</v>
      </c>
      <c r="Z42" s="480">
        <v>45679</v>
      </c>
      <c r="AA42" s="577">
        <f t="shared" si="1"/>
        <v>1541</v>
      </c>
      <c r="AB42" s="481"/>
    </row>
    <row r="43" spans="1:28" s="5" customFormat="1">
      <c r="A43" s="548">
        <f>'1-συμβολαια'!A43</f>
        <v>0</v>
      </c>
      <c r="B43" s="478">
        <f>'1-συμβολαια'!B43</f>
        <v>0</v>
      </c>
      <c r="C43" s="479" t="str">
        <f>'1-συμβολαια'!C43</f>
        <v>ΧΡΗΣΙΚΤΗΣΙΑ αγροτεμαχίου = 19?? πατρός ΔΩΡΕΑ άτυπη</v>
      </c>
      <c r="D43" s="408">
        <f>'4-πολλυπρ'!D43</f>
        <v>0</v>
      </c>
      <c r="E43" s="408">
        <f>'4-πολλυπρ'!I43</f>
        <v>0</v>
      </c>
      <c r="F43" s="411">
        <f>'14-βιβλΕσ'!L43</f>
        <v>3.2757120000000004</v>
      </c>
      <c r="G43" s="413">
        <f>'11-χαρτόσ'!L43+'13-ντιΜιΧο'!CA43</f>
        <v>0</v>
      </c>
      <c r="H43" s="413">
        <f t="shared" si="2"/>
        <v>3.2757120000000004</v>
      </c>
      <c r="I43" s="413">
        <f>'8-κ-15-17'!AG43</f>
        <v>8.6102500000000006</v>
      </c>
      <c r="J43" s="306"/>
      <c r="K43" s="306"/>
      <c r="L43" s="306"/>
      <c r="M43" s="413">
        <f>('14-βιβλΕσ'!O43+'14-βιβλΕσ'!P43+'14-βιβλΕσ'!T43)*40%</f>
        <v>17.482431999999999</v>
      </c>
      <c r="N43" s="413">
        <f>'14-βιβλΕσ'!T43</f>
        <v>5.86</v>
      </c>
      <c r="O43" s="413"/>
      <c r="P43" s="325"/>
      <c r="Q43" s="325"/>
      <c r="R43" s="413"/>
      <c r="S43" s="413">
        <f t="shared" si="3"/>
        <v>29.368394000000002</v>
      </c>
      <c r="T43" s="329">
        <v>300</v>
      </c>
      <c r="U43" s="413">
        <f t="shared" si="4"/>
        <v>22.947935999999999</v>
      </c>
      <c r="V43" s="329">
        <v>118</v>
      </c>
      <c r="W43" s="413">
        <f>'1-συμβολαια'!L43+H43+'8-κ-15-17'!AE43+L43+N43</f>
        <v>52.316330000000001</v>
      </c>
      <c r="X43" s="413">
        <f>'1-συμβολαια'!M43</f>
        <v>0</v>
      </c>
      <c r="Y43" s="413">
        <f t="shared" si="6"/>
        <v>52.316330000000001</v>
      </c>
      <c r="Z43" s="480">
        <v>45679</v>
      </c>
      <c r="AA43" s="577">
        <f t="shared" si="1"/>
        <v>418</v>
      </c>
      <c r="AB43" s="481"/>
    </row>
    <row r="44" spans="1:28" s="5" customFormat="1">
      <c r="A44" s="482">
        <f>'1-συμβολαια'!A44</f>
        <v>4626</v>
      </c>
      <c r="B44" s="478">
        <f>'1-συμβολαια'!B44</f>
        <v>23</v>
      </c>
      <c r="C44" s="479" t="str">
        <f>'1-συμβολαια'!C44</f>
        <v>*γονική ΨΙΛΗΣ ΚΥΡΙΟΤΗΤΑΣ</v>
      </c>
      <c r="D44" s="408">
        <f>'4-πολλυπρ'!D44</f>
        <v>0</v>
      </c>
      <c r="E44" s="408">
        <f>'4-πολλυπρ'!I44</f>
        <v>0</v>
      </c>
      <c r="F44" s="411">
        <f>'14-βιβλΕσ'!L44</f>
        <v>13.972408000000001</v>
      </c>
      <c r="G44" s="413">
        <f>'11-χαρτόσ'!L44+'13-ντιΜιΧο'!CA44</f>
        <v>9.11</v>
      </c>
      <c r="H44" s="413">
        <f t="shared" si="2"/>
        <v>23.082408000000001</v>
      </c>
      <c r="I44" s="413"/>
      <c r="J44" s="306"/>
      <c r="K44" s="306"/>
      <c r="L44" s="306"/>
      <c r="M44" s="413">
        <f>('14-βιβλΕσ'!O44+'14-βιβλΕσ'!P44+'14-βιβλΕσ'!T44)*40%</f>
        <v>125.71628799999999</v>
      </c>
      <c r="N44" s="413">
        <f>'14-βιβλΕσ'!T44</f>
        <v>303.35999999999996</v>
      </c>
      <c r="O44" s="413"/>
      <c r="P44" s="325"/>
      <c r="Q44" s="325"/>
      <c r="R44" s="413"/>
      <c r="S44" s="413">
        <f t="shared" si="3"/>
        <v>148.79869600000001</v>
      </c>
      <c r="T44" s="329">
        <v>1520</v>
      </c>
      <c r="U44" s="413">
        <f t="shared" si="4"/>
        <v>174.59985399999999</v>
      </c>
      <c r="V44" s="329">
        <v>899</v>
      </c>
      <c r="W44" s="413">
        <f>'1-συμβολαια'!L44+H44+'8-κ-15-17'!AE44+L44+N44</f>
        <v>484.86854999999997</v>
      </c>
      <c r="X44" s="413">
        <f>'1-συμβολαια'!M44</f>
        <v>161.47</v>
      </c>
      <c r="Y44" s="413">
        <f t="shared" si="6"/>
        <v>323.39855</v>
      </c>
      <c r="Z44" s="480">
        <v>45679</v>
      </c>
      <c r="AA44" s="577">
        <f t="shared" si="1"/>
        <v>2419</v>
      </c>
      <c r="AB44" s="481"/>
    </row>
    <row r="45" spans="1:28" s="5" customFormat="1">
      <c r="A45" s="482">
        <f>'1-συμβολαια'!A45</f>
        <v>0</v>
      </c>
      <c r="B45" s="478">
        <f>'1-συμβολαια'!B45</f>
        <v>0</v>
      </c>
      <c r="C45" s="479" t="str">
        <f>'1-συμβολαια'!C45</f>
        <v>ΧΡΗΣΙΚΤΗΣΙΑ αγροτεμαχίου = 1979 ΑΝΑΔΑΣΜΟΣ</v>
      </c>
      <c r="D45" s="408">
        <f>'4-πολλυπρ'!D45</f>
        <v>0</v>
      </c>
      <c r="E45" s="408">
        <f>'4-πολλυπρ'!I45</f>
        <v>0</v>
      </c>
      <c r="F45" s="411">
        <f>'14-βιβλΕσ'!L45</f>
        <v>3.2757120000000004</v>
      </c>
      <c r="G45" s="413">
        <f>'11-χαρτόσ'!L45+'13-ντιΜιΧο'!CA45</f>
        <v>0</v>
      </c>
      <c r="H45" s="413">
        <f t="shared" si="2"/>
        <v>3.2757120000000004</v>
      </c>
      <c r="I45" s="413">
        <f>'8-κ-15-17'!AG45</f>
        <v>8.6102500000000006</v>
      </c>
      <c r="J45" s="306"/>
      <c r="K45" s="306"/>
      <c r="L45" s="306"/>
      <c r="M45" s="413">
        <f>('14-βιβλΕσ'!O45+'14-βιβλΕσ'!P45+'14-βιβλΕσ'!T45)*40%</f>
        <v>16.310432000000002</v>
      </c>
      <c r="N45" s="413">
        <f>'14-βιβλΕσ'!T45</f>
        <v>0</v>
      </c>
      <c r="O45" s="413"/>
      <c r="P45" s="325"/>
      <c r="Q45" s="325"/>
      <c r="R45" s="413"/>
      <c r="S45" s="413">
        <f t="shared" si="3"/>
        <v>28.196394000000005</v>
      </c>
      <c r="T45" s="329">
        <v>288</v>
      </c>
      <c r="U45" s="413">
        <f t="shared" si="4"/>
        <v>21.189935999999996</v>
      </c>
      <c r="V45" s="329">
        <v>109</v>
      </c>
      <c r="W45" s="413">
        <f>'1-συμβολαια'!L45+H45+'8-κ-15-17'!AE45+L45+N45</f>
        <v>49.386330000000001</v>
      </c>
      <c r="X45" s="413">
        <f>'1-συμβολαια'!M45</f>
        <v>0</v>
      </c>
      <c r="Y45" s="413">
        <f t="shared" si="6"/>
        <v>49.386330000000001</v>
      </c>
      <c r="Z45" s="480">
        <v>45679</v>
      </c>
      <c r="AA45" s="577">
        <f t="shared" si="1"/>
        <v>397</v>
      </c>
      <c r="AB45" s="481"/>
    </row>
    <row r="46" spans="1:28" s="5" customFormat="1">
      <c r="A46" s="482">
        <f>'1-συμβολαια'!A46</f>
        <v>0</v>
      </c>
      <c r="B46" s="478">
        <f>'1-συμβολαια'!B46</f>
        <v>0</v>
      </c>
      <c r="C46" s="585" t="str">
        <f>'1-συμβολαια'!C46</f>
        <v>ΧΡΗΣΙΚΤΗΣΙΑ αγροτεμαχίων = 1957 τακοΑναστασιο ΑΓΟΡΑΠΩΛΗΣΙΑ άτυπη</v>
      </c>
      <c r="D46" s="408">
        <f>'4-πολλυπρ'!D46</f>
        <v>0</v>
      </c>
      <c r="E46" s="408">
        <f>'4-πολλυπρ'!I46</f>
        <v>0</v>
      </c>
      <c r="F46" s="411">
        <f>'14-βιβλΕσ'!L46</f>
        <v>3.2757120000000004</v>
      </c>
      <c r="G46" s="413">
        <f>'11-χαρτόσ'!L46+'13-ντιΜιΧο'!CA46</f>
        <v>0</v>
      </c>
      <c r="H46" s="413">
        <f t="shared" si="2"/>
        <v>3.2757120000000004</v>
      </c>
      <c r="I46" s="413">
        <f>'8-κ-15-17'!AG46</f>
        <v>8.6102500000000006</v>
      </c>
      <c r="J46" s="306"/>
      <c r="K46" s="306"/>
      <c r="L46" s="306"/>
      <c r="M46" s="413">
        <f>('14-βιβλΕσ'!O46+'14-βιβλΕσ'!P46+'14-βιβλΕσ'!T46)*40%</f>
        <v>18.654432</v>
      </c>
      <c r="N46" s="413">
        <f>'14-βιβλΕσ'!T46</f>
        <v>5.86</v>
      </c>
      <c r="O46" s="413"/>
      <c r="P46" s="325"/>
      <c r="Q46" s="325"/>
      <c r="R46" s="413"/>
      <c r="S46" s="413">
        <f t="shared" si="3"/>
        <v>30.540393999999999</v>
      </c>
      <c r="T46" s="329">
        <v>312</v>
      </c>
      <c r="U46" s="413">
        <f t="shared" si="4"/>
        <v>24.705936000000001</v>
      </c>
      <c r="V46" s="329">
        <v>127</v>
      </c>
      <c r="W46" s="413">
        <f>'1-συμβολαια'!L46+H46+'8-κ-15-17'!AE46+L46+N46</f>
        <v>55.24633</v>
      </c>
      <c r="X46" s="413">
        <f>'1-συμβολαια'!M46</f>
        <v>0</v>
      </c>
      <c r="Y46" s="413">
        <f t="shared" si="6"/>
        <v>55.24633</v>
      </c>
      <c r="Z46" s="480">
        <v>45679</v>
      </c>
      <c r="AA46" s="577">
        <f t="shared" si="1"/>
        <v>439</v>
      </c>
      <c r="AB46" s="481"/>
    </row>
    <row r="47" spans="1:28" s="5" customFormat="1">
      <c r="A47" s="548">
        <f>'1-συμβολαια'!A47</f>
        <v>4627</v>
      </c>
      <c r="B47" s="478">
        <f>'1-συμβολαια'!B47</f>
        <v>23</v>
      </c>
      <c r="C47" s="479" t="str">
        <f>'1-συμβολαια'!C47</f>
        <v>*δωρεά ΑΙΤΙΑ θανάτου</v>
      </c>
      <c r="D47" s="408">
        <f>'4-πολλυπρ'!D47</f>
        <v>0</v>
      </c>
      <c r="E47" s="408">
        <f>'4-πολλυπρ'!I47</f>
        <v>0</v>
      </c>
      <c r="F47" s="411">
        <f>'14-βιβλΕσ'!L47</f>
        <v>1.9792000000000001</v>
      </c>
      <c r="G47" s="413">
        <f>'11-χαρτόσ'!L47+'13-ντιΜιΧο'!CA47</f>
        <v>4.46</v>
      </c>
      <c r="H47" s="413">
        <f t="shared" si="2"/>
        <v>6.4391999999999996</v>
      </c>
      <c r="I47" s="413"/>
      <c r="J47" s="306"/>
      <c r="K47" s="306"/>
      <c r="L47" s="306"/>
      <c r="M47" s="413">
        <f>('14-βιβλΕσ'!O47+'14-βιβλΕσ'!P47+'14-βιβλΕσ'!T47)*40%</f>
        <v>63.172000000000004</v>
      </c>
      <c r="N47" s="413">
        <f>'14-βιβλΕσ'!T47</f>
        <v>137.26000000000002</v>
      </c>
      <c r="O47" s="413"/>
      <c r="P47" s="325"/>
      <c r="Q47" s="325"/>
      <c r="R47" s="413"/>
      <c r="S47" s="413">
        <f t="shared" si="3"/>
        <v>69.611199999999997</v>
      </c>
      <c r="T47" s="329">
        <v>715</v>
      </c>
      <c r="U47" s="413">
        <f t="shared" si="4"/>
        <v>92.778800000000018</v>
      </c>
      <c r="V47" s="329">
        <v>476</v>
      </c>
      <c r="W47" s="413">
        <f>'1-συμβολαια'!L47+H47+'8-κ-15-17'!AE47+L47+N47</f>
        <v>181.93</v>
      </c>
      <c r="X47" s="413">
        <f>'1-συμβολαια'!M47</f>
        <v>19.54</v>
      </c>
      <c r="Y47" s="413">
        <f t="shared" si="6"/>
        <v>162.39000000000001</v>
      </c>
      <c r="Z47" s="480">
        <v>45680</v>
      </c>
      <c r="AA47" s="577">
        <f t="shared" si="1"/>
        <v>1191</v>
      </c>
      <c r="AB47" s="481">
        <v>1262</v>
      </c>
    </row>
    <row r="48" spans="1:28" s="5" customFormat="1">
      <c r="A48" s="548">
        <f>'1-συμβολαια'!A48</f>
        <v>0</v>
      </c>
      <c r="B48" s="478">
        <f>'1-συμβολαια'!B48</f>
        <v>0</v>
      </c>
      <c r="C48" s="585" t="str">
        <f>'1-συμβολαια'!C48</f>
        <v>ΧΡΗΣΙΚΤΗΣΙΑ αγροτεμαχίου [νυν οικόπεδο ΜΕ οικοδομή] ] = 1970 ΑΝΑΔΑΣΜΟΣ</v>
      </c>
      <c r="D48" s="408">
        <f>'4-πολλυπρ'!D48</f>
        <v>0</v>
      </c>
      <c r="E48" s="408">
        <f>'4-πολλυπρ'!I48</f>
        <v>0</v>
      </c>
      <c r="F48" s="411">
        <f>'14-βιβλΕσ'!L48</f>
        <v>3.2757120000000004</v>
      </c>
      <c r="G48" s="413">
        <f>'11-χαρτόσ'!L48+'13-ντιΜιΧο'!CA48</f>
        <v>0</v>
      </c>
      <c r="H48" s="413">
        <f t="shared" si="2"/>
        <v>3.2757120000000004</v>
      </c>
      <c r="I48" s="413">
        <f>'8-κ-15-17'!AG48</f>
        <v>8.6102500000000006</v>
      </c>
      <c r="J48" s="306"/>
      <c r="K48" s="306"/>
      <c r="L48" s="306"/>
      <c r="M48" s="413">
        <f>('14-βιβλΕσ'!O48+'14-βιβλΕσ'!P48+'14-βιβλΕσ'!T48)*40%</f>
        <v>10.210432000000001</v>
      </c>
      <c r="N48" s="413">
        <f>'14-βιβλΕσ'!T48</f>
        <v>0</v>
      </c>
      <c r="O48" s="413"/>
      <c r="P48" s="325"/>
      <c r="Q48" s="325"/>
      <c r="R48" s="413"/>
      <c r="S48" s="413">
        <f t="shared" si="3"/>
        <v>22.096394000000004</v>
      </c>
      <c r="T48" s="329">
        <v>226</v>
      </c>
      <c r="U48" s="413">
        <f t="shared" si="4"/>
        <v>12.039935999999997</v>
      </c>
      <c r="V48" s="329">
        <v>62</v>
      </c>
      <c r="W48" s="413">
        <f>'1-συμβολαια'!L48+H48+'8-κ-15-17'!AE48+L48+N48</f>
        <v>34.136330000000001</v>
      </c>
      <c r="X48" s="413">
        <f>'1-συμβολαια'!M48</f>
        <v>0</v>
      </c>
      <c r="Y48" s="413">
        <f t="shared" si="6"/>
        <v>34.136330000000001</v>
      </c>
      <c r="Z48" s="480">
        <v>45680</v>
      </c>
      <c r="AA48" s="577">
        <f t="shared" si="1"/>
        <v>288</v>
      </c>
      <c r="AB48" s="481"/>
    </row>
    <row r="49" spans="1:45" s="5" customFormat="1">
      <c r="A49" s="548">
        <f>'1-συμβολαια'!A49</f>
        <v>0</v>
      </c>
      <c r="B49" s="478">
        <f>'1-συμβολαια'!B49</f>
        <v>0</v>
      </c>
      <c r="C49" s="479" t="str">
        <f>'1-συμβολαια'!C49</f>
        <v>*γονικής 1262  ΕΠΙΚΑΡΠΙΑ …  ΔΩΡΕΑ αιτία θανάτου</v>
      </c>
      <c r="D49" s="408">
        <f>'4-πολλυπρ'!D49</f>
        <v>0</v>
      </c>
      <c r="E49" s="408">
        <f>'4-πολλυπρ'!I49</f>
        <v>0</v>
      </c>
      <c r="F49" s="411">
        <f>'14-βιβλΕσ'!L49</f>
        <v>17.274312000000002</v>
      </c>
      <c r="G49" s="413">
        <f>'11-χαρτόσ'!L49+'13-ντιΜιΧο'!CA49</f>
        <v>2.48</v>
      </c>
      <c r="H49" s="413">
        <f t="shared" si="2"/>
        <v>19.754312000000002</v>
      </c>
      <c r="I49" s="413">
        <f>'8-κ-15-17'!AG49</f>
        <v>68.882000000000005</v>
      </c>
      <c r="J49" s="306"/>
      <c r="K49" s="306"/>
      <c r="L49" s="306"/>
      <c r="M49" s="413">
        <f>('14-βιβλΕσ'!O49+'14-βιβλΕσ'!P49+'14-βιβλΕσ'!T49)*40%</f>
        <v>134.416032</v>
      </c>
      <c r="N49" s="413">
        <f>'14-βιβλΕσ'!T49</f>
        <v>198.41</v>
      </c>
      <c r="O49" s="413"/>
      <c r="P49" s="325"/>
      <c r="Q49" s="325"/>
      <c r="R49" s="413"/>
      <c r="S49" s="413">
        <f t="shared" si="3"/>
        <v>223.05234400000001</v>
      </c>
      <c r="T49" s="329">
        <v>2278</v>
      </c>
      <c r="U49" s="413">
        <f t="shared" si="4"/>
        <v>184.34973600000001</v>
      </c>
      <c r="V49" s="329">
        <v>949</v>
      </c>
      <c r="W49" s="413">
        <f>'1-συμβολαια'!L49+H49+'8-κ-15-17'!AE49+L49+N49</f>
        <v>407.40208000000001</v>
      </c>
      <c r="X49" s="413">
        <f>'1-συμβολαια'!M49</f>
        <v>0</v>
      </c>
      <c r="Y49" s="413">
        <f t="shared" si="6"/>
        <v>407.40208000000001</v>
      </c>
      <c r="Z49" s="480">
        <v>45680</v>
      </c>
      <c r="AA49" s="577">
        <f t="shared" si="1"/>
        <v>3227</v>
      </c>
      <c r="AB49" s="481">
        <v>1262</v>
      </c>
    </row>
    <row r="50" spans="1:45" s="5" customFormat="1">
      <c r="A50" s="491">
        <f>'1-συμβολαια'!A50</f>
        <v>4628</v>
      </c>
      <c r="B50" s="478">
        <f>'1-συμβολαια'!B50</f>
        <v>24</v>
      </c>
      <c r="C50" s="479" t="str">
        <f>'1-συμβολαια'!C50</f>
        <v>πληρεξούσιο</v>
      </c>
      <c r="D50" s="408">
        <f>'4-πολλυπρ'!D50</f>
        <v>0</v>
      </c>
      <c r="E50" s="408">
        <f>'4-πολλυπρ'!I50</f>
        <v>0</v>
      </c>
      <c r="F50" s="411">
        <f>'14-βιβλΕσ'!L50</f>
        <v>1.2686000000000002</v>
      </c>
      <c r="G50" s="413">
        <f>'11-χαρτόσ'!L50+'13-ντιΜιΧο'!CA50</f>
        <v>0</v>
      </c>
      <c r="H50" s="413">
        <f t="shared" si="2"/>
        <v>1.2686000000000002</v>
      </c>
      <c r="I50" s="413"/>
      <c r="J50" s="306"/>
      <c r="K50" s="306"/>
      <c r="L50" s="306"/>
      <c r="M50" s="413">
        <f>('14-βιβλΕσ'!O50+'14-βιβλΕσ'!P50+'14-βιβλΕσ'!T50)*40%</f>
        <v>-0.82000000000000073</v>
      </c>
      <c r="N50" s="413">
        <f>'14-βιβλΕσ'!T50</f>
        <v>0.3</v>
      </c>
      <c r="O50" s="413"/>
      <c r="P50" s="325"/>
      <c r="Q50" s="325"/>
      <c r="R50" s="413"/>
      <c r="S50" s="413">
        <f t="shared" si="3"/>
        <v>0.44859999999999944</v>
      </c>
      <c r="T50" s="329"/>
      <c r="U50" s="444">
        <f t="shared" si="4"/>
        <v>-2.4986000000000002</v>
      </c>
      <c r="V50" s="329"/>
      <c r="W50" s="413">
        <f>'1-συμβολαια'!L50+H50+'8-κ-15-17'!AE50+L50+N50</f>
        <v>18.489999999999998</v>
      </c>
      <c r="X50" s="413">
        <f>'1-συμβολαια'!M50</f>
        <v>20.54</v>
      </c>
      <c r="Y50" s="413">
        <f t="shared" si="6"/>
        <v>-2.0500000000000007</v>
      </c>
      <c r="Z50" s="480"/>
      <c r="AA50" s="325">
        <f t="shared" si="1"/>
        <v>0</v>
      </c>
      <c r="AB50" s="481"/>
    </row>
    <row r="51" spans="1:45" s="5" customFormat="1">
      <c r="A51" s="482">
        <f>'1-συμβολαια'!A51</f>
        <v>4629</v>
      </c>
      <c r="B51" s="478">
        <f>'1-συμβολαια'!B51</f>
        <v>24</v>
      </c>
      <c r="C51" s="479" t="str">
        <f>'1-συμβολαια'!C51</f>
        <v>κληρονομιάς ΑΠΟΔΟΧΗ</v>
      </c>
      <c r="D51" s="408">
        <f>'4-πολλυπρ'!D51</f>
        <v>0</v>
      </c>
      <c r="E51" s="408">
        <f>'4-πολλυπρ'!I51</f>
        <v>0</v>
      </c>
      <c r="F51" s="411">
        <f>'14-βιβλΕσ'!L51</f>
        <v>7.4921000000000006</v>
      </c>
      <c r="G51" s="413">
        <f>'11-χαρτόσ'!L51+'13-ντιΜιΧο'!CA51</f>
        <v>4.96</v>
      </c>
      <c r="H51" s="413">
        <f t="shared" si="2"/>
        <v>12.452100000000002</v>
      </c>
      <c r="I51" s="413"/>
      <c r="J51" s="306"/>
      <c r="K51" s="306"/>
      <c r="L51" s="306"/>
      <c r="M51" s="413">
        <f>('14-βιβλΕσ'!O51+'14-βιβλΕσ'!P51+'14-βιβλΕσ'!T51)*40%</f>
        <v>222.048</v>
      </c>
      <c r="N51" s="413">
        <f>'14-βιβλΕσ'!T51</f>
        <v>501.12</v>
      </c>
      <c r="O51" s="413"/>
      <c r="P51" s="325"/>
      <c r="Q51" s="325"/>
      <c r="R51" s="413"/>
      <c r="S51" s="413">
        <f t="shared" si="3"/>
        <v>234.5001</v>
      </c>
      <c r="T51" s="329">
        <v>2395</v>
      </c>
      <c r="U51" s="413">
        <f t="shared" si="4"/>
        <v>325.57989999999995</v>
      </c>
      <c r="V51" s="329">
        <v>1677</v>
      </c>
      <c r="W51" s="413">
        <f>'1-συμβολαια'!L51+H51+'8-κ-15-17'!AE51+L51+N51</f>
        <v>639.91</v>
      </c>
      <c r="X51" s="413">
        <f>'1-συμβολαια'!M51</f>
        <v>79.83</v>
      </c>
      <c r="Y51" s="413">
        <f t="shared" si="6"/>
        <v>560.07999999999993</v>
      </c>
      <c r="Z51" s="480">
        <v>45680</v>
      </c>
      <c r="AA51" s="577">
        <f t="shared" si="1"/>
        <v>4072</v>
      </c>
      <c r="AB51" s="481" t="s">
        <v>609</v>
      </c>
    </row>
    <row r="52" spans="1:45" s="5" customFormat="1">
      <c r="A52" s="482">
        <f>'1-συμβολαια'!A52</f>
        <v>0</v>
      </c>
      <c r="B52" s="478">
        <f>'1-συμβολαια'!B52</f>
        <v>0</v>
      </c>
      <c r="C52" s="479" t="str">
        <f>'1-συμβολαια'!C52</f>
        <v>ΧΡΗΣΙΚΤΗΣΙΑ αγροτεμαχίου = 1980 πατρός ΚΛΗΡΟΝΟΜΙΑ άτυπη</v>
      </c>
      <c r="D52" s="408">
        <f>'4-πολλυπρ'!D52</f>
        <v>0</v>
      </c>
      <c r="E52" s="408">
        <f>'4-πολλυπρ'!I52</f>
        <v>0</v>
      </c>
      <c r="F52" s="411">
        <f>'14-βιβλΕσ'!L52</f>
        <v>4.2555160000000001</v>
      </c>
      <c r="G52" s="413">
        <f>'11-χαρτόσ'!L52+'13-ντιΜιΧο'!CA52</f>
        <v>0</v>
      </c>
      <c r="H52" s="413">
        <f t="shared" si="2"/>
        <v>4.2555160000000001</v>
      </c>
      <c r="I52" s="413">
        <f>'8-κ-15-17'!AG52</f>
        <v>8.6102500000000006</v>
      </c>
      <c r="J52" s="306"/>
      <c r="K52" s="306"/>
      <c r="L52" s="306"/>
      <c r="M52" s="413">
        <f>('14-βιβλΕσ'!O52+'14-βιβλΕσ'!P52+'14-βιβλΕσ'!T52)*40%</f>
        <v>17.482431999999999</v>
      </c>
      <c r="N52" s="413">
        <f>'14-βιβλΕσ'!T52</f>
        <v>5.86</v>
      </c>
      <c r="O52" s="413"/>
      <c r="P52" s="325"/>
      <c r="Q52" s="325"/>
      <c r="R52" s="413"/>
      <c r="S52" s="413">
        <f t="shared" si="3"/>
        <v>30.348198</v>
      </c>
      <c r="T52" s="329">
        <v>310</v>
      </c>
      <c r="U52" s="413">
        <f t="shared" si="4"/>
        <v>21.968132000000001</v>
      </c>
      <c r="V52" s="329">
        <v>113</v>
      </c>
      <c r="W52" s="413">
        <f>'1-συμβολαια'!L52+H52+'8-κ-15-17'!AE52+L52+N52</f>
        <v>52.316330000000001</v>
      </c>
      <c r="X52" s="413">
        <f>'1-συμβολαια'!M52</f>
        <v>0</v>
      </c>
      <c r="Y52" s="413">
        <f t="shared" si="6"/>
        <v>52.316330000000001</v>
      </c>
      <c r="Z52" s="480">
        <v>45680</v>
      </c>
      <c r="AA52" s="577">
        <f t="shared" si="1"/>
        <v>423</v>
      </c>
      <c r="AB52" s="481"/>
    </row>
    <row r="53" spans="1:45" s="5" customFormat="1">
      <c r="A53" s="482">
        <f>'1-συμβολαια'!A53</f>
        <v>0</v>
      </c>
      <c r="B53" s="478">
        <f>'1-συμβολαια'!B53</f>
        <v>0</v>
      </c>
      <c r="C53" s="479" t="str">
        <f>'1-συμβολαια'!C53</f>
        <v>ΧΡΗΣΙΚΤΗΣΙΑ αγροτεμαχίου = 1980 ΔΙΑΝΟΜΗ άτυπη</v>
      </c>
      <c r="D53" s="408">
        <f>'4-πολλυπρ'!D53</f>
        <v>0</v>
      </c>
      <c r="E53" s="408">
        <f>'4-πολλυπρ'!I53</f>
        <v>0</v>
      </c>
      <c r="F53" s="411">
        <f>'14-βιβλΕσ'!L53</f>
        <v>0.55799999999999994</v>
      </c>
      <c r="G53" s="413">
        <f>'11-χαρτόσ'!L53+'13-ντιΜιΧο'!CA53</f>
        <v>0</v>
      </c>
      <c r="H53" s="413">
        <f t="shared" si="2"/>
        <v>0.55799999999999994</v>
      </c>
      <c r="I53" s="413">
        <f>'8-κ-15-17'!AG53</f>
        <v>8.5250000000000006E-2</v>
      </c>
      <c r="J53" s="306"/>
      <c r="K53" s="306"/>
      <c r="L53" s="306"/>
      <c r="M53" s="413">
        <f>('14-βιβλΕσ'!O53+'14-βιβλΕσ'!P53+'14-βιβλΕσ'!T53)*40%</f>
        <v>11.964000000000002</v>
      </c>
      <c r="N53" s="413">
        <f>'14-βιβλΕσ'!T53</f>
        <v>5.86</v>
      </c>
      <c r="O53" s="413"/>
      <c r="P53" s="325"/>
      <c r="Q53" s="325"/>
      <c r="R53" s="413"/>
      <c r="S53" s="413">
        <f t="shared" si="3"/>
        <v>12.607250000000002</v>
      </c>
      <c r="T53" s="329">
        <v>129</v>
      </c>
      <c r="U53" s="413">
        <f t="shared" si="4"/>
        <v>17.387999999999998</v>
      </c>
      <c r="V53" s="329">
        <v>90</v>
      </c>
      <c r="W53" s="413">
        <f>'1-συμβολαια'!L53+H53+'8-κ-15-17'!AE53+L53+N53</f>
        <v>29.995250000000002</v>
      </c>
      <c r="X53" s="413">
        <f>'1-συμβολαια'!M53</f>
        <v>0</v>
      </c>
      <c r="Y53" s="413">
        <f t="shared" si="6"/>
        <v>29.995250000000002</v>
      </c>
      <c r="Z53" s="480">
        <v>45680</v>
      </c>
      <c r="AA53" s="577">
        <f t="shared" si="1"/>
        <v>219</v>
      </c>
      <c r="AB53" s="481" t="s">
        <v>609</v>
      </c>
    </row>
    <row r="54" spans="1:45" s="5" customFormat="1">
      <c r="A54" s="548">
        <f>'1-συμβολαια'!A54</f>
        <v>4630</v>
      </c>
      <c r="B54" s="478">
        <f>'1-συμβολαια'!B54</f>
        <v>28</v>
      </c>
      <c r="C54" s="479" t="str">
        <f>'1-συμβολαια'!C54</f>
        <v xml:space="preserve">αγοραπωλησίας ΠΡΟΣΥΜΦΩΝΟ τίμημα = αρραβών = </v>
      </c>
      <c r="D54" s="408">
        <f>'4-πολλυπρ'!D54</f>
        <v>0</v>
      </c>
      <c r="E54" s="408">
        <f>'4-πολλυπρ'!I54</f>
        <v>0</v>
      </c>
      <c r="F54" s="411">
        <f>'14-βιβλΕσ'!L54</f>
        <v>19.255092000000005</v>
      </c>
      <c r="G54" s="413">
        <f>'11-χαρτόσ'!L54+'13-ντιΜιΧο'!CA54</f>
        <v>0</v>
      </c>
      <c r="H54" s="413">
        <f t="shared" si="2"/>
        <v>19.255092000000005</v>
      </c>
      <c r="I54" s="413"/>
      <c r="J54" s="306"/>
      <c r="K54" s="306"/>
      <c r="L54" s="306"/>
      <c r="M54" s="413">
        <f>('14-βιβλΕσ'!O54+'14-βιβλΕσ'!P54+'14-βιβλΕσ'!T54)*40%</f>
        <v>2.2373120000000037</v>
      </c>
      <c r="N54" s="413">
        <f>'14-βιβλΕσ'!T54</f>
        <v>13.22</v>
      </c>
      <c r="O54" s="413"/>
      <c r="P54" s="325"/>
      <c r="Q54" s="325"/>
      <c r="R54" s="413"/>
      <c r="S54" s="413">
        <f t="shared" si="3"/>
        <v>21.492404000000008</v>
      </c>
      <c r="T54" s="329">
        <v>220</v>
      </c>
      <c r="U54" s="444">
        <f t="shared" si="4"/>
        <v>-15.899124000000015</v>
      </c>
      <c r="V54" s="326">
        <v>-82</v>
      </c>
      <c r="W54" s="413">
        <f>'1-συμβολαια'!L54+H54+'8-κ-15-17'!AE54+L54+N54</f>
        <v>153.37327999999999</v>
      </c>
      <c r="X54" s="413">
        <f>'1-συμβολαια'!M54</f>
        <v>147.78</v>
      </c>
      <c r="Y54" s="413">
        <f t="shared" si="6"/>
        <v>5.5932799999999929</v>
      </c>
      <c r="Z54" s="480">
        <v>45681</v>
      </c>
      <c r="AA54" s="578">
        <f t="shared" si="1"/>
        <v>138</v>
      </c>
      <c r="AB54" s="481"/>
    </row>
    <row r="55" spans="1:45" s="5" customFormat="1">
      <c r="A55" s="548">
        <f>'1-συμβολαια'!A55</f>
        <v>0</v>
      </c>
      <c r="B55" s="478">
        <f>'1-συμβολαια'!B55</f>
        <v>0</v>
      </c>
      <c r="C55" s="479" t="str">
        <f>'1-συμβολαια'!C55</f>
        <v>ΧΡΗΣΙΚΤΗΣΙΑ αγροτεμαχίου = 1970 συζύγου ΔΩΡΕΑ άτυπη</v>
      </c>
      <c r="D55" s="408">
        <f>'4-πολλυπρ'!D55</f>
        <v>0</v>
      </c>
      <c r="E55" s="408">
        <f>'4-πολλυπρ'!I55</f>
        <v>0</v>
      </c>
      <c r="F55" s="411">
        <f>'14-βιβλΕσ'!L55</f>
        <v>11.274912</v>
      </c>
      <c r="G55" s="413">
        <f>'11-χαρτόσ'!L55+'13-ντιΜιΧο'!CA55</f>
        <v>0</v>
      </c>
      <c r="H55" s="413">
        <f t="shared" si="2"/>
        <v>11.274912</v>
      </c>
      <c r="I55" s="413">
        <f>'8-κ-15-17'!AG55</f>
        <v>43.051250000000003</v>
      </c>
      <c r="J55" s="306"/>
      <c r="K55" s="306"/>
      <c r="L55" s="306"/>
      <c r="M55" s="413">
        <f>('14-βιβλΕσ'!O55+'14-βιβλΕσ'!P55+'14-βιβλΕσ'!T55)*40%</f>
        <v>32.713632000000004</v>
      </c>
      <c r="N55" s="413">
        <f>'14-βιβλΕσ'!T55</f>
        <v>0</v>
      </c>
      <c r="O55" s="413"/>
      <c r="P55" s="325"/>
      <c r="Q55" s="325"/>
      <c r="R55" s="413"/>
      <c r="S55" s="413">
        <f t="shared" si="3"/>
        <v>87.039794000000001</v>
      </c>
      <c r="T55" s="329">
        <v>891</v>
      </c>
      <c r="U55" s="413">
        <f t="shared" si="4"/>
        <v>37.795535999999998</v>
      </c>
      <c r="V55" s="329">
        <v>196</v>
      </c>
      <c r="W55" s="413">
        <f>'1-συμβολαια'!L55+H55+'8-κ-15-17'!AE55+L55+N55</f>
        <v>124.83533</v>
      </c>
      <c r="X55" s="413">
        <f>'1-συμβολαια'!M55</f>
        <v>0</v>
      </c>
      <c r="Y55" s="413">
        <f t="shared" si="6"/>
        <v>124.83533</v>
      </c>
      <c r="Z55" s="480">
        <v>45681</v>
      </c>
      <c r="AA55" s="578">
        <f t="shared" si="1"/>
        <v>1087</v>
      </c>
      <c r="AB55" s="481"/>
    </row>
    <row r="56" spans="1:45" s="5" customFormat="1">
      <c r="A56" s="491">
        <f>'1-συμβολαια'!A56</f>
        <v>4631</v>
      </c>
      <c r="B56" s="478">
        <f>'1-συμβολαια'!B56</f>
        <v>28</v>
      </c>
      <c r="C56" s="479" t="str">
        <f>'1-συμβολαια'!C56</f>
        <v>αγοραπωλησίας 4.191 ΕΞΟΦΛΗΣΗ</v>
      </c>
      <c r="D56" s="408">
        <f>'4-πολλυπρ'!D56</f>
        <v>0</v>
      </c>
      <c r="E56" s="408">
        <f>'4-πολλυπρ'!I56</f>
        <v>0</v>
      </c>
      <c r="F56" s="411">
        <f>'14-βιβλΕσ'!L56</f>
        <v>0.55800000000000005</v>
      </c>
      <c r="G56" s="413">
        <f>'11-χαρτόσ'!L56+'13-ντιΜιΧο'!CA56</f>
        <v>0</v>
      </c>
      <c r="H56" s="413">
        <f t="shared" si="2"/>
        <v>0.55800000000000005</v>
      </c>
      <c r="I56" s="413"/>
      <c r="J56" s="306"/>
      <c r="K56" s="306"/>
      <c r="L56" s="306"/>
      <c r="M56" s="413">
        <f>('14-βιβλΕσ'!O56+'14-βιβλΕσ'!P56+'14-βιβλΕσ'!T56)*40%</f>
        <v>-1.5560000000000003</v>
      </c>
      <c r="N56" s="413">
        <f>'14-βιβλΕσ'!T56</f>
        <v>11.61</v>
      </c>
      <c r="O56" s="413"/>
      <c r="P56" s="325"/>
      <c r="Q56" s="325"/>
      <c r="R56" s="413"/>
      <c r="S56" s="413">
        <f t="shared" si="3"/>
        <v>-0.99800000000000022</v>
      </c>
      <c r="T56" s="329"/>
      <c r="U56" s="413">
        <f t="shared" si="4"/>
        <v>-2.8920000000000003</v>
      </c>
      <c r="V56" s="329"/>
      <c r="W56" s="413">
        <f>'1-συμβολαια'!L56+H56+'8-κ-15-17'!AE56+L56+N56</f>
        <v>23.34</v>
      </c>
      <c r="X56" s="413">
        <f>'1-συμβολαια'!M56</f>
        <v>27.23</v>
      </c>
      <c r="Y56" s="413">
        <f t="shared" si="6"/>
        <v>-3.8900000000000006</v>
      </c>
      <c r="Z56" s="480"/>
      <c r="AA56" s="325">
        <f t="shared" si="1"/>
        <v>0</v>
      </c>
      <c r="AB56" s="481">
        <v>3934</v>
      </c>
    </row>
    <row r="57" spans="1:45" s="5" customFormat="1">
      <c r="A57" s="491"/>
      <c r="B57" s="478"/>
      <c r="C57" s="479"/>
      <c r="D57" s="408"/>
      <c r="E57" s="408"/>
      <c r="F57" s="411"/>
      <c r="G57" s="413"/>
      <c r="H57" s="413"/>
      <c r="I57" s="413"/>
      <c r="J57" s="306"/>
      <c r="K57" s="306"/>
      <c r="L57" s="306"/>
      <c r="M57" s="413"/>
      <c r="N57" s="413"/>
      <c r="O57" s="413"/>
      <c r="P57" s="325"/>
      <c r="Q57" s="325"/>
      <c r="R57" s="413"/>
      <c r="S57" s="413"/>
      <c r="T57" s="329"/>
      <c r="U57" s="413"/>
      <c r="V57" s="329"/>
      <c r="W57" s="413"/>
      <c r="X57" s="413"/>
      <c r="Y57" s="413"/>
      <c r="Z57" s="480"/>
      <c r="AA57" s="325"/>
      <c r="AB57" s="481"/>
    </row>
    <row r="58" spans="1:45" s="5" customFormat="1">
      <c r="A58" s="491"/>
      <c r="B58" s="478"/>
      <c r="C58" s="479"/>
      <c r="D58" s="408"/>
      <c r="E58" s="408"/>
      <c r="F58" s="411"/>
      <c r="G58" s="413"/>
      <c r="H58" s="413"/>
      <c r="I58" s="413"/>
      <c r="J58" s="306"/>
      <c r="K58" s="306"/>
      <c r="L58" s="306"/>
      <c r="M58" s="413"/>
      <c r="N58" s="413"/>
      <c r="O58" s="413"/>
      <c r="P58" s="325"/>
      <c r="Q58" s="325"/>
      <c r="R58" s="413"/>
      <c r="S58" s="413"/>
      <c r="T58" s="329"/>
      <c r="U58" s="413"/>
      <c r="V58" s="329"/>
      <c r="W58" s="413"/>
      <c r="X58" s="413"/>
      <c r="Y58" s="413"/>
      <c r="Z58" s="480"/>
      <c r="AA58" s="325"/>
      <c r="AB58" s="481"/>
    </row>
    <row r="59" spans="1:45">
      <c r="A59" s="870" t="s">
        <v>35</v>
      </c>
      <c r="B59" s="871"/>
      <c r="C59" s="871"/>
      <c r="D59" s="871"/>
      <c r="E59" s="872"/>
      <c r="F59" s="46">
        <f>SUM(F3:F58)</f>
        <v>532.40337999999974</v>
      </c>
      <c r="G59" s="46">
        <f>SUM(G3:G58)</f>
        <v>118.37999999999997</v>
      </c>
      <c r="H59" s="46">
        <f>SUM(H3:H58)</f>
        <v>650.78338000000008</v>
      </c>
      <c r="I59" s="46">
        <f>SUM(I3:I58)</f>
        <v>390.1465</v>
      </c>
      <c r="J59" s="378"/>
      <c r="K59" s="378"/>
      <c r="L59" s="378"/>
      <c r="M59" s="46">
        <f>SUM(M3:M58)</f>
        <v>3053.5422665999999</v>
      </c>
      <c r="N59" s="46">
        <f>SUM(N3:N58)</f>
        <v>5018.4881999999998</v>
      </c>
      <c r="O59" s="46">
        <f>SUM(O3:O58)</f>
        <v>317.99243000000007</v>
      </c>
      <c r="P59" s="46">
        <f>SUM(P3:P58)</f>
        <v>0</v>
      </c>
      <c r="Q59" s="46">
        <f>SUM(Q3:Q58)</f>
        <v>0</v>
      </c>
      <c r="R59" s="46"/>
      <c r="S59" s="46">
        <f t="shared" ref="S59:Y59" si="7">SUM(S3:S58)</f>
        <v>4280.6513626000005</v>
      </c>
      <c r="T59" s="579">
        <f t="shared" si="7"/>
        <v>43678</v>
      </c>
      <c r="U59" s="46">
        <f t="shared" si="7"/>
        <v>3043.910322400001</v>
      </c>
      <c r="V59" s="579">
        <f t="shared" si="7"/>
        <v>15791</v>
      </c>
      <c r="W59" s="46">
        <f t="shared" si="7"/>
        <v>11761.801504999999</v>
      </c>
      <c r="X59" s="46">
        <f t="shared" si="7"/>
        <v>4563.07</v>
      </c>
      <c r="Y59" s="46">
        <f t="shared" si="7"/>
        <v>7198.7315049999997</v>
      </c>
      <c r="Z59" s="46"/>
      <c r="AA59" s="579">
        <f>SUM(AA3:AA58)</f>
        <v>59469</v>
      </c>
    </row>
    <row r="60" spans="1:45">
      <c r="N60" s="91"/>
    </row>
    <row r="61" spans="1:45">
      <c r="N61" s="160"/>
      <c r="W61" s="160"/>
    </row>
    <row r="62" spans="1:45">
      <c r="W62" s="161" t="s">
        <v>152</v>
      </c>
      <c r="X62" s="160">
        <f>X59*100/W59</f>
        <v>38.795672568187932</v>
      </c>
    </row>
    <row r="63" spans="1:45" ht="15.75" customHeight="1">
      <c r="W63" s="2" t="s">
        <v>615</v>
      </c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</row>
    <row r="64" spans="1:45" ht="15.75" customHeight="1">
      <c r="W64" s="160">
        <v>10536.47</v>
      </c>
      <c r="X64" s="160">
        <v>4563.07</v>
      </c>
    </row>
    <row r="65" spans="23:45" ht="15.75" customHeight="1">
      <c r="W65" s="161" t="s">
        <v>152</v>
      </c>
      <c r="X65" s="160">
        <v>43.41</v>
      </c>
    </row>
    <row r="66" spans="23:45" ht="15.75" customHeight="1">
      <c r="W66" s="2" t="s">
        <v>616</v>
      </c>
    </row>
    <row r="67" spans="23:45" ht="15.75" customHeight="1">
      <c r="W67" s="160">
        <v>7723.07</v>
      </c>
      <c r="X67" s="160">
        <v>1749.67</v>
      </c>
    </row>
    <row r="68" spans="23:45">
      <c r="W68" s="161" t="s">
        <v>152</v>
      </c>
      <c r="X68" s="160">
        <v>22.66</v>
      </c>
    </row>
    <row r="76" spans="23:45" ht="15">
      <c r="AC76" s="150"/>
      <c r="AD76" s="150"/>
      <c r="AE76" s="150"/>
      <c r="AF76" s="150"/>
      <c r="AG76" s="150"/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</row>
    <row r="77" spans="23:45" ht="15.75">
      <c r="AC77" s="151"/>
      <c r="AD77" s="151"/>
      <c r="AE77" s="151"/>
      <c r="AF77" s="151"/>
      <c r="AG77" s="151"/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</row>
    <row r="78" spans="23:45" ht="15.75">
      <c r="AC78" s="151"/>
      <c r="AD78" s="151"/>
      <c r="AE78" s="151"/>
      <c r="AF78" s="151"/>
      <c r="AG78" s="151"/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</row>
    <row r="79" spans="23:45" ht="15.75">
      <c r="AC79" s="151"/>
      <c r="AD79" s="151"/>
      <c r="AE79" s="151"/>
      <c r="AF79" s="151"/>
      <c r="AG79" s="151"/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</row>
    <row r="80" spans="23:45" ht="15.75">
      <c r="AC80" s="153"/>
      <c r="AD80" s="153"/>
      <c r="AE80" s="153"/>
      <c r="AF80" s="153"/>
      <c r="AG80" s="153"/>
      <c r="AH80" s="153"/>
      <c r="AI80" s="153"/>
      <c r="AJ80" s="153"/>
      <c r="AK80" s="153"/>
      <c r="AL80" s="153"/>
      <c r="AM80" s="153"/>
      <c r="AN80" s="153"/>
      <c r="AO80" s="153"/>
      <c r="AP80" s="153"/>
      <c r="AQ80" s="153"/>
      <c r="AR80" s="153"/>
      <c r="AS80" s="151"/>
    </row>
    <row r="81" spans="29:45" ht="15.75">
      <c r="AC81" s="151"/>
      <c r="AD81" s="151"/>
      <c r="AE81" s="151"/>
      <c r="AF81" s="151"/>
      <c r="AG81" s="151"/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</row>
    <row r="82" spans="29:45" ht="15.75">
      <c r="AC82" s="151"/>
      <c r="AD82" s="151"/>
      <c r="AE82" s="151"/>
      <c r="AF82" s="151"/>
      <c r="AG82" s="151"/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</row>
    <row r="83" spans="29:45" ht="15.75">
      <c r="AC83" s="151"/>
      <c r="AD83" s="151"/>
      <c r="AE83" s="151"/>
      <c r="AF83" s="151"/>
      <c r="AG83" s="151"/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</row>
    <row r="84" spans="29:45" ht="15.75">
      <c r="AC84" s="151"/>
      <c r="AD84" s="151"/>
      <c r="AE84" s="151"/>
      <c r="AF84" s="151"/>
      <c r="AG84" s="151"/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</row>
    <row r="85" spans="29:45" ht="15.75">
      <c r="AC85" s="151"/>
      <c r="AD85" s="151"/>
      <c r="AE85" s="151"/>
      <c r="AF85" s="151"/>
      <c r="AG85" s="151"/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</row>
    <row r="86" spans="29:45" ht="15">
      <c r="AC86" s="150"/>
      <c r="AD86" s="150"/>
      <c r="AE86" s="150"/>
      <c r="AF86" s="150"/>
      <c r="AG86" s="150"/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</row>
    <row r="87" spans="29:45" ht="15">
      <c r="AC87" s="150"/>
      <c r="AD87" s="150"/>
      <c r="AE87" s="150"/>
      <c r="AF87" s="150"/>
      <c r="AG87" s="150"/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</row>
    <row r="88" spans="29:45" ht="15">
      <c r="AC88" s="150"/>
      <c r="AD88" s="150"/>
      <c r="AE88" s="150"/>
      <c r="AF88" s="150"/>
      <c r="AG88" s="150"/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</row>
    <row r="89" spans="29:45" ht="15">
      <c r="AC89" s="150"/>
      <c r="AD89" s="150"/>
      <c r="AE89" s="150"/>
      <c r="AF89" s="150"/>
      <c r="AG89" s="150"/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</row>
    <row r="90" spans="29:45" ht="15">
      <c r="AC90" s="150"/>
      <c r="AD90" s="150"/>
      <c r="AE90" s="150"/>
      <c r="AF90" s="150"/>
      <c r="AG90" s="150"/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</row>
    <row r="91" spans="29:45" ht="15">
      <c r="AC91" s="150"/>
      <c r="AD91" s="150"/>
      <c r="AE91" s="150"/>
      <c r="AF91" s="150"/>
      <c r="AG91" s="150"/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</row>
    <row r="92" spans="29:45" ht="15">
      <c r="AC92" s="150"/>
      <c r="AD92" s="150"/>
      <c r="AE92" s="150"/>
      <c r="AF92" s="150"/>
      <c r="AG92" s="150"/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</row>
    <row r="93" spans="29:45" ht="15">
      <c r="AC93" s="150"/>
      <c r="AD93" s="150"/>
      <c r="AE93" s="150"/>
      <c r="AF93" s="150"/>
      <c r="AG93" s="150"/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</row>
    <row r="94" spans="29:45" ht="15">
      <c r="AC94" s="150"/>
      <c r="AD94" s="150"/>
      <c r="AE94" s="150"/>
      <c r="AF94" s="150"/>
      <c r="AG94" s="150"/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</row>
    <row r="95" spans="29:45" ht="15">
      <c r="AC95" s="150"/>
      <c r="AD95" s="150"/>
      <c r="AE95" s="150"/>
      <c r="AF95" s="150"/>
      <c r="AG95" s="150"/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</row>
    <row r="96" spans="29:45" ht="15">
      <c r="AC96" s="150"/>
      <c r="AD96" s="150"/>
      <c r="AE96" s="150"/>
      <c r="AF96" s="150"/>
      <c r="AG96" s="150"/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</row>
    <row r="97" spans="29:45" ht="15">
      <c r="AC97" s="150"/>
      <c r="AD97" s="150"/>
      <c r="AE97" s="150"/>
      <c r="AF97" s="150"/>
      <c r="AG97" s="150"/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</row>
    <row r="98" spans="29:45" ht="15">
      <c r="AC98" s="150"/>
      <c r="AD98" s="150"/>
      <c r="AE98" s="150"/>
      <c r="AF98" s="150"/>
      <c r="AG98" s="150"/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</row>
    <row r="99" spans="29:45" ht="15">
      <c r="AC99" s="150"/>
      <c r="AD99" s="150"/>
      <c r="AE99" s="150"/>
      <c r="AF99" s="150"/>
      <c r="AG99" s="150"/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</row>
    <row r="100" spans="29:45" ht="15">
      <c r="AC100" s="150"/>
      <c r="AD100" s="150"/>
      <c r="AE100" s="150"/>
      <c r="AF100" s="150"/>
      <c r="AG100" s="150"/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</row>
    <row r="101" spans="29:45" ht="15">
      <c r="AC101" s="150"/>
      <c r="AD101" s="150"/>
      <c r="AE101" s="150"/>
      <c r="AF101" s="150"/>
      <c r="AG101" s="150"/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</row>
    <row r="102" spans="29:45" ht="15">
      <c r="AC102" s="150"/>
      <c r="AD102" s="150"/>
      <c r="AE102" s="150"/>
      <c r="AF102" s="150"/>
      <c r="AG102" s="150"/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</row>
    <row r="103" spans="29:45" ht="15">
      <c r="AC103" s="150"/>
      <c r="AD103" s="150"/>
      <c r="AE103" s="150"/>
      <c r="AF103" s="150"/>
      <c r="AG103" s="150"/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</row>
    <row r="104" spans="29:45" ht="15">
      <c r="AC104" s="150"/>
      <c r="AD104" s="150"/>
      <c r="AE104" s="150"/>
      <c r="AF104" s="150"/>
      <c r="AG104" s="150"/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</row>
    <row r="105" spans="29:45" ht="15">
      <c r="AC105" s="150"/>
      <c r="AD105" s="150"/>
      <c r="AE105" s="150"/>
      <c r="AF105" s="150"/>
      <c r="AG105" s="150"/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</row>
    <row r="106" spans="29:45" ht="15">
      <c r="AC106" s="150"/>
      <c r="AD106" s="150"/>
      <c r="AE106" s="150"/>
      <c r="AF106" s="150"/>
      <c r="AG106" s="150"/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</row>
    <row r="107" spans="29:45" ht="15.75" customHeight="1">
      <c r="AC107" s="150"/>
      <c r="AD107" s="150"/>
      <c r="AE107" s="150"/>
      <c r="AF107" s="150"/>
      <c r="AG107" s="150"/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</row>
    <row r="108" spans="29:45" ht="15">
      <c r="AC108" s="150"/>
      <c r="AD108" s="150"/>
      <c r="AE108" s="150"/>
      <c r="AF108" s="150"/>
      <c r="AG108" s="150"/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</row>
    <row r="109" spans="29:45" ht="15">
      <c r="AC109" s="150"/>
      <c r="AD109" s="150"/>
      <c r="AE109" s="150"/>
      <c r="AF109" s="150"/>
      <c r="AG109" s="150"/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</row>
    <row r="110" spans="29:45" ht="15.75">
      <c r="AC110" s="580"/>
      <c r="AD110" s="154"/>
      <c r="AE110" s="154"/>
      <c r="AF110" s="154"/>
      <c r="AG110" s="154"/>
      <c r="AH110" s="154"/>
      <c r="AI110" s="154"/>
      <c r="AJ110" s="154"/>
      <c r="AK110" s="154"/>
      <c r="AL110" s="154"/>
      <c r="AM110" s="154"/>
      <c r="AN110" s="154"/>
      <c r="AO110" s="154"/>
      <c r="AP110" s="154"/>
      <c r="AQ110" s="154"/>
      <c r="AR110" s="154"/>
      <c r="AS110" s="154"/>
    </row>
    <row r="111" spans="29:45" ht="15.75" customHeight="1">
      <c r="AC111" s="153"/>
      <c r="AD111" s="154"/>
      <c r="AE111" s="154"/>
      <c r="AF111" s="154"/>
      <c r="AG111" s="154"/>
      <c r="AH111" s="154"/>
      <c r="AI111" s="154"/>
      <c r="AJ111" s="154"/>
      <c r="AK111" s="154"/>
      <c r="AL111" s="154"/>
      <c r="AM111" s="154"/>
      <c r="AN111" s="154"/>
      <c r="AO111" s="154"/>
      <c r="AP111" s="154"/>
      <c r="AQ111" s="154"/>
      <c r="AR111" s="154"/>
      <c r="AS111" s="154"/>
    </row>
    <row r="112" spans="29:45" ht="15">
      <c r="AC112" s="150"/>
      <c r="AD112" s="150"/>
      <c r="AE112" s="150"/>
      <c r="AF112" s="150"/>
      <c r="AG112" s="150"/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</row>
    <row r="113" spans="29:45" ht="15">
      <c r="AC113" s="150"/>
      <c r="AD113" s="150"/>
      <c r="AE113" s="150"/>
      <c r="AF113" s="150"/>
      <c r="AG113" s="150"/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</row>
    <row r="114" spans="29:45" ht="15">
      <c r="AC114" s="150"/>
      <c r="AD114" s="150"/>
      <c r="AE114" s="150"/>
      <c r="AF114" s="150"/>
      <c r="AG114" s="150"/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</row>
    <row r="115" spans="29:45" ht="15">
      <c r="AC115" s="150"/>
      <c r="AD115" s="150"/>
      <c r="AE115" s="150"/>
      <c r="AF115" s="150"/>
      <c r="AG115" s="150"/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</row>
    <row r="116" spans="29:45" ht="15">
      <c r="AC116" s="150"/>
      <c r="AD116" s="150"/>
      <c r="AE116" s="150"/>
      <c r="AF116" s="150"/>
      <c r="AG116" s="150"/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</row>
    <row r="117" spans="29:45" ht="15.75">
      <c r="AC117" s="580"/>
      <c r="AD117" s="150"/>
      <c r="AE117" s="150"/>
      <c r="AF117" s="150"/>
      <c r="AG117" s="150"/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</row>
    <row r="118" spans="29:45" ht="15.75">
      <c r="AC118" s="581"/>
      <c r="AD118" s="150"/>
      <c r="AE118" s="150"/>
      <c r="AF118" s="150"/>
      <c r="AG118" s="150"/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</row>
    <row r="119" spans="29:45" ht="15.75">
      <c r="AC119" s="824"/>
      <c r="AD119" s="824"/>
      <c r="AE119" s="824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</row>
    <row r="120" spans="29:45" ht="15.75">
      <c r="AC120" s="868"/>
      <c r="AD120" s="868"/>
      <c r="AE120" s="868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</row>
    <row r="121" spans="29:45" ht="15.75">
      <c r="AC121" s="824"/>
      <c r="AD121" s="824"/>
      <c r="AE121" s="824"/>
      <c r="AF121" s="824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</row>
    <row r="122" spans="29:45" ht="15.75">
      <c r="AC122" s="868"/>
      <c r="AD122" s="868"/>
      <c r="AE122" s="868"/>
      <c r="AF122" s="868"/>
      <c r="AG122" s="868"/>
      <c r="AH122" s="868"/>
      <c r="AI122" s="868"/>
      <c r="AJ122" s="868"/>
      <c r="AK122" s="868"/>
      <c r="AL122" s="868"/>
      <c r="AM122" s="868"/>
      <c r="AN122" s="868"/>
      <c r="AO122" s="868"/>
      <c r="AP122" s="153"/>
      <c r="AQ122" s="153"/>
      <c r="AR122" s="153"/>
      <c r="AS122" s="150"/>
    </row>
    <row r="123" spans="29:45" ht="15.75">
      <c r="AC123" s="824"/>
      <c r="AD123" s="824"/>
      <c r="AE123" s="824"/>
      <c r="AF123" s="824"/>
      <c r="AG123" s="824"/>
      <c r="AH123" s="824"/>
      <c r="AI123" s="824"/>
      <c r="AJ123" s="824"/>
      <c r="AK123" s="824"/>
      <c r="AL123" s="824"/>
      <c r="AM123" s="824"/>
      <c r="AN123" s="824"/>
      <c r="AO123" s="824"/>
      <c r="AP123" s="824"/>
      <c r="AQ123" s="150"/>
      <c r="AR123" s="150"/>
      <c r="AS123" s="150"/>
    </row>
    <row r="124" spans="29:45" ht="15.75">
      <c r="AC124" s="868"/>
      <c r="AD124" s="868"/>
      <c r="AE124" s="868"/>
      <c r="AF124" s="868"/>
      <c r="AG124" s="868"/>
      <c r="AH124" s="868"/>
      <c r="AI124" s="868"/>
      <c r="AJ124" s="868"/>
      <c r="AK124" s="868"/>
      <c r="AL124" s="868"/>
      <c r="AM124" s="868"/>
      <c r="AN124" s="868"/>
      <c r="AO124" s="868"/>
      <c r="AP124" s="868"/>
      <c r="AQ124" s="868"/>
      <c r="AR124" s="150"/>
      <c r="AS124" s="150"/>
    </row>
    <row r="125" spans="29:45" ht="15"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</row>
    <row r="126" spans="29:45" ht="15"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</row>
    <row r="127" spans="29:45" ht="15">
      <c r="AC127" s="150"/>
      <c r="AD127" s="150"/>
      <c r="AE127" s="150"/>
      <c r="AF127" s="150"/>
      <c r="AG127" s="150"/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</row>
    <row r="128" spans="29:45" ht="15">
      <c r="AC128" s="150"/>
      <c r="AD128" s="150"/>
      <c r="AE128" s="150"/>
      <c r="AF128" s="150"/>
      <c r="AG128" s="150"/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</row>
    <row r="129" spans="29:45" ht="15">
      <c r="AC129" s="150"/>
      <c r="AD129" s="150"/>
      <c r="AE129" s="150"/>
      <c r="AF129" s="150"/>
      <c r="AG129" s="150"/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</row>
    <row r="130" spans="29:45" ht="15">
      <c r="AC130" s="150"/>
      <c r="AD130" s="150"/>
      <c r="AE130" s="150"/>
      <c r="AF130" s="150"/>
      <c r="AG130" s="150"/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</row>
    <row r="131" spans="29:45" ht="15">
      <c r="AC131" s="150"/>
      <c r="AD131" s="150"/>
      <c r="AE131" s="150"/>
      <c r="AF131" s="150"/>
      <c r="AG131" s="150"/>
      <c r="AH131" s="150"/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</row>
    <row r="132" spans="29:45" ht="15">
      <c r="AC132" s="150"/>
      <c r="AD132" s="150"/>
      <c r="AE132" s="150"/>
      <c r="AF132" s="150"/>
      <c r="AG132" s="150"/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</row>
    <row r="133" spans="29:45" ht="15">
      <c r="AC133" s="150"/>
      <c r="AD133" s="150"/>
      <c r="AE133" s="150"/>
      <c r="AF133" s="150"/>
      <c r="AG133" s="150"/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</row>
    <row r="134" spans="29:45" ht="15">
      <c r="AC134" s="150"/>
      <c r="AD134" s="150"/>
      <c r="AE134" s="150"/>
      <c r="AF134" s="150"/>
      <c r="AG134" s="150"/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</row>
    <row r="135" spans="29:45" ht="15">
      <c r="AC135" s="150"/>
      <c r="AD135" s="150"/>
      <c r="AE135" s="150"/>
      <c r="AF135" s="150"/>
      <c r="AG135" s="150"/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</row>
    <row r="136" spans="29:45" ht="15">
      <c r="AC136" s="150"/>
      <c r="AD136" s="150"/>
      <c r="AE136" s="150"/>
      <c r="AF136" s="150"/>
      <c r="AG136" s="150"/>
      <c r="AH136" s="150"/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</row>
    <row r="137" spans="29:45" ht="15">
      <c r="AC137" s="150"/>
      <c r="AD137" s="150"/>
      <c r="AE137" s="150"/>
      <c r="AF137" s="150"/>
      <c r="AG137" s="150"/>
      <c r="AH137" s="150"/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</row>
    <row r="138" spans="29:45" ht="15">
      <c r="AC138" s="150"/>
      <c r="AD138" s="150"/>
      <c r="AE138" s="150"/>
      <c r="AF138" s="150"/>
      <c r="AG138" s="150"/>
      <c r="AH138" s="150"/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</row>
    <row r="139" spans="29:45" ht="15">
      <c r="AC139" s="150"/>
      <c r="AD139" s="150"/>
      <c r="AE139" s="150"/>
      <c r="AF139" s="150"/>
      <c r="AG139" s="150"/>
      <c r="AH139" s="150"/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</row>
  </sheetData>
  <mergeCells count="25">
    <mergeCell ref="J1:L1"/>
    <mergeCell ref="A59:E59"/>
    <mergeCell ref="E1:E2"/>
    <mergeCell ref="C1:C2"/>
    <mergeCell ref="A1:A2"/>
    <mergeCell ref="B1:B2"/>
    <mergeCell ref="D1:D2"/>
    <mergeCell ref="F1:H1"/>
    <mergeCell ref="I1:I2"/>
    <mergeCell ref="AC121:AF121"/>
    <mergeCell ref="AC122:AO122"/>
    <mergeCell ref="AC123:AP123"/>
    <mergeCell ref="AC124:AQ124"/>
    <mergeCell ref="AC119:AE119"/>
    <mergeCell ref="AC120:AE120"/>
    <mergeCell ref="M1:M2"/>
    <mergeCell ref="R1:R2"/>
    <mergeCell ref="N1:N2"/>
    <mergeCell ref="AB1:AB2"/>
    <mergeCell ref="O1:Q1"/>
    <mergeCell ref="W1:Y1"/>
    <mergeCell ref="S1:T1"/>
    <mergeCell ref="U1:V1"/>
    <mergeCell ref="Z1:Z2"/>
    <mergeCell ref="AA1:AA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87"/>
  <sheetViews>
    <sheetView workbookViewId="0">
      <pane ySplit="2" topLeftCell="A48" activePane="bottomLeft" state="frozen"/>
      <selection pane="bottomLeft" activeCell="E81" sqref="E81"/>
    </sheetView>
  </sheetViews>
  <sheetFormatPr defaultRowHeight="11.25"/>
  <cols>
    <col min="1" max="1" width="7" style="8" customWidth="1"/>
    <col min="2" max="2" width="69.140625" style="111" customWidth="1"/>
    <col min="3" max="3" width="12.42578125" style="2" customWidth="1"/>
    <col min="4" max="4" width="8" style="8" customWidth="1"/>
    <col min="5" max="5" width="8.140625" style="2" bestFit="1" customWidth="1"/>
    <col min="6" max="6" width="10" style="2" bestFit="1" customWidth="1"/>
    <col min="7" max="7" width="9.5703125" style="2" bestFit="1" customWidth="1"/>
    <col min="8" max="8" width="9.42578125" style="8" bestFit="1" customWidth="1"/>
    <col min="9" max="9" width="10" style="8" bestFit="1" customWidth="1"/>
    <col min="10" max="10" width="7.28515625" style="8" bestFit="1" customWidth="1"/>
    <col min="11" max="11" width="8.28515625" style="8" customWidth="1"/>
    <col min="12" max="12" width="7.5703125" style="2" bestFit="1" customWidth="1"/>
    <col min="13" max="13" width="10.5703125" style="2" customWidth="1"/>
    <col min="14" max="15" width="8.140625" style="2" customWidth="1"/>
    <col min="16" max="16" width="7" style="98" customWidth="1"/>
    <col min="17" max="17" width="6.28515625" style="98" customWidth="1"/>
    <col min="18" max="18" width="6.85546875" style="98" customWidth="1"/>
    <col min="19" max="22" width="8" style="98" customWidth="1"/>
    <col min="23" max="23" width="13" style="98" customWidth="1"/>
    <col min="24" max="24" width="8" style="98" customWidth="1"/>
    <col min="25" max="25" width="18.7109375" style="98" customWidth="1"/>
    <col min="26" max="26" width="8" style="98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622" t="s">
        <v>1</v>
      </c>
      <c r="B1" s="624" t="s">
        <v>0</v>
      </c>
      <c r="C1" s="626" t="s">
        <v>7</v>
      </c>
      <c r="D1" s="620" t="s">
        <v>555</v>
      </c>
      <c r="E1" s="621"/>
      <c r="F1" s="621"/>
      <c r="G1" s="621"/>
      <c r="H1" s="621"/>
      <c r="I1" s="621"/>
      <c r="J1" s="621"/>
      <c r="K1" s="621"/>
      <c r="L1" s="621"/>
      <c r="M1" s="628" t="s">
        <v>102</v>
      </c>
      <c r="N1" s="629"/>
      <c r="O1" s="630" t="s">
        <v>279</v>
      </c>
      <c r="P1" s="614" t="s">
        <v>91</v>
      </c>
      <c r="Q1" s="615"/>
      <c r="R1" s="615"/>
      <c r="S1" s="615"/>
      <c r="T1" s="615"/>
      <c r="U1" s="615"/>
      <c r="V1" s="615"/>
      <c r="W1" s="615"/>
      <c r="X1" s="615"/>
      <c r="Y1" s="615"/>
      <c r="Z1" s="616"/>
    </row>
    <row r="2" spans="1:26" s="12" customFormat="1" ht="24" customHeight="1" thickBot="1">
      <c r="A2" s="623"/>
      <c r="B2" s="625"/>
      <c r="C2" s="627"/>
      <c r="D2" s="68" t="s">
        <v>81</v>
      </c>
      <c r="E2" s="68" t="s">
        <v>82</v>
      </c>
      <c r="F2" s="68" t="s">
        <v>391</v>
      </c>
      <c r="G2" s="68" t="s">
        <v>392</v>
      </c>
      <c r="H2" s="68" t="s">
        <v>23</v>
      </c>
      <c r="I2" s="244" t="s">
        <v>381</v>
      </c>
      <c r="J2" s="244" t="s">
        <v>382</v>
      </c>
      <c r="K2" s="244" t="s">
        <v>404</v>
      </c>
      <c r="L2" s="245" t="s">
        <v>384</v>
      </c>
      <c r="M2" s="247" t="s">
        <v>405</v>
      </c>
      <c r="N2" s="246" t="s">
        <v>406</v>
      </c>
      <c r="O2" s="631"/>
      <c r="P2" s="617"/>
      <c r="Q2" s="618"/>
      <c r="R2" s="618"/>
      <c r="S2" s="618"/>
      <c r="T2" s="618"/>
      <c r="U2" s="618"/>
      <c r="V2" s="618"/>
      <c r="W2" s="618"/>
      <c r="X2" s="618"/>
      <c r="Y2" s="618"/>
      <c r="Z2" s="619"/>
    </row>
    <row r="3" spans="1:26" s="5" customFormat="1">
      <c r="A3" s="404">
        <f>'1-συμβολαια'!A3</f>
        <v>4600</v>
      </c>
      <c r="B3" s="407" t="str">
        <f>'1-συμβολαια'!C3</f>
        <v>δωρεά</v>
      </c>
      <c r="C3" s="411">
        <f>'1-συμβολαια'!D3</f>
        <v>5727.22</v>
      </c>
      <c r="D3" s="409"/>
      <c r="E3" s="409">
        <v>2.93</v>
      </c>
      <c r="F3" s="409">
        <v>10.56</v>
      </c>
      <c r="G3" s="409">
        <f t="shared" ref="G3:G55" si="0">(C3-352.16)*1.2%</f>
        <v>64.500720000000001</v>
      </c>
      <c r="H3" s="409">
        <f>D3+E3+F3+G3</f>
        <v>77.990719999999996</v>
      </c>
      <c r="I3" s="410">
        <f>(F3+G3)*9%</f>
        <v>6.7554648000000004</v>
      </c>
      <c r="J3" s="410">
        <v>0.15</v>
      </c>
      <c r="K3" s="410">
        <f>H3*5%</f>
        <v>3.8995359999999999</v>
      </c>
      <c r="L3" s="411">
        <f>H3*1%</f>
        <v>0.77990720000000002</v>
      </c>
      <c r="M3" s="411">
        <f>H3-O3</f>
        <v>66.405811999999997</v>
      </c>
      <c r="N3" s="411">
        <f>D3+E3</f>
        <v>2.93</v>
      </c>
      <c r="O3" s="411">
        <f>I3+J3+K3+L3</f>
        <v>11.584908</v>
      </c>
      <c r="P3" s="412"/>
      <c r="Q3" s="412" t="s">
        <v>425</v>
      </c>
      <c r="R3" s="412" t="s">
        <v>426</v>
      </c>
      <c r="S3" s="412"/>
      <c r="T3" s="416" t="s">
        <v>427</v>
      </c>
      <c r="U3" s="416" t="s">
        <v>428</v>
      </c>
      <c r="V3" s="416" t="s">
        <v>429</v>
      </c>
      <c r="W3" s="327"/>
      <c r="X3" s="327"/>
      <c r="Y3" s="327"/>
      <c r="Z3" s="327"/>
    </row>
    <row r="4" spans="1:26" s="5" customFormat="1">
      <c r="A4" s="404">
        <f>'1-συμβολαια'!A4</f>
        <v>0</v>
      </c>
      <c r="B4" s="407" t="str">
        <f>'1-συμβολαια'!C4</f>
        <v>ΧΡΗΣΙΚΤΗΣΙΑ οικοπέδου &amp; οικίας = 1930 πατρός ΔΩΡΕΑ άτυπη</v>
      </c>
      <c r="C4" s="375">
        <f>'1-συμβολαια'!D4</f>
        <v>3333</v>
      </c>
      <c r="D4" s="409"/>
      <c r="E4" s="409">
        <v>2.93</v>
      </c>
      <c r="F4" s="409">
        <v>10.56</v>
      </c>
      <c r="G4" s="409">
        <f t="shared" si="0"/>
        <v>35.77008</v>
      </c>
      <c r="H4" s="409">
        <f t="shared" ref="H4:H56" si="1">D4+E4+F4+G4</f>
        <v>49.260080000000002</v>
      </c>
      <c r="I4" s="410">
        <f t="shared" ref="I4:I56" si="2">(F4+G4)*9%</f>
        <v>4.1697072000000004</v>
      </c>
      <c r="J4" s="410">
        <v>0.15</v>
      </c>
      <c r="K4" s="410">
        <f t="shared" ref="K4:K55" si="3">H4*5%</f>
        <v>2.4630040000000002</v>
      </c>
      <c r="L4" s="411">
        <f t="shared" ref="L4:L56" si="4">H4*1%</f>
        <v>0.49260080000000001</v>
      </c>
      <c r="M4" s="411">
        <f t="shared" ref="M4:M56" si="5">H4-O4</f>
        <v>41.984768000000003</v>
      </c>
      <c r="N4" s="411">
        <f t="shared" ref="N4:N56" si="6">D4+E4</f>
        <v>2.93</v>
      </c>
      <c r="O4" s="411">
        <f t="shared" ref="O4:O56" si="7">I4+J4+K4+L4</f>
        <v>7.2753120000000013</v>
      </c>
      <c r="P4" s="412"/>
      <c r="Q4" s="412"/>
      <c r="R4" s="412"/>
      <c r="S4" s="412"/>
      <c r="T4" s="412"/>
      <c r="U4" s="412"/>
      <c r="V4" s="412"/>
      <c r="W4" s="327"/>
      <c r="X4" s="327"/>
      <c r="Y4" s="327"/>
      <c r="Z4" s="327"/>
    </row>
    <row r="5" spans="1:26" s="5" customFormat="1">
      <c r="A5" s="397">
        <f>'1-συμβολαια'!A5</f>
        <v>4601</v>
      </c>
      <c r="B5" s="407" t="str">
        <f>'1-συμβολαια'!C5</f>
        <v>αγοραπωλησίας 13.835κ ΕΞΟΦΛΗΣΗ</v>
      </c>
      <c r="C5" s="411">
        <f>'1-συμβολαια'!D5</f>
        <v>0</v>
      </c>
      <c r="D5" s="409">
        <v>8.8000000000000007</v>
      </c>
      <c r="E5" s="409"/>
      <c r="F5" s="409"/>
      <c r="G5" s="409"/>
      <c r="H5" s="409">
        <f t="shared" si="1"/>
        <v>8.8000000000000007</v>
      </c>
      <c r="I5" s="410">
        <f t="shared" si="2"/>
        <v>0</v>
      </c>
      <c r="J5" s="410">
        <f t="shared" ref="J5:J56" si="8">H5*5%</f>
        <v>0.44000000000000006</v>
      </c>
      <c r="K5" s="410">
        <v>0.03</v>
      </c>
      <c r="L5" s="411">
        <f t="shared" si="4"/>
        <v>8.8000000000000009E-2</v>
      </c>
      <c r="M5" s="411">
        <f t="shared" si="5"/>
        <v>8.2420000000000009</v>
      </c>
      <c r="N5" s="411">
        <f t="shared" si="6"/>
        <v>8.8000000000000007</v>
      </c>
      <c r="O5" s="411">
        <f t="shared" si="7"/>
        <v>0.55800000000000005</v>
      </c>
      <c r="P5" s="412"/>
      <c r="Q5" s="412"/>
      <c r="R5" s="412"/>
      <c r="S5" s="412"/>
      <c r="T5" s="412"/>
      <c r="U5" s="412"/>
      <c r="V5" s="412"/>
      <c r="W5" s="327"/>
      <c r="X5" s="327"/>
      <c r="Y5" s="327"/>
      <c r="Z5" s="327"/>
    </row>
    <row r="6" spans="1:26" s="5" customFormat="1">
      <c r="A6" s="404">
        <f>'1-συμβολαια'!A6</f>
        <v>4602</v>
      </c>
      <c r="B6" s="407" t="str">
        <f>'1-συμβολαια'!C6</f>
        <v>κληρονομιάς ΑΠΟΔΟΧΗ</v>
      </c>
      <c r="C6" s="411">
        <f>'1-συμβολαια'!D6</f>
        <v>0</v>
      </c>
      <c r="D6" s="409">
        <v>29.35</v>
      </c>
      <c r="E6" s="409"/>
      <c r="F6" s="409"/>
      <c r="G6" s="409"/>
      <c r="H6" s="409">
        <f t="shared" si="1"/>
        <v>29.35</v>
      </c>
      <c r="I6" s="410">
        <f t="shared" si="2"/>
        <v>0</v>
      </c>
      <c r="J6" s="410">
        <f t="shared" si="8"/>
        <v>1.4675000000000002</v>
      </c>
      <c r="K6" s="410">
        <f t="shared" si="3"/>
        <v>1.4675000000000002</v>
      </c>
      <c r="L6" s="411">
        <f t="shared" si="4"/>
        <v>0.29350000000000004</v>
      </c>
      <c r="M6" s="411">
        <f t="shared" si="5"/>
        <v>26.121500000000001</v>
      </c>
      <c r="N6" s="411">
        <f t="shared" si="6"/>
        <v>29.35</v>
      </c>
      <c r="O6" s="411">
        <f t="shared" si="7"/>
        <v>3.2285000000000004</v>
      </c>
      <c r="P6" s="412"/>
      <c r="Q6" s="412"/>
      <c r="R6" s="412"/>
      <c r="S6" s="412"/>
      <c r="T6" s="412"/>
      <c r="U6" s="412"/>
      <c r="V6" s="412"/>
      <c r="W6" s="327"/>
      <c r="X6" s="327"/>
      <c r="Y6" s="327"/>
      <c r="Z6" s="327"/>
    </row>
    <row r="7" spans="1:26" s="5" customFormat="1">
      <c r="A7" s="404">
        <f>'1-συμβολαια'!A7</f>
        <v>0</v>
      </c>
      <c r="B7" s="407" t="str">
        <f>'1-συμβολαια'!C7</f>
        <v>ΧΡΗΣΙΚΤΗΣΙΑ αγροτεμαχίου = 19?? ΑΝΑΔΑΣΜΟΣ</v>
      </c>
      <c r="C7" s="375">
        <f>'1-συμβολαια'!D7</f>
        <v>1111</v>
      </c>
      <c r="D7" s="409"/>
      <c r="E7" s="409">
        <v>2.93</v>
      </c>
      <c r="F7" s="409">
        <v>10.56</v>
      </c>
      <c r="G7" s="409">
        <f t="shared" si="0"/>
        <v>9.1060799999999986</v>
      </c>
      <c r="H7" s="409">
        <f t="shared" si="1"/>
        <v>22.596080000000001</v>
      </c>
      <c r="I7" s="410">
        <f t="shared" si="2"/>
        <v>1.7699472000000001</v>
      </c>
      <c r="J7" s="410">
        <v>0.15</v>
      </c>
      <c r="K7" s="410">
        <f t="shared" si="3"/>
        <v>1.129804</v>
      </c>
      <c r="L7" s="411">
        <f t="shared" si="4"/>
        <v>0.22596080000000002</v>
      </c>
      <c r="M7" s="411">
        <f t="shared" si="5"/>
        <v>19.320368000000002</v>
      </c>
      <c r="N7" s="411">
        <f t="shared" si="6"/>
        <v>2.93</v>
      </c>
      <c r="O7" s="411">
        <f t="shared" si="7"/>
        <v>3.2757120000000004</v>
      </c>
      <c r="P7" s="412"/>
      <c r="Q7" s="412"/>
      <c r="R7" s="412"/>
      <c r="S7" s="412"/>
      <c r="T7" s="412"/>
      <c r="U7" s="412"/>
      <c r="V7" s="412"/>
      <c r="W7" s="327"/>
      <c r="X7" s="327"/>
      <c r="Y7" s="327"/>
      <c r="Z7" s="327"/>
    </row>
    <row r="8" spans="1:26" s="5" customFormat="1">
      <c r="A8" s="397">
        <f>'1-συμβολαια'!A8</f>
        <v>4603</v>
      </c>
      <c r="B8" s="407" t="str">
        <f>'1-συμβολαια'!C8</f>
        <v>γονικής 11.618καπολα ΔΙΟΡΘΩΣΗ</v>
      </c>
      <c r="C8" s="411">
        <f>'1-συμβολαια'!D8</f>
        <v>0</v>
      </c>
      <c r="D8" s="409">
        <v>8.8000000000000007</v>
      </c>
      <c r="E8" s="409"/>
      <c r="F8" s="409"/>
      <c r="G8" s="409"/>
      <c r="H8" s="409">
        <f t="shared" si="1"/>
        <v>8.8000000000000007</v>
      </c>
      <c r="I8" s="410">
        <f t="shared" si="2"/>
        <v>0</v>
      </c>
      <c r="J8" s="410">
        <f t="shared" si="8"/>
        <v>0.44000000000000006</v>
      </c>
      <c r="K8" s="410">
        <v>0.03</v>
      </c>
      <c r="L8" s="411">
        <f t="shared" si="4"/>
        <v>8.8000000000000009E-2</v>
      </c>
      <c r="M8" s="411">
        <f t="shared" si="5"/>
        <v>8.2420000000000009</v>
      </c>
      <c r="N8" s="411">
        <f t="shared" si="6"/>
        <v>8.8000000000000007</v>
      </c>
      <c r="O8" s="411">
        <f t="shared" si="7"/>
        <v>0.55800000000000005</v>
      </c>
      <c r="P8" s="412"/>
      <c r="Q8" s="412"/>
      <c r="R8" s="412"/>
      <c r="S8" s="412"/>
      <c r="T8" s="412"/>
      <c r="U8" s="412"/>
      <c r="V8" s="412"/>
      <c r="W8" s="327"/>
      <c r="X8" s="327"/>
      <c r="Y8" s="327"/>
      <c r="Z8" s="327"/>
    </row>
    <row r="9" spans="1:26" s="5" customFormat="1">
      <c r="A9" s="397">
        <f>'1-συμβολαια'!A9</f>
        <v>4604</v>
      </c>
      <c r="B9" s="407" t="str">
        <f>'1-συμβολαια'!C9</f>
        <v>γονικής 11.619καπολα ΔΙΟΡΘΩΣΗ</v>
      </c>
      <c r="C9" s="411">
        <f>'1-συμβολαια'!D9</f>
        <v>0</v>
      </c>
      <c r="D9" s="409">
        <v>8.8000000000000007</v>
      </c>
      <c r="E9" s="409"/>
      <c r="F9" s="409"/>
      <c r="G9" s="409"/>
      <c r="H9" s="409">
        <f t="shared" si="1"/>
        <v>8.8000000000000007</v>
      </c>
      <c r="I9" s="410">
        <f t="shared" si="2"/>
        <v>0</v>
      </c>
      <c r="J9" s="410">
        <f t="shared" si="8"/>
        <v>0.44000000000000006</v>
      </c>
      <c r="K9" s="410">
        <v>0.03</v>
      </c>
      <c r="L9" s="411">
        <f t="shared" si="4"/>
        <v>8.8000000000000009E-2</v>
      </c>
      <c r="M9" s="411">
        <f t="shared" si="5"/>
        <v>8.2420000000000009</v>
      </c>
      <c r="N9" s="411">
        <f t="shared" si="6"/>
        <v>8.8000000000000007</v>
      </c>
      <c r="O9" s="411">
        <f t="shared" si="7"/>
        <v>0.55800000000000005</v>
      </c>
      <c r="P9" s="412"/>
      <c r="Q9" s="412"/>
      <c r="R9" s="412"/>
      <c r="S9" s="412"/>
      <c r="T9" s="412"/>
      <c r="U9" s="412"/>
      <c r="V9" s="412"/>
      <c r="W9" s="327"/>
      <c r="X9" s="327"/>
      <c r="Y9" s="327"/>
      <c r="Z9" s="327"/>
    </row>
    <row r="10" spans="1:26" s="5" customFormat="1">
      <c r="A10" s="397">
        <f>'1-συμβολαια'!A10</f>
        <v>4605</v>
      </c>
      <c r="B10" s="407" t="str">
        <f>'1-συμβολαια'!C10</f>
        <v>* γονικής 11.618καπολα επικαρπίας ΕΝΣΩΜΑΤΩΣΗ {= παραίτηση αδερφής δικαιώματος οίκησης</v>
      </c>
      <c r="C10" s="411">
        <f>'1-συμβολαια'!D10</f>
        <v>2222</v>
      </c>
      <c r="D10" s="409"/>
      <c r="E10" s="409">
        <v>2.93</v>
      </c>
      <c r="F10" s="409">
        <v>10.56</v>
      </c>
      <c r="G10" s="409">
        <f t="shared" si="0"/>
        <v>22.438079999999999</v>
      </c>
      <c r="H10" s="409">
        <f t="shared" si="1"/>
        <v>35.928080000000001</v>
      </c>
      <c r="I10" s="410">
        <f t="shared" si="2"/>
        <v>2.9698272000000001</v>
      </c>
      <c r="J10" s="410">
        <v>0.15</v>
      </c>
      <c r="K10" s="410">
        <f t="shared" si="3"/>
        <v>1.7964040000000001</v>
      </c>
      <c r="L10" s="411">
        <f t="shared" si="4"/>
        <v>0.35928080000000001</v>
      </c>
      <c r="M10" s="411">
        <f t="shared" si="5"/>
        <v>30.652568000000002</v>
      </c>
      <c r="N10" s="411">
        <f t="shared" si="6"/>
        <v>2.93</v>
      </c>
      <c r="O10" s="411">
        <f t="shared" si="7"/>
        <v>5.275512</v>
      </c>
      <c r="P10" s="412"/>
      <c r="Q10" s="412" t="s">
        <v>425</v>
      </c>
      <c r="R10" s="412" t="s">
        <v>426</v>
      </c>
      <c r="S10" s="412"/>
      <c r="T10" s="412"/>
      <c r="U10" s="412"/>
      <c r="V10" s="412" t="s">
        <v>429</v>
      </c>
      <c r="W10" s="327"/>
      <c r="X10" s="327"/>
      <c r="Y10" s="327"/>
      <c r="Z10" s="327"/>
    </row>
    <row r="11" spans="1:26" s="5" customFormat="1">
      <c r="A11" s="397">
        <f>'1-συμβολαια'!A11</f>
        <v>4606</v>
      </c>
      <c r="B11" s="407" t="str">
        <f>'1-συμβολαια'!C11</f>
        <v>πληρεξούσιο</v>
      </c>
      <c r="C11" s="411">
        <f>'1-συμβολαια'!D11</f>
        <v>0</v>
      </c>
      <c r="D11" s="409">
        <v>8.8000000000000007</v>
      </c>
      <c r="E11" s="409"/>
      <c r="F11" s="409"/>
      <c r="G11" s="409"/>
      <c r="H11" s="409">
        <f t="shared" si="1"/>
        <v>8.8000000000000007</v>
      </c>
      <c r="I11" s="410">
        <f t="shared" si="2"/>
        <v>0</v>
      </c>
      <c r="J11" s="410">
        <f t="shared" si="8"/>
        <v>0.44000000000000006</v>
      </c>
      <c r="K11" s="410">
        <v>0.03</v>
      </c>
      <c r="L11" s="411">
        <f t="shared" si="4"/>
        <v>8.8000000000000009E-2</v>
      </c>
      <c r="M11" s="411">
        <f t="shared" si="5"/>
        <v>8.2420000000000009</v>
      </c>
      <c r="N11" s="411">
        <f t="shared" si="6"/>
        <v>8.8000000000000007</v>
      </c>
      <c r="O11" s="411">
        <f t="shared" si="7"/>
        <v>0.55800000000000005</v>
      </c>
      <c r="P11" s="412"/>
      <c r="Q11" s="412"/>
      <c r="R11" s="412"/>
      <c r="S11" s="412"/>
      <c r="T11" s="412"/>
      <c r="U11" s="412"/>
      <c r="V11" s="412"/>
      <c r="W11" s="327"/>
      <c r="X11" s="327"/>
      <c r="Y11" s="327"/>
      <c r="Z11" s="327"/>
    </row>
    <row r="12" spans="1:26" s="5" customFormat="1" ht="11.25" customHeight="1">
      <c r="A12" s="397">
        <f>'1-συμβολαια'!A12</f>
        <v>4607</v>
      </c>
      <c r="B12" s="407" t="str">
        <f>'1-συμβολαια'!C12</f>
        <v>αγοραπωλησίας 3.919 ΔΙΟΡΘΩΣΗ</v>
      </c>
      <c r="C12" s="411">
        <f>'1-συμβολαια'!D12</f>
        <v>0</v>
      </c>
      <c r="D12" s="409">
        <v>8.8000000000000007</v>
      </c>
      <c r="E12" s="409"/>
      <c r="F12" s="409"/>
      <c r="G12" s="409"/>
      <c r="H12" s="409">
        <f t="shared" si="1"/>
        <v>8.8000000000000007</v>
      </c>
      <c r="I12" s="410">
        <f t="shared" si="2"/>
        <v>0</v>
      </c>
      <c r="J12" s="410">
        <f t="shared" si="8"/>
        <v>0.44000000000000006</v>
      </c>
      <c r="K12" s="410">
        <v>0.03</v>
      </c>
      <c r="L12" s="411">
        <f t="shared" si="4"/>
        <v>8.8000000000000009E-2</v>
      </c>
      <c r="M12" s="411">
        <f t="shared" si="5"/>
        <v>8.2420000000000009</v>
      </c>
      <c r="N12" s="411">
        <f t="shared" si="6"/>
        <v>8.8000000000000007</v>
      </c>
      <c r="O12" s="411">
        <f t="shared" si="7"/>
        <v>0.55800000000000005</v>
      </c>
      <c r="P12" s="412"/>
      <c r="Q12" s="412"/>
      <c r="R12" s="412"/>
      <c r="S12" s="412"/>
      <c r="T12" s="412"/>
      <c r="U12" s="412"/>
      <c r="V12" s="412"/>
      <c r="W12" s="327"/>
      <c r="X12" s="327"/>
      <c r="Y12" s="327"/>
      <c r="Z12" s="327"/>
    </row>
    <row r="13" spans="1:26" s="5" customFormat="1">
      <c r="A13" s="397">
        <f>'1-συμβολαια'!A13</f>
        <v>4608</v>
      </c>
      <c r="B13" s="407" t="str">
        <f>'1-συμβολαια'!C13</f>
        <v>αγοραπωλησία τίμημα = Δ.Ο.Υ. =</v>
      </c>
      <c r="C13" s="411">
        <f>'1-συμβολαια'!D13</f>
        <v>1572.77</v>
      </c>
      <c r="D13" s="409"/>
      <c r="E13" s="409">
        <v>2.93</v>
      </c>
      <c r="F13" s="409">
        <v>10.56</v>
      </c>
      <c r="G13" s="409">
        <f t="shared" si="0"/>
        <v>14.647319999999999</v>
      </c>
      <c r="H13" s="409">
        <f t="shared" si="1"/>
        <v>28.137319999999999</v>
      </c>
      <c r="I13" s="410">
        <f t="shared" si="2"/>
        <v>2.2686587999999999</v>
      </c>
      <c r="J13" s="410">
        <v>0.15</v>
      </c>
      <c r="K13" s="410">
        <f t="shared" si="3"/>
        <v>1.4068659999999999</v>
      </c>
      <c r="L13" s="411">
        <f t="shared" si="4"/>
        <v>0.28137319999999999</v>
      </c>
      <c r="M13" s="411">
        <f t="shared" si="5"/>
        <v>24.030422000000002</v>
      </c>
      <c r="N13" s="411">
        <f t="shared" si="6"/>
        <v>2.93</v>
      </c>
      <c r="O13" s="411">
        <f t="shared" si="7"/>
        <v>4.1068979999999993</v>
      </c>
      <c r="P13" s="412"/>
      <c r="Q13" s="412" t="s">
        <v>425</v>
      </c>
      <c r="R13" s="412" t="s">
        <v>426</v>
      </c>
      <c r="S13" s="412"/>
      <c r="T13" s="412"/>
      <c r="U13" s="412"/>
      <c r="V13" s="412"/>
      <c r="W13" s="327"/>
      <c r="X13" s="327"/>
      <c r="Y13" s="327"/>
      <c r="Z13" s="327"/>
    </row>
    <row r="14" spans="1:26" s="5" customFormat="1">
      <c r="A14" s="397">
        <f>'1-συμβολαια'!A14</f>
        <v>4609</v>
      </c>
      <c r="B14" s="407" t="str">
        <f>'1-συμβολαια'!C14</f>
        <v>αγοραπωλησία τίμημα = 6.057,27 Δ.Ο.Υ. =</v>
      </c>
      <c r="C14" s="411">
        <f>'1-συμβολαια'!D14</f>
        <v>18257.27</v>
      </c>
      <c r="D14" s="409"/>
      <c r="E14" s="409">
        <v>2.93</v>
      </c>
      <c r="F14" s="409">
        <v>10.56</v>
      </c>
      <c r="G14" s="409">
        <f t="shared" si="0"/>
        <v>214.86132000000001</v>
      </c>
      <c r="H14" s="409">
        <f t="shared" si="1"/>
        <v>228.35132000000002</v>
      </c>
      <c r="I14" s="410">
        <f t="shared" si="2"/>
        <v>20.2879188</v>
      </c>
      <c r="J14" s="410">
        <v>0.15</v>
      </c>
      <c r="K14" s="410">
        <f t="shared" si="3"/>
        <v>11.417566000000001</v>
      </c>
      <c r="L14" s="411">
        <f t="shared" si="4"/>
        <v>2.2835132000000002</v>
      </c>
      <c r="M14" s="411">
        <f t="shared" si="5"/>
        <v>194.21232200000003</v>
      </c>
      <c r="N14" s="411">
        <f t="shared" si="6"/>
        <v>2.93</v>
      </c>
      <c r="O14" s="411">
        <f t="shared" si="7"/>
        <v>34.138998000000001</v>
      </c>
      <c r="P14" s="412"/>
      <c r="Q14" s="412" t="s">
        <v>425</v>
      </c>
      <c r="R14" s="412" t="s">
        <v>426</v>
      </c>
      <c r="S14" s="412"/>
      <c r="T14" s="412"/>
      <c r="U14" s="412"/>
      <c r="V14" s="412"/>
      <c r="W14" s="327"/>
      <c r="X14" s="327"/>
      <c r="Y14" s="327"/>
      <c r="Z14" s="327"/>
    </row>
    <row r="15" spans="1:26" s="5" customFormat="1">
      <c r="A15" s="397">
        <f>'1-συμβολαια'!A15</f>
        <v>4610</v>
      </c>
      <c r="B15" s="407" t="str">
        <f>'1-συμβολαια'!C15</f>
        <v>πληρεξούσιο</v>
      </c>
      <c r="C15" s="411">
        <f>'1-συμβολαια'!D15</f>
        <v>0</v>
      </c>
      <c r="D15" s="409">
        <v>8.8000000000000007</v>
      </c>
      <c r="E15" s="409"/>
      <c r="F15" s="409"/>
      <c r="G15" s="409"/>
      <c r="H15" s="409">
        <f t="shared" si="1"/>
        <v>8.8000000000000007</v>
      </c>
      <c r="I15" s="410">
        <f t="shared" si="2"/>
        <v>0</v>
      </c>
      <c r="J15" s="410">
        <f t="shared" si="8"/>
        <v>0.44000000000000006</v>
      </c>
      <c r="K15" s="410">
        <v>0.03</v>
      </c>
      <c r="L15" s="411">
        <f t="shared" si="4"/>
        <v>8.8000000000000009E-2</v>
      </c>
      <c r="M15" s="411">
        <f t="shared" si="5"/>
        <v>8.2420000000000009</v>
      </c>
      <c r="N15" s="411">
        <f t="shared" si="6"/>
        <v>8.8000000000000007</v>
      </c>
      <c r="O15" s="411">
        <f t="shared" si="7"/>
        <v>0.55800000000000005</v>
      </c>
      <c r="P15" s="412"/>
      <c r="Q15" s="412"/>
      <c r="R15" s="412"/>
      <c r="S15" s="412"/>
      <c r="T15" s="412"/>
      <c r="U15" s="412"/>
      <c r="V15" s="412"/>
      <c r="W15" s="327"/>
      <c r="X15" s="327"/>
      <c r="Y15" s="327"/>
      <c r="Z15" s="327"/>
    </row>
    <row r="16" spans="1:26" s="5" customFormat="1">
      <c r="A16" s="404">
        <f>'1-συμβολαια'!A16</f>
        <v>4611</v>
      </c>
      <c r="B16" s="407" t="str">
        <f>'1-συμβολαια'!C16</f>
        <v>γονική</v>
      </c>
      <c r="C16" s="411">
        <f>'1-συμβολαια'!D16</f>
        <v>33521.660000000003</v>
      </c>
      <c r="D16" s="409"/>
      <c r="E16" s="409">
        <v>2.93</v>
      </c>
      <c r="F16" s="409">
        <v>10.56</v>
      </c>
      <c r="G16" s="409">
        <f t="shared" si="0"/>
        <v>398.03399999999999</v>
      </c>
      <c r="H16" s="409">
        <f t="shared" si="1"/>
        <v>411.524</v>
      </c>
      <c r="I16" s="410">
        <f t="shared" si="2"/>
        <v>36.77346</v>
      </c>
      <c r="J16" s="410">
        <v>0.15</v>
      </c>
      <c r="K16" s="410">
        <f t="shared" si="3"/>
        <v>20.5762</v>
      </c>
      <c r="L16" s="411">
        <f t="shared" si="4"/>
        <v>4.11524</v>
      </c>
      <c r="M16" s="411">
        <f t="shared" si="5"/>
        <v>349.90910000000002</v>
      </c>
      <c r="N16" s="411">
        <f t="shared" si="6"/>
        <v>2.93</v>
      </c>
      <c r="O16" s="411">
        <f t="shared" si="7"/>
        <v>61.614899999999999</v>
      </c>
      <c r="P16" s="412"/>
      <c r="Q16" s="412" t="s">
        <v>425</v>
      </c>
      <c r="R16" s="412" t="s">
        <v>426</v>
      </c>
      <c r="S16" s="412"/>
      <c r="T16" s="412" t="s">
        <v>427</v>
      </c>
      <c r="U16" s="412" t="s">
        <v>428</v>
      </c>
      <c r="V16" s="412" t="s">
        <v>429</v>
      </c>
      <c r="W16" s="327"/>
      <c r="X16" s="327"/>
      <c r="Y16" s="327"/>
      <c r="Z16" s="327"/>
    </row>
    <row r="17" spans="1:26" s="5" customFormat="1">
      <c r="A17" s="404">
        <f>'1-συμβολαια'!A17</f>
        <v>0</v>
      </c>
      <c r="B17" s="407" t="str">
        <f>'1-συμβολαια'!C17</f>
        <v>ΧΡΗΣΙΚΤΗΣΙΑ οικοπέδου = 1973 κυπαρισσίουΠαναγιώτη ΑΓΟΡΑΠΩΛΗΣΙΑ άτυπη</v>
      </c>
      <c r="C17" s="411">
        <f>'1-συμβολαια'!D17</f>
        <v>2222</v>
      </c>
      <c r="D17" s="409"/>
      <c r="E17" s="409">
        <v>2.93</v>
      </c>
      <c r="F17" s="409">
        <v>10.56</v>
      </c>
      <c r="G17" s="409">
        <f t="shared" si="0"/>
        <v>22.438079999999999</v>
      </c>
      <c r="H17" s="409">
        <f t="shared" si="1"/>
        <v>35.928080000000001</v>
      </c>
      <c r="I17" s="410">
        <f t="shared" si="2"/>
        <v>2.9698272000000001</v>
      </c>
      <c r="J17" s="410">
        <v>0.15</v>
      </c>
      <c r="K17" s="410">
        <f t="shared" si="3"/>
        <v>1.7964040000000001</v>
      </c>
      <c r="L17" s="411">
        <f t="shared" si="4"/>
        <v>0.35928080000000001</v>
      </c>
      <c r="M17" s="411">
        <f t="shared" si="5"/>
        <v>30.652568000000002</v>
      </c>
      <c r="N17" s="411">
        <f t="shared" si="6"/>
        <v>2.93</v>
      </c>
      <c r="O17" s="411">
        <f t="shared" si="7"/>
        <v>5.275512</v>
      </c>
      <c r="P17" s="412"/>
      <c r="Q17" s="412"/>
      <c r="R17" s="412"/>
      <c r="S17" s="412"/>
      <c r="T17" s="412"/>
      <c r="U17" s="412"/>
      <c r="V17" s="412"/>
      <c r="W17" s="327"/>
      <c r="X17" s="327"/>
      <c r="Y17" s="327"/>
      <c r="Z17" s="327"/>
    </row>
    <row r="18" spans="1:26" s="5" customFormat="1">
      <c r="A18" s="404">
        <f>'1-συμβολαια'!A18</f>
        <v>0</v>
      </c>
      <c r="B18" s="407" t="str">
        <f>'1-συμβολαια'!C18</f>
        <v>οριζόντιος ΣΥΣΤΑΣΗ</v>
      </c>
      <c r="C18" s="411">
        <f>'1-συμβολαια'!D18</f>
        <v>0</v>
      </c>
      <c r="D18" s="526">
        <v>58.69</v>
      </c>
      <c r="E18" s="409"/>
      <c r="F18" s="409"/>
      <c r="G18" s="409"/>
      <c r="H18" s="409">
        <f t="shared" si="1"/>
        <v>58.69</v>
      </c>
      <c r="I18" s="410">
        <f t="shared" si="2"/>
        <v>0</v>
      </c>
      <c r="J18" s="410">
        <v>3.99</v>
      </c>
      <c r="K18" s="410">
        <v>0.03</v>
      </c>
      <c r="L18" s="411">
        <f t="shared" si="4"/>
        <v>0.58689999999999998</v>
      </c>
      <c r="M18" s="411">
        <f t="shared" si="5"/>
        <v>54.083099999999995</v>
      </c>
      <c r="N18" s="411">
        <f t="shared" si="6"/>
        <v>58.69</v>
      </c>
      <c r="O18" s="411">
        <f t="shared" si="7"/>
        <v>4.6069000000000004</v>
      </c>
      <c r="P18" s="412"/>
      <c r="Q18" s="412"/>
      <c r="R18" s="412"/>
      <c r="S18" s="412"/>
      <c r="T18" s="412"/>
      <c r="U18" s="412"/>
      <c r="V18" s="412"/>
      <c r="W18" s="527" t="s">
        <v>509</v>
      </c>
      <c r="X18" s="327"/>
      <c r="Y18" s="327"/>
      <c r="Z18" s="327"/>
    </row>
    <row r="19" spans="1:26" s="5" customFormat="1">
      <c r="A19" s="397">
        <f>'1-συμβολαια'!A19</f>
        <v>4612</v>
      </c>
      <c r="B19" s="407" t="str">
        <f>'1-συμβολαια'!C19</f>
        <v>κληρονομιάς ΑΠΟΔΟΧΗ</v>
      </c>
      <c r="C19" s="411">
        <f>'1-συμβολαια'!D19</f>
        <v>0</v>
      </c>
      <c r="D19" s="409">
        <v>29.35</v>
      </c>
      <c r="E19" s="409"/>
      <c r="F19" s="409"/>
      <c r="G19" s="409"/>
      <c r="H19" s="409">
        <f t="shared" si="1"/>
        <v>29.35</v>
      </c>
      <c r="I19" s="410">
        <f t="shared" si="2"/>
        <v>0</v>
      </c>
      <c r="J19" s="410">
        <f t="shared" si="8"/>
        <v>1.4675000000000002</v>
      </c>
      <c r="K19" s="410">
        <f t="shared" si="3"/>
        <v>1.4675000000000002</v>
      </c>
      <c r="L19" s="411">
        <f t="shared" si="4"/>
        <v>0.29350000000000004</v>
      </c>
      <c r="M19" s="411">
        <f t="shared" si="5"/>
        <v>26.121500000000001</v>
      </c>
      <c r="N19" s="411">
        <f t="shared" si="6"/>
        <v>29.35</v>
      </c>
      <c r="O19" s="411">
        <f t="shared" si="7"/>
        <v>3.2285000000000004</v>
      </c>
      <c r="P19" s="412"/>
      <c r="Q19" s="412"/>
      <c r="R19" s="412"/>
      <c r="S19" s="412"/>
      <c r="T19" s="412"/>
      <c r="U19" s="412"/>
      <c r="V19" s="412"/>
      <c r="W19" s="327"/>
      <c r="X19" s="327"/>
      <c r="Y19" s="327"/>
      <c r="Z19" s="327"/>
    </row>
    <row r="20" spans="1:26" s="5" customFormat="1">
      <c r="A20" s="397">
        <f>'1-συμβολαια'!A20</f>
        <v>4613</v>
      </c>
      <c r="B20" s="407" t="str">
        <f>'1-συμβολαια'!C20</f>
        <v>γονική</v>
      </c>
      <c r="C20" s="411">
        <f>'1-συμβολαια'!D20</f>
        <v>6213.36</v>
      </c>
      <c r="D20" s="409"/>
      <c r="E20" s="409">
        <v>2.93</v>
      </c>
      <c r="F20" s="409">
        <v>10.56</v>
      </c>
      <c r="G20" s="409">
        <f t="shared" si="0"/>
        <v>70.334400000000002</v>
      </c>
      <c r="H20" s="409">
        <f t="shared" si="1"/>
        <v>83.824399999999997</v>
      </c>
      <c r="I20" s="410">
        <f t="shared" si="2"/>
        <v>7.2804960000000003</v>
      </c>
      <c r="J20" s="410">
        <v>0.15</v>
      </c>
      <c r="K20" s="410">
        <f t="shared" si="3"/>
        <v>4.1912200000000004</v>
      </c>
      <c r="L20" s="411">
        <f t="shared" si="4"/>
        <v>0.83824399999999999</v>
      </c>
      <c r="M20" s="411">
        <f t="shared" si="5"/>
        <v>71.364440000000002</v>
      </c>
      <c r="N20" s="411">
        <f t="shared" si="6"/>
        <v>2.93</v>
      </c>
      <c r="O20" s="411">
        <f t="shared" si="7"/>
        <v>12.459960000000001</v>
      </c>
      <c r="P20" s="412"/>
      <c r="Q20" s="412" t="s">
        <v>425</v>
      </c>
      <c r="R20" s="412" t="s">
        <v>426</v>
      </c>
      <c r="S20" s="412"/>
      <c r="T20" s="412"/>
      <c r="U20" s="412"/>
      <c r="V20" s="412"/>
      <c r="W20" s="327"/>
      <c r="X20" s="327"/>
      <c r="Y20" s="327"/>
      <c r="Z20" s="327"/>
    </row>
    <row r="21" spans="1:26" s="5" customFormat="1">
      <c r="A21" s="397">
        <f>'1-συμβολαια'!A21</f>
        <v>4614</v>
      </c>
      <c r="B21" s="407" t="str">
        <f>'1-συμβολαια'!C21</f>
        <v>διαθήκη</v>
      </c>
      <c r="C21" s="411">
        <f>'1-συμβολαια'!D21</f>
        <v>0</v>
      </c>
      <c r="D21" s="409">
        <v>58.69</v>
      </c>
      <c r="E21" s="409"/>
      <c r="F21" s="409"/>
      <c r="G21" s="409"/>
      <c r="H21" s="409">
        <f t="shared" si="1"/>
        <v>58.69</v>
      </c>
      <c r="I21" s="410">
        <f t="shared" si="2"/>
        <v>0</v>
      </c>
      <c r="J21" s="410">
        <v>0.73</v>
      </c>
      <c r="K21" s="410">
        <v>0.15</v>
      </c>
      <c r="L21" s="411">
        <f t="shared" si="4"/>
        <v>0.58689999999999998</v>
      </c>
      <c r="M21" s="411">
        <f t="shared" si="5"/>
        <v>57.223099999999995</v>
      </c>
      <c r="N21" s="411">
        <f t="shared" si="6"/>
        <v>58.69</v>
      </c>
      <c r="O21" s="411">
        <f t="shared" si="7"/>
        <v>1.4668999999999999</v>
      </c>
      <c r="P21" s="412"/>
      <c r="Q21" s="412"/>
      <c r="R21" s="412"/>
      <c r="S21" s="412"/>
      <c r="T21" s="412"/>
      <c r="U21" s="412"/>
      <c r="V21" s="412"/>
      <c r="W21" s="527" t="s">
        <v>507</v>
      </c>
      <c r="X21" s="327"/>
      <c r="Y21" s="327"/>
      <c r="Z21" s="327"/>
    </row>
    <row r="22" spans="1:26" s="5" customFormat="1">
      <c r="A22" s="404">
        <f>'1-συμβολαια'!A22</f>
        <v>4615</v>
      </c>
      <c r="B22" s="407" t="str">
        <f>'1-συμβολαια'!C22</f>
        <v>δωρεά</v>
      </c>
      <c r="C22" s="411">
        <f>'1-συμβολαια'!D22</f>
        <v>16035.1</v>
      </c>
      <c r="D22" s="409"/>
      <c r="E22" s="409">
        <v>2.93</v>
      </c>
      <c r="F22" s="409">
        <v>10.56</v>
      </c>
      <c r="G22" s="409">
        <f t="shared" si="0"/>
        <v>188.19528</v>
      </c>
      <c r="H22" s="409">
        <f t="shared" si="1"/>
        <v>201.68528000000001</v>
      </c>
      <c r="I22" s="410">
        <f t="shared" si="2"/>
        <v>17.8879752</v>
      </c>
      <c r="J22" s="410">
        <v>0.15</v>
      </c>
      <c r="K22" s="410">
        <f t="shared" si="3"/>
        <v>10.084264000000001</v>
      </c>
      <c r="L22" s="411">
        <f t="shared" si="4"/>
        <v>2.0168528000000001</v>
      </c>
      <c r="M22" s="411">
        <f t="shared" si="5"/>
        <v>171.546188</v>
      </c>
      <c r="N22" s="411">
        <f t="shared" si="6"/>
        <v>2.93</v>
      </c>
      <c r="O22" s="411">
        <f t="shared" si="7"/>
        <v>30.139091999999998</v>
      </c>
      <c r="P22" s="412"/>
      <c r="Q22" s="412" t="s">
        <v>425</v>
      </c>
      <c r="R22" s="412" t="s">
        <v>426</v>
      </c>
      <c r="S22" s="412"/>
      <c r="T22" s="412"/>
      <c r="U22" s="412"/>
      <c r="V22" s="412"/>
      <c r="W22" s="327"/>
      <c r="X22" s="327"/>
      <c r="Y22" s="327"/>
      <c r="Z22" s="327"/>
    </row>
    <row r="23" spans="1:26" s="5" customFormat="1">
      <c r="A23" s="404">
        <f>'1-συμβολαια'!A23</f>
        <v>0</v>
      </c>
      <c r="B23" s="407" t="str">
        <f>'1-συμβολαια'!C23</f>
        <v>ΧΡΗΣΙΚΤΗΣΙΑ οικοπέδου &amp; οικίας = 1935 πατρός ΔΩΡΕΑ άτυπη</v>
      </c>
      <c r="C23" s="375">
        <f>'1-συμβολαια'!D23</f>
        <v>6666</v>
      </c>
      <c r="D23" s="409"/>
      <c r="E23" s="409">
        <v>2.93</v>
      </c>
      <c r="F23" s="409">
        <v>10.56</v>
      </c>
      <c r="G23" s="409">
        <f t="shared" si="0"/>
        <v>75.766080000000002</v>
      </c>
      <c r="H23" s="409">
        <f t="shared" si="1"/>
        <v>89.256079999999997</v>
      </c>
      <c r="I23" s="410">
        <f t="shared" si="2"/>
        <v>7.7693472000000003</v>
      </c>
      <c r="J23" s="410">
        <v>0.15</v>
      </c>
      <c r="K23" s="410">
        <f t="shared" si="3"/>
        <v>4.4628040000000002</v>
      </c>
      <c r="L23" s="411">
        <f t="shared" si="4"/>
        <v>0.89256080000000004</v>
      </c>
      <c r="M23" s="411">
        <f t="shared" si="5"/>
        <v>75.981368000000003</v>
      </c>
      <c r="N23" s="411">
        <f t="shared" si="6"/>
        <v>2.93</v>
      </c>
      <c r="O23" s="411">
        <f t="shared" si="7"/>
        <v>13.274712000000001</v>
      </c>
      <c r="P23" s="412"/>
      <c r="Q23" s="412"/>
      <c r="R23" s="412"/>
      <c r="S23" s="412"/>
      <c r="T23" s="412"/>
      <c r="U23" s="412"/>
      <c r="V23" s="412"/>
      <c r="W23" s="327"/>
      <c r="X23" s="327"/>
      <c r="Y23" s="327"/>
      <c r="Z23" s="327"/>
    </row>
    <row r="24" spans="1:26" s="5" customFormat="1">
      <c r="A24" s="538">
        <f>'1-συμβολαια'!A24</f>
        <v>4616</v>
      </c>
      <c r="B24" s="407" t="str">
        <f>'1-συμβολαια'!C24</f>
        <v>δωρεά</v>
      </c>
      <c r="C24" s="411">
        <f>'1-συμβολαια'!D24</f>
        <v>9933.0499999999993</v>
      </c>
      <c r="D24" s="409"/>
      <c r="E24" s="409">
        <v>2.93</v>
      </c>
      <c r="F24" s="409">
        <v>10.56</v>
      </c>
      <c r="G24" s="409">
        <f t="shared" si="0"/>
        <v>114.97068</v>
      </c>
      <c r="H24" s="409">
        <f t="shared" si="1"/>
        <v>128.46068</v>
      </c>
      <c r="I24" s="410">
        <f t="shared" si="2"/>
        <v>11.2977612</v>
      </c>
      <c r="J24" s="410">
        <f t="shared" si="8"/>
        <v>6.4230340000000004</v>
      </c>
      <c r="K24" s="410">
        <v>0.15</v>
      </c>
      <c r="L24" s="411">
        <f t="shared" si="4"/>
        <v>1.2846067999999999</v>
      </c>
      <c r="M24" s="411">
        <f t="shared" si="5"/>
        <v>109.305278</v>
      </c>
      <c r="N24" s="411">
        <f t="shared" si="6"/>
        <v>2.93</v>
      </c>
      <c r="O24" s="411">
        <f t="shared" si="7"/>
        <v>19.155401999999999</v>
      </c>
      <c r="P24" s="412"/>
      <c r="Q24" s="412" t="s">
        <v>425</v>
      </c>
      <c r="R24" s="412" t="s">
        <v>426</v>
      </c>
      <c r="S24" s="412"/>
      <c r="T24" s="412"/>
      <c r="U24" s="412"/>
      <c r="V24" s="412"/>
      <c r="W24" s="327"/>
      <c r="X24" s="327"/>
      <c r="Y24" s="327"/>
      <c r="Z24" s="327"/>
    </row>
    <row r="25" spans="1:26" s="5" customFormat="1">
      <c r="A25" s="538">
        <f>'1-συμβολαια'!A25</f>
        <v>0</v>
      </c>
      <c r="B25" s="407" t="str">
        <f>'1-συμβολαια'!C25</f>
        <v>ΧΡΗΣΙΚΤΗΣΙΑ αγροτεμαχίου = 1925 πατρός ΔΩΡΕΑ άτυπη</v>
      </c>
      <c r="C25" s="411">
        <f>'1-συμβολαια'!D25</f>
        <v>1111</v>
      </c>
      <c r="D25" s="409"/>
      <c r="E25" s="409">
        <v>2.93</v>
      </c>
      <c r="F25" s="409">
        <v>10.56</v>
      </c>
      <c r="G25" s="409">
        <f t="shared" si="0"/>
        <v>9.1060799999999986</v>
      </c>
      <c r="H25" s="409">
        <f t="shared" si="1"/>
        <v>22.596080000000001</v>
      </c>
      <c r="I25" s="410">
        <f t="shared" si="2"/>
        <v>1.7699472000000001</v>
      </c>
      <c r="J25" s="410">
        <f t="shared" si="8"/>
        <v>1.129804</v>
      </c>
      <c r="K25" s="410">
        <v>0.15</v>
      </c>
      <c r="L25" s="411">
        <f t="shared" si="4"/>
        <v>0.22596080000000002</v>
      </c>
      <c r="M25" s="411">
        <f t="shared" si="5"/>
        <v>19.320368000000002</v>
      </c>
      <c r="N25" s="411">
        <f t="shared" si="6"/>
        <v>2.93</v>
      </c>
      <c r="O25" s="411">
        <f t="shared" si="7"/>
        <v>3.275712</v>
      </c>
      <c r="P25" s="412"/>
      <c r="Q25" s="412"/>
      <c r="R25" s="412"/>
      <c r="S25" s="412"/>
      <c r="T25" s="412"/>
      <c r="U25" s="412"/>
      <c r="V25" s="412"/>
      <c r="W25" s="327"/>
      <c r="X25" s="327"/>
      <c r="Y25" s="327"/>
      <c r="Z25" s="327"/>
    </row>
    <row r="26" spans="1:26" s="5" customFormat="1">
      <c r="A26" s="538">
        <f>'1-συμβολαια'!A26</f>
        <v>0</v>
      </c>
      <c r="B26" s="407" t="str">
        <f>'1-συμβολαια'!C26</f>
        <v>ΧΡΗΣΙΚΤΗΣΙΑ αγροτεμαχίου (νυν οικόπεδο) = 1975 ΑΝΑΔΑΣΜΟΣ</v>
      </c>
      <c r="C26" s="411">
        <f>'1-συμβολαια'!D26</f>
        <v>3333</v>
      </c>
      <c r="D26" s="409"/>
      <c r="E26" s="409">
        <v>2.93</v>
      </c>
      <c r="F26" s="409">
        <v>10.56</v>
      </c>
      <c r="G26" s="409">
        <f t="shared" si="0"/>
        <v>35.77008</v>
      </c>
      <c r="H26" s="409">
        <f t="shared" si="1"/>
        <v>49.260080000000002</v>
      </c>
      <c r="I26" s="410">
        <f t="shared" si="2"/>
        <v>4.1697072000000004</v>
      </c>
      <c r="J26" s="410">
        <f t="shared" si="8"/>
        <v>2.4630040000000002</v>
      </c>
      <c r="K26" s="410">
        <v>0.15</v>
      </c>
      <c r="L26" s="411">
        <f t="shared" si="4"/>
        <v>0.49260080000000001</v>
      </c>
      <c r="M26" s="411">
        <f t="shared" si="5"/>
        <v>41.984768000000003</v>
      </c>
      <c r="N26" s="411">
        <f t="shared" si="6"/>
        <v>2.93</v>
      </c>
      <c r="O26" s="411">
        <f t="shared" si="7"/>
        <v>7.2753120000000013</v>
      </c>
      <c r="P26" s="412"/>
      <c r="Q26" s="412"/>
      <c r="R26" s="412"/>
      <c r="S26" s="412"/>
      <c r="T26" s="412"/>
      <c r="U26" s="412"/>
      <c r="V26" s="412"/>
      <c r="W26" s="327"/>
      <c r="X26" s="327"/>
      <c r="Y26" s="327"/>
      <c r="Z26" s="327"/>
    </row>
    <row r="27" spans="1:26" s="5" customFormat="1">
      <c r="A27" s="404">
        <f>'1-συμβολαια'!A27</f>
        <v>4617</v>
      </c>
      <c r="B27" s="407" t="str">
        <f>'1-συμβολαια'!C27</f>
        <v>προσύμφωνο μεταβιβάσεως ποσοστών οικοπέδου</v>
      </c>
      <c r="C27" s="411">
        <f>'1-συμβολαια'!D27</f>
        <v>0</v>
      </c>
      <c r="D27" s="409">
        <v>8.8000000000000007</v>
      </c>
      <c r="E27" s="409"/>
      <c r="F27" s="409"/>
      <c r="G27" s="409"/>
      <c r="H27" s="409">
        <f t="shared" si="1"/>
        <v>8.8000000000000007</v>
      </c>
      <c r="I27" s="410">
        <f t="shared" si="2"/>
        <v>0</v>
      </c>
      <c r="J27" s="410">
        <f t="shared" si="8"/>
        <v>0.44000000000000006</v>
      </c>
      <c r="K27" s="410">
        <f t="shared" si="3"/>
        <v>0.44000000000000006</v>
      </c>
      <c r="L27" s="411">
        <f t="shared" si="4"/>
        <v>8.8000000000000009E-2</v>
      </c>
      <c r="M27" s="411">
        <f t="shared" si="5"/>
        <v>7.8320000000000007</v>
      </c>
      <c r="N27" s="411">
        <f t="shared" si="6"/>
        <v>8.8000000000000007</v>
      </c>
      <c r="O27" s="411">
        <f t="shared" si="7"/>
        <v>0.96800000000000008</v>
      </c>
      <c r="P27" s="412"/>
      <c r="Q27" s="412"/>
      <c r="R27" s="412"/>
      <c r="S27" s="412"/>
      <c r="T27" s="412"/>
      <c r="U27" s="412"/>
      <c r="V27" s="412"/>
      <c r="W27" s="327"/>
      <c r="X27" s="327"/>
      <c r="Y27" s="327"/>
      <c r="Z27" s="327"/>
    </row>
    <row r="28" spans="1:26" s="5" customFormat="1">
      <c r="A28" s="404">
        <f>'1-συμβολαια'!A28</f>
        <v>0</v>
      </c>
      <c r="B28" s="407" t="str">
        <f>'1-συμβολαια'!C28</f>
        <v>εργολαβικό</v>
      </c>
      <c r="C28" s="411">
        <f>'1-συμβολαια'!D28</f>
        <v>200</v>
      </c>
      <c r="D28" s="409"/>
      <c r="E28" s="409">
        <v>2.93</v>
      </c>
      <c r="F28" s="409">
        <v>10.56</v>
      </c>
      <c r="G28" s="409">
        <f t="shared" si="0"/>
        <v>-1.8259200000000004</v>
      </c>
      <c r="H28" s="409">
        <f t="shared" si="1"/>
        <v>11.66408</v>
      </c>
      <c r="I28" s="410">
        <f t="shared" si="2"/>
        <v>0.78606719999999997</v>
      </c>
      <c r="J28" s="410">
        <v>0.15</v>
      </c>
      <c r="K28" s="410">
        <f t="shared" si="3"/>
        <v>0.58320400000000006</v>
      </c>
      <c r="L28" s="411">
        <f t="shared" si="4"/>
        <v>0.1166408</v>
      </c>
      <c r="M28" s="411">
        <f t="shared" si="5"/>
        <v>10.028168000000001</v>
      </c>
      <c r="N28" s="411">
        <f t="shared" si="6"/>
        <v>2.93</v>
      </c>
      <c r="O28" s="411">
        <f t="shared" si="7"/>
        <v>1.635912</v>
      </c>
      <c r="P28" s="412"/>
      <c r="Q28" s="412" t="s">
        <v>425</v>
      </c>
      <c r="R28" s="412" t="s">
        <v>426</v>
      </c>
      <c r="S28" s="412"/>
      <c r="T28" s="412"/>
      <c r="U28" s="412"/>
      <c r="V28" s="412"/>
      <c r="W28" s="327"/>
      <c r="X28" s="327"/>
      <c r="Y28" s="327"/>
      <c r="Z28" s="327"/>
    </row>
    <row r="29" spans="1:26" s="5" customFormat="1">
      <c r="A29" s="397">
        <f>'1-συμβολαια'!A29</f>
        <v>4618</v>
      </c>
      <c r="B29" s="407" t="str">
        <f>'1-συμβολαια'!C29</f>
        <v>πληρεξούσιο</v>
      </c>
      <c r="C29" s="411">
        <f>'1-συμβολαια'!D29</f>
        <v>0</v>
      </c>
      <c r="D29" s="409">
        <v>8.8000000000000007</v>
      </c>
      <c r="E29" s="409"/>
      <c r="F29" s="409"/>
      <c r="G29" s="409"/>
      <c r="H29" s="409">
        <f t="shared" si="1"/>
        <v>8.8000000000000007</v>
      </c>
      <c r="I29" s="410"/>
      <c r="J29" s="410">
        <f t="shared" si="8"/>
        <v>0.44000000000000006</v>
      </c>
      <c r="K29" s="410">
        <v>0.03</v>
      </c>
      <c r="L29" s="411">
        <f t="shared" si="4"/>
        <v>8.8000000000000009E-2</v>
      </c>
      <c r="M29" s="411">
        <f t="shared" si="5"/>
        <v>8.2420000000000009</v>
      </c>
      <c r="N29" s="411">
        <f t="shared" si="6"/>
        <v>8.8000000000000007</v>
      </c>
      <c r="O29" s="411">
        <f t="shared" si="7"/>
        <v>0.55800000000000005</v>
      </c>
      <c r="P29" s="412"/>
      <c r="Q29" s="412"/>
      <c r="R29" s="412"/>
      <c r="S29" s="412"/>
      <c r="T29" s="412"/>
      <c r="U29" s="412"/>
      <c r="V29" s="412"/>
      <c r="W29" s="327"/>
      <c r="X29" s="327"/>
      <c r="Y29" s="327"/>
      <c r="Z29" s="327"/>
    </row>
    <row r="30" spans="1:26" s="5" customFormat="1">
      <c r="A30" s="404">
        <f>'1-συμβολαια'!A30</f>
        <v>4619</v>
      </c>
      <c r="B30" s="407" t="str">
        <f>'1-συμβολαια'!C30</f>
        <v>αγοραπωλησίας ΠΡΟΣΥΜΦΩΝΟ τίμημα = αρραβών =</v>
      </c>
      <c r="C30" s="411">
        <f>'1-συμβολαια'!D30</f>
        <v>1800</v>
      </c>
      <c r="D30" s="409"/>
      <c r="E30" s="409">
        <v>2.93</v>
      </c>
      <c r="F30" s="409">
        <v>10.56</v>
      </c>
      <c r="G30" s="409">
        <f t="shared" si="0"/>
        <v>17.374079999999999</v>
      </c>
      <c r="H30" s="409">
        <f t="shared" si="1"/>
        <v>30.864080000000001</v>
      </c>
      <c r="I30" s="410">
        <f t="shared" si="2"/>
        <v>2.5140671999999999</v>
      </c>
      <c r="J30" s="410">
        <v>0.15</v>
      </c>
      <c r="K30" s="410">
        <f t="shared" si="3"/>
        <v>1.5432040000000002</v>
      </c>
      <c r="L30" s="411">
        <f t="shared" si="4"/>
        <v>0.30864079999999999</v>
      </c>
      <c r="M30" s="411">
        <f t="shared" si="5"/>
        <v>26.348168000000001</v>
      </c>
      <c r="N30" s="411">
        <f t="shared" si="6"/>
        <v>2.93</v>
      </c>
      <c r="O30" s="411">
        <f t="shared" si="7"/>
        <v>4.5159120000000001</v>
      </c>
      <c r="P30" s="412"/>
      <c r="Q30" s="412" t="s">
        <v>425</v>
      </c>
      <c r="R30" s="412" t="s">
        <v>426</v>
      </c>
      <c r="S30" s="412"/>
      <c r="T30" s="412"/>
      <c r="U30" s="412"/>
      <c r="V30" s="412"/>
      <c r="W30" s="327"/>
      <c r="X30" s="327"/>
      <c r="Y30" s="327"/>
      <c r="Z30" s="327"/>
    </row>
    <row r="31" spans="1:26" s="5" customFormat="1">
      <c r="A31" s="404">
        <f>'1-συμβολαια'!A31</f>
        <v>0</v>
      </c>
      <c r="B31" s="407" t="str">
        <f>'1-συμβολαια'!C31</f>
        <v>ΧΡΗΣΙΚΤΗΣΙΑ αγροτεμαχίου = 1975 πατρός ΔΩΡΕΑ άτυπη</v>
      </c>
      <c r="C31" s="411">
        <f>'1-συμβολαια'!D31</f>
        <v>1111</v>
      </c>
      <c r="D31" s="409"/>
      <c r="E31" s="409">
        <v>2.93</v>
      </c>
      <c r="F31" s="409">
        <v>10.56</v>
      </c>
      <c r="G31" s="409">
        <f t="shared" si="0"/>
        <v>9.1060799999999986</v>
      </c>
      <c r="H31" s="409">
        <f t="shared" si="1"/>
        <v>22.596080000000001</v>
      </c>
      <c r="I31" s="410">
        <f t="shared" si="2"/>
        <v>1.7699472000000001</v>
      </c>
      <c r="J31" s="410">
        <v>0.15</v>
      </c>
      <c r="K31" s="410">
        <f t="shared" si="3"/>
        <v>1.129804</v>
      </c>
      <c r="L31" s="411">
        <f t="shared" si="4"/>
        <v>0.22596080000000002</v>
      </c>
      <c r="M31" s="411">
        <f t="shared" si="5"/>
        <v>19.320368000000002</v>
      </c>
      <c r="N31" s="411">
        <f t="shared" si="6"/>
        <v>2.93</v>
      </c>
      <c r="O31" s="411">
        <f t="shared" si="7"/>
        <v>3.2757120000000004</v>
      </c>
      <c r="P31" s="412"/>
      <c r="Q31" s="412"/>
      <c r="R31" s="412"/>
      <c r="S31" s="412"/>
      <c r="T31" s="412"/>
      <c r="U31" s="412"/>
      <c r="V31" s="412"/>
      <c r="W31" s="327"/>
      <c r="X31" s="327"/>
      <c r="Y31" s="327"/>
      <c r="Z31" s="327"/>
    </row>
    <row r="32" spans="1:26" s="5" customFormat="1">
      <c r="A32" s="551">
        <f>'1-συμβολαια'!A32</f>
        <v>4620</v>
      </c>
      <c r="B32" s="407" t="str">
        <f>'1-συμβολαια'!C32</f>
        <v>γονική</v>
      </c>
      <c r="C32" s="411">
        <f>'1-συμβολαια'!D32</f>
        <v>6285.73</v>
      </c>
      <c r="D32" s="409"/>
      <c r="E32" s="409">
        <v>2.93</v>
      </c>
      <c r="F32" s="409">
        <v>10.56</v>
      </c>
      <c r="G32" s="409">
        <f t="shared" si="0"/>
        <v>71.202839999999995</v>
      </c>
      <c r="H32" s="409">
        <f t="shared" si="1"/>
        <v>84.69283999999999</v>
      </c>
      <c r="I32" s="410">
        <f t="shared" si="2"/>
        <v>7.3586555999999996</v>
      </c>
      <c r="J32" s="410">
        <v>0.15</v>
      </c>
      <c r="K32" s="410">
        <f t="shared" si="3"/>
        <v>4.234642</v>
      </c>
      <c r="L32" s="411">
        <f t="shared" si="4"/>
        <v>0.84692839999999991</v>
      </c>
      <c r="M32" s="411">
        <f t="shared" si="5"/>
        <v>72.102613999999988</v>
      </c>
      <c r="N32" s="411">
        <f t="shared" si="6"/>
        <v>2.93</v>
      </c>
      <c r="O32" s="411">
        <f t="shared" si="7"/>
        <v>12.590225999999999</v>
      </c>
      <c r="P32" s="412"/>
      <c r="Q32" s="412" t="s">
        <v>425</v>
      </c>
      <c r="R32" s="412" t="s">
        <v>426</v>
      </c>
      <c r="S32" s="412"/>
      <c r="T32" s="412"/>
      <c r="U32" s="412"/>
      <c r="V32" s="412"/>
      <c r="W32" s="327"/>
      <c r="X32" s="327"/>
      <c r="Y32" s="327"/>
      <c r="Z32" s="327"/>
    </row>
    <row r="33" spans="1:26" s="5" customFormat="1">
      <c r="A33" s="538">
        <f>'1-συμβολαια'!A33</f>
        <v>0</v>
      </c>
      <c r="B33" s="407" t="str">
        <f>'1-συμβολαια'!C33</f>
        <v>κάθετος ΣΥΣΤΑΣΗ</v>
      </c>
      <c r="C33" s="411">
        <f>'1-συμβολαια'!D33</f>
        <v>0</v>
      </c>
      <c r="D33" s="409">
        <v>58.69</v>
      </c>
      <c r="E33" s="409"/>
      <c r="F33" s="409"/>
      <c r="G33" s="409"/>
      <c r="H33" s="409">
        <f t="shared" si="1"/>
        <v>58.69</v>
      </c>
      <c r="I33" s="410">
        <f t="shared" si="2"/>
        <v>0</v>
      </c>
      <c r="J33" s="410">
        <v>3.99</v>
      </c>
      <c r="K33" s="410">
        <f t="shared" si="3"/>
        <v>2.9344999999999999</v>
      </c>
      <c r="L33" s="411">
        <f t="shared" si="4"/>
        <v>0.58689999999999998</v>
      </c>
      <c r="M33" s="411">
        <f t="shared" si="5"/>
        <v>51.178599999999996</v>
      </c>
      <c r="N33" s="411">
        <f t="shared" si="6"/>
        <v>58.69</v>
      </c>
      <c r="O33" s="411">
        <f t="shared" si="7"/>
        <v>7.5114000000000001</v>
      </c>
      <c r="P33" s="412"/>
      <c r="Q33" s="412"/>
      <c r="R33" s="412"/>
      <c r="S33" s="412"/>
      <c r="T33" s="412"/>
      <c r="U33" s="412"/>
      <c r="V33" s="412"/>
      <c r="W33" s="327"/>
      <c r="X33" s="327"/>
      <c r="Y33" s="327"/>
      <c r="Z33" s="327"/>
    </row>
    <row r="34" spans="1:26" s="5" customFormat="1">
      <c r="A34" s="538">
        <f>'1-συμβολαια'!A34</f>
        <v>0</v>
      </c>
      <c r="B34" s="407" t="str">
        <f>'1-συμβολαια'!C34</f>
        <v>ΧΡΗΣΙΚΤΗΣΙΑ αγροτεμαχίου (νυν οικόπεδο) = 19?? ΑΝΑΔΑΣΜΟΣ</v>
      </c>
      <c r="C34" s="411">
        <f>'1-συμβολαια'!D34</f>
        <v>3333</v>
      </c>
      <c r="D34" s="409"/>
      <c r="E34" s="409">
        <v>2.93</v>
      </c>
      <c r="F34" s="409">
        <v>10.56</v>
      </c>
      <c r="G34" s="409">
        <f t="shared" si="0"/>
        <v>35.77008</v>
      </c>
      <c r="H34" s="409">
        <f t="shared" si="1"/>
        <v>49.260080000000002</v>
      </c>
      <c r="I34" s="410">
        <f t="shared" si="2"/>
        <v>4.1697072000000004</v>
      </c>
      <c r="J34" s="410">
        <v>0.15</v>
      </c>
      <c r="K34" s="410">
        <f t="shared" si="3"/>
        <v>2.4630040000000002</v>
      </c>
      <c r="L34" s="411">
        <f t="shared" si="4"/>
        <v>0.49260080000000001</v>
      </c>
      <c r="M34" s="411">
        <f t="shared" si="5"/>
        <v>41.984768000000003</v>
      </c>
      <c r="N34" s="411">
        <f t="shared" si="6"/>
        <v>2.93</v>
      </c>
      <c r="O34" s="411">
        <f t="shared" si="7"/>
        <v>7.2753120000000013</v>
      </c>
      <c r="P34" s="412"/>
      <c r="Q34" s="412"/>
      <c r="R34" s="412"/>
      <c r="S34" s="412"/>
      <c r="T34" s="412"/>
      <c r="U34" s="412"/>
      <c r="V34" s="412"/>
      <c r="W34" s="327"/>
      <c r="X34" s="327"/>
      <c r="Y34" s="327"/>
      <c r="Z34" s="327"/>
    </row>
    <row r="35" spans="1:26" s="5" customFormat="1">
      <c r="A35" s="551">
        <f>'1-συμβολαια'!A35</f>
        <v>4621</v>
      </c>
      <c r="B35" s="407" t="str">
        <f>'1-συμβολαια'!C35</f>
        <v>γονική</v>
      </c>
      <c r="C35" s="411">
        <f>'1-συμβολαια'!D35</f>
        <v>30928.65</v>
      </c>
      <c r="D35" s="409"/>
      <c r="E35" s="409">
        <v>2.93</v>
      </c>
      <c r="F35" s="409">
        <v>10.56</v>
      </c>
      <c r="G35" s="409">
        <f t="shared" si="0"/>
        <v>366.91788000000003</v>
      </c>
      <c r="H35" s="409">
        <f t="shared" si="1"/>
        <v>380.40788000000003</v>
      </c>
      <c r="I35" s="410">
        <f t="shared" si="2"/>
        <v>33.9730092</v>
      </c>
      <c r="J35" s="410">
        <v>0.15</v>
      </c>
      <c r="K35" s="410">
        <f t="shared" si="3"/>
        <v>19.020394000000003</v>
      </c>
      <c r="L35" s="411">
        <f t="shared" si="4"/>
        <v>3.8040788000000005</v>
      </c>
      <c r="M35" s="411">
        <f t="shared" si="5"/>
        <v>323.46039800000005</v>
      </c>
      <c r="N35" s="411">
        <f t="shared" si="6"/>
        <v>2.93</v>
      </c>
      <c r="O35" s="411">
        <f t="shared" si="7"/>
        <v>56.947482000000001</v>
      </c>
      <c r="P35" s="412"/>
      <c r="Q35" s="412" t="s">
        <v>425</v>
      </c>
      <c r="R35" s="412" t="s">
        <v>426</v>
      </c>
      <c r="S35" s="412"/>
      <c r="T35" s="412"/>
      <c r="U35" s="412"/>
      <c r="V35" s="412"/>
      <c r="W35" s="327"/>
      <c r="X35" s="327"/>
      <c r="Y35" s="327"/>
      <c r="Z35" s="327"/>
    </row>
    <row r="36" spans="1:26" s="5" customFormat="1">
      <c r="A36" s="404">
        <f>'1-συμβολαια'!A36</f>
        <v>0</v>
      </c>
      <c r="B36" s="407" t="str">
        <f>'1-συμβολαια'!C36</f>
        <v>οριζόντιος ΣΥΣΤΑΣΗ</v>
      </c>
      <c r="C36" s="411">
        <f>'1-συμβολαια'!D36</f>
        <v>0</v>
      </c>
      <c r="D36" s="409">
        <v>58.69</v>
      </c>
      <c r="E36" s="409"/>
      <c r="F36" s="409"/>
      <c r="G36" s="409"/>
      <c r="H36" s="409">
        <f t="shared" si="1"/>
        <v>58.69</v>
      </c>
      <c r="I36" s="410">
        <f t="shared" si="2"/>
        <v>0</v>
      </c>
      <c r="J36" s="410">
        <v>3.99</v>
      </c>
      <c r="K36" s="410">
        <f t="shared" si="3"/>
        <v>2.9344999999999999</v>
      </c>
      <c r="L36" s="411">
        <f t="shared" si="4"/>
        <v>0.58689999999999998</v>
      </c>
      <c r="M36" s="411">
        <f t="shared" si="5"/>
        <v>51.178599999999996</v>
      </c>
      <c r="N36" s="411">
        <f t="shared" si="6"/>
        <v>58.69</v>
      </c>
      <c r="O36" s="411">
        <f t="shared" si="7"/>
        <v>7.5114000000000001</v>
      </c>
      <c r="P36" s="412"/>
      <c r="Q36" s="412"/>
      <c r="R36" s="412"/>
      <c r="S36" s="412"/>
      <c r="T36" s="412"/>
      <c r="U36" s="412"/>
      <c r="V36" s="412"/>
      <c r="W36" s="327"/>
      <c r="X36" s="327"/>
      <c r="Y36" s="327"/>
      <c r="Z36" s="327"/>
    </row>
    <row r="37" spans="1:26" s="5" customFormat="1">
      <c r="A37" s="397">
        <f>'1-συμβολαια'!A37</f>
        <v>4622</v>
      </c>
      <c r="B37" s="407" t="str">
        <f>'1-συμβολαια'!C37</f>
        <v>πληρεξούσιο</v>
      </c>
      <c r="C37" s="411">
        <f>'1-συμβολαια'!D37</f>
        <v>0</v>
      </c>
      <c r="D37" s="409">
        <v>8.8000000000000007</v>
      </c>
      <c r="E37" s="409"/>
      <c r="F37" s="409"/>
      <c r="G37" s="409"/>
      <c r="H37" s="409">
        <f t="shared" si="1"/>
        <v>8.8000000000000007</v>
      </c>
      <c r="I37" s="410">
        <f t="shared" si="2"/>
        <v>0</v>
      </c>
      <c r="J37" s="410">
        <f t="shared" si="8"/>
        <v>0.44000000000000006</v>
      </c>
      <c r="K37" s="410">
        <v>0.03</v>
      </c>
      <c r="L37" s="411">
        <f t="shared" si="4"/>
        <v>8.8000000000000009E-2</v>
      </c>
      <c r="M37" s="411">
        <f t="shared" si="5"/>
        <v>8.2420000000000009</v>
      </c>
      <c r="N37" s="411">
        <f t="shared" si="6"/>
        <v>8.8000000000000007</v>
      </c>
      <c r="O37" s="411">
        <f t="shared" si="7"/>
        <v>0.55800000000000005</v>
      </c>
      <c r="P37" s="412"/>
      <c r="Q37" s="412"/>
      <c r="R37" s="412"/>
      <c r="S37" s="412"/>
      <c r="T37" s="412"/>
      <c r="U37" s="412"/>
      <c r="V37" s="412"/>
      <c r="W37" s="327"/>
      <c r="X37" s="327"/>
      <c r="Y37" s="327"/>
      <c r="Z37" s="327"/>
    </row>
    <row r="38" spans="1:26" s="5" customFormat="1">
      <c r="A38" s="397">
        <f>'1-συμβολαια'!A38</f>
        <v>4623</v>
      </c>
      <c r="B38" s="407" t="str">
        <f>'1-συμβολαια'!C38</f>
        <v>πληρεξούσιο</v>
      </c>
      <c r="C38" s="411">
        <f>'1-συμβολαια'!D38</f>
        <v>0</v>
      </c>
      <c r="D38" s="409">
        <v>8.8000000000000007</v>
      </c>
      <c r="E38" s="409"/>
      <c r="F38" s="409"/>
      <c r="G38" s="409"/>
      <c r="H38" s="409">
        <f t="shared" si="1"/>
        <v>8.8000000000000007</v>
      </c>
      <c r="I38" s="410">
        <f t="shared" si="2"/>
        <v>0</v>
      </c>
      <c r="J38" s="410">
        <f t="shared" si="8"/>
        <v>0.44000000000000006</v>
      </c>
      <c r="K38" s="410">
        <v>0.03</v>
      </c>
      <c r="L38" s="411">
        <f t="shared" si="4"/>
        <v>8.8000000000000009E-2</v>
      </c>
      <c r="M38" s="411">
        <f t="shared" si="5"/>
        <v>8.2420000000000009</v>
      </c>
      <c r="N38" s="411">
        <f t="shared" si="6"/>
        <v>8.8000000000000007</v>
      </c>
      <c r="O38" s="411">
        <f t="shared" si="7"/>
        <v>0.55800000000000005</v>
      </c>
      <c r="P38" s="412"/>
      <c r="Q38" s="412"/>
      <c r="R38" s="412"/>
      <c r="S38" s="412"/>
      <c r="T38" s="412"/>
      <c r="U38" s="412"/>
      <c r="V38" s="412"/>
      <c r="W38" s="327"/>
      <c r="X38" s="327"/>
      <c r="Y38" s="327"/>
      <c r="Z38" s="327"/>
    </row>
    <row r="39" spans="1:26" s="5" customFormat="1">
      <c r="A39" s="404">
        <f>'1-συμβολαια'!A39</f>
        <v>4624</v>
      </c>
      <c r="B39" s="407" t="str">
        <f>'1-συμβολαια'!C39</f>
        <v>*γονική ΨΙΛΗΣ ΚΥΡΙΟΤΗΤΑΣ</v>
      </c>
      <c r="C39" s="411">
        <f>'1-συμβολαια'!D39</f>
        <v>11558.2</v>
      </c>
      <c r="D39" s="409"/>
      <c r="E39" s="409">
        <v>2.93</v>
      </c>
      <c r="F39" s="409">
        <v>10.56</v>
      </c>
      <c r="G39" s="409">
        <f t="shared" si="0"/>
        <v>134.47248000000002</v>
      </c>
      <c r="H39" s="409">
        <f t="shared" si="1"/>
        <v>147.96248000000003</v>
      </c>
      <c r="I39" s="410">
        <f t="shared" si="2"/>
        <v>13.052923200000002</v>
      </c>
      <c r="J39" s="410">
        <v>0.15</v>
      </c>
      <c r="K39" s="410">
        <f t="shared" si="3"/>
        <v>7.3981240000000019</v>
      </c>
      <c r="L39" s="411">
        <f t="shared" si="4"/>
        <v>1.4796248000000003</v>
      </c>
      <c r="M39" s="411">
        <f t="shared" si="5"/>
        <v>125.88180800000002</v>
      </c>
      <c r="N39" s="411">
        <f t="shared" si="6"/>
        <v>2.93</v>
      </c>
      <c r="O39" s="411">
        <f t="shared" si="7"/>
        <v>22.080672000000003</v>
      </c>
      <c r="P39" s="412"/>
      <c r="Q39" s="412" t="s">
        <v>425</v>
      </c>
      <c r="R39" s="412" t="s">
        <v>426</v>
      </c>
      <c r="S39" s="412"/>
      <c r="T39" s="412"/>
      <c r="U39" s="412"/>
      <c r="V39" s="412"/>
      <c r="W39" s="327"/>
      <c r="X39" s="327"/>
      <c r="Y39" s="327"/>
      <c r="Z39" s="327"/>
    </row>
    <row r="40" spans="1:26" s="5" customFormat="1">
      <c r="A40" s="404"/>
      <c r="B40" s="407" t="str">
        <f>'1-συμβολαια'!C40</f>
        <v>ΧΡΗΣΙΚΤΗΣΙΑ οικοπέδου = 1949 πατρός ΔΩΡΕΑ άτυπη</v>
      </c>
      <c r="C40" s="411">
        <f>'1-συμβολαια'!D40</f>
        <v>4444</v>
      </c>
      <c r="D40" s="409"/>
      <c r="E40" s="409">
        <v>2.93</v>
      </c>
      <c r="F40" s="409">
        <v>10.56</v>
      </c>
      <c r="G40" s="409">
        <f t="shared" si="0"/>
        <v>49.102080000000001</v>
      </c>
      <c r="H40" s="409">
        <f t="shared" si="1"/>
        <v>62.592080000000003</v>
      </c>
      <c r="I40" s="410">
        <f t="shared" si="2"/>
        <v>5.3695871999999998</v>
      </c>
      <c r="J40" s="410">
        <v>0.15</v>
      </c>
      <c r="K40" s="410">
        <f t="shared" si="3"/>
        <v>3.1296040000000005</v>
      </c>
      <c r="L40" s="411">
        <f t="shared" si="4"/>
        <v>0.62592080000000005</v>
      </c>
      <c r="M40" s="411">
        <f t="shared" si="5"/>
        <v>53.316968000000003</v>
      </c>
      <c r="N40" s="411">
        <f t="shared" si="6"/>
        <v>2.93</v>
      </c>
      <c r="O40" s="411">
        <f t="shared" si="7"/>
        <v>9.275112</v>
      </c>
      <c r="P40" s="412"/>
      <c r="Q40" s="412"/>
      <c r="R40" s="412"/>
      <c r="S40" s="412"/>
      <c r="T40" s="412"/>
      <c r="U40" s="412"/>
      <c r="V40" s="412"/>
      <c r="W40" s="327"/>
      <c r="X40" s="327"/>
      <c r="Y40" s="327"/>
      <c r="Z40" s="327"/>
    </row>
    <row r="41" spans="1:26" s="5" customFormat="1">
      <c r="A41" s="404">
        <f>'1-συμβολαια'!A41</f>
        <v>0</v>
      </c>
      <c r="B41" s="407" t="str">
        <f>'1-συμβολαια'!C41</f>
        <v>ΧΡΗΣΙΚΤΗΣΙΑ αγροτεμαχίων = 1963 αγοραπωλησίας ΒΑΣΕΙ προσυμφώνου ΜΗ εκτελεσθέντος</v>
      </c>
      <c r="C41" s="411">
        <f>'1-συμβολαια'!D41</f>
        <v>1111</v>
      </c>
      <c r="D41" s="409"/>
      <c r="E41" s="409">
        <v>2.93</v>
      </c>
      <c r="F41" s="409">
        <v>10.56</v>
      </c>
      <c r="G41" s="409">
        <f t="shared" si="0"/>
        <v>9.1060799999999986</v>
      </c>
      <c r="H41" s="409">
        <f t="shared" si="1"/>
        <v>22.596080000000001</v>
      </c>
      <c r="I41" s="410">
        <f t="shared" si="2"/>
        <v>1.7699472000000001</v>
      </c>
      <c r="J41" s="410">
        <v>0.15</v>
      </c>
      <c r="K41" s="410">
        <f t="shared" si="3"/>
        <v>1.129804</v>
      </c>
      <c r="L41" s="411">
        <f t="shared" si="4"/>
        <v>0.22596080000000002</v>
      </c>
      <c r="M41" s="411">
        <f t="shared" si="5"/>
        <v>19.320368000000002</v>
      </c>
      <c r="N41" s="411">
        <f t="shared" si="6"/>
        <v>2.93</v>
      </c>
      <c r="O41" s="411">
        <f t="shared" si="7"/>
        <v>3.2757120000000004</v>
      </c>
      <c r="P41" s="412"/>
      <c r="Q41" s="412"/>
      <c r="R41" s="412"/>
      <c r="S41" s="412"/>
      <c r="T41" s="412"/>
      <c r="U41" s="412"/>
      <c r="V41" s="412"/>
      <c r="W41" s="327"/>
      <c r="X41" s="327"/>
      <c r="Y41" s="327"/>
      <c r="Z41" s="327"/>
    </row>
    <row r="42" spans="1:26" s="5" customFormat="1">
      <c r="A42" s="538">
        <f>'1-συμβολαια'!A42</f>
        <v>4625</v>
      </c>
      <c r="B42" s="407" t="str">
        <f>'1-συμβολαια'!C42</f>
        <v>*γονική ΨΙΛΗΣ ΚΥΡΙΟΤΗΤΑΣ</v>
      </c>
      <c r="C42" s="411">
        <f>'1-συμβολαια'!D42</f>
        <v>3061.77</v>
      </c>
      <c r="D42" s="409"/>
      <c r="E42" s="409">
        <v>2.93</v>
      </c>
      <c r="F42" s="409">
        <v>10.56</v>
      </c>
      <c r="G42" s="409">
        <f t="shared" si="0"/>
        <v>32.515320000000003</v>
      </c>
      <c r="H42" s="409">
        <f t="shared" si="1"/>
        <v>46.005320000000005</v>
      </c>
      <c r="I42" s="410">
        <f t="shared" si="2"/>
        <v>3.8767788000000003</v>
      </c>
      <c r="J42" s="410">
        <v>0.15</v>
      </c>
      <c r="K42" s="410">
        <f t="shared" si="3"/>
        <v>2.3002660000000001</v>
      </c>
      <c r="L42" s="411">
        <f t="shared" si="4"/>
        <v>0.46005320000000005</v>
      </c>
      <c r="M42" s="411">
        <f t="shared" si="5"/>
        <v>39.218222000000004</v>
      </c>
      <c r="N42" s="411">
        <f t="shared" si="6"/>
        <v>2.93</v>
      </c>
      <c r="O42" s="411">
        <f t="shared" si="7"/>
        <v>6.7870980000000012</v>
      </c>
      <c r="P42" s="412"/>
      <c r="Q42" s="412" t="s">
        <v>425</v>
      </c>
      <c r="R42" s="412" t="s">
        <v>426</v>
      </c>
      <c r="S42" s="412"/>
      <c r="T42" s="412"/>
      <c r="U42" s="412"/>
      <c r="V42" s="412"/>
      <c r="W42" s="327"/>
      <c r="X42" s="327"/>
      <c r="Y42" s="327"/>
      <c r="Z42" s="327"/>
    </row>
    <row r="43" spans="1:26" s="5" customFormat="1">
      <c r="A43" s="538">
        <f>'1-συμβολαια'!A43</f>
        <v>0</v>
      </c>
      <c r="B43" s="407" t="str">
        <f>'1-συμβολαια'!C43</f>
        <v>ΧΡΗΣΙΚΤΗΣΙΑ αγροτεμαχίου = 19?? πατρός ΔΩΡΕΑ άτυπη</v>
      </c>
      <c r="C43" s="411">
        <f>'1-συμβολαια'!D43</f>
        <v>1111</v>
      </c>
      <c r="D43" s="409"/>
      <c r="E43" s="409">
        <v>2.93</v>
      </c>
      <c r="F43" s="409">
        <v>10.56</v>
      </c>
      <c r="G43" s="409">
        <f t="shared" si="0"/>
        <v>9.1060799999999986</v>
      </c>
      <c r="H43" s="409">
        <f t="shared" si="1"/>
        <v>22.596080000000001</v>
      </c>
      <c r="I43" s="410">
        <f t="shared" si="2"/>
        <v>1.7699472000000001</v>
      </c>
      <c r="J43" s="410">
        <v>0.15</v>
      </c>
      <c r="K43" s="410">
        <f t="shared" si="3"/>
        <v>1.129804</v>
      </c>
      <c r="L43" s="411">
        <f t="shared" si="4"/>
        <v>0.22596080000000002</v>
      </c>
      <c r="M43" s="411">
        <f t="shared" si="5"/>
        <v>19.320368000000002</v>
      </c>
      <c r="N43" s="411">
        <f t="shared" si="6"/>
        <v>2.93</v>
      </c>
      <c r="O43" s="411">
        <f t="shared" si="7"/>
        <v>3.2757120000000004</v>
      </c>
      <c r="P43" s="412"/>
      <c r="Q43" s="412"/>
      <c r="R43" s="412"/>
      <c r="S43" s="412"/>
      <c r="T43" s="412"/>
      <c r="U43" s="412"/>
      <c r="V43" s="412"/>
      <c r="W43" s="327"/>
      <c r="X43" s="327"/>
      <c r="Y43" s="327"/>
      <c r="Z43" s="327"/>
    </row>
    <row r="44" spans="1:26" s="5" customFormat="1">
      <c r="A44" s="404">
        <f>'1-συμβολαια'!A44</f>
        <v>4626</v>
      </c>
      <c r="B44" s="407" t="str">
        <f>'1-συμβολαια'!C44</f>
        <v>*γονική ΨΙΛΗΣ ΚΥΡΙΟΤΗΤΑΣ</v>
      </c>
      <c r="C44" s="411">
        <f>'1-συμβολαια'!D44</f>
        <v>5079.72</v>
      </c>
      <c r="D44" s="409"/>
      <c r="E44" s="409">
        <v>2.93</v>
      </c>
      <c r="F44" s="409">
        <v>10.56</v>
      </c>
      <c r="G44" s="409">
        <f t="shared" si="0"/>
        <v>56.730720000000005</v>
      </c>
      <c r="H44" s="409">
        <f t="shared" si="1"/>
        <v>70.22072</v>
      </c>
      <c r="I44" s="410">
        <f t="shared" si="2"/>
        <v>6.0561648000000003</v>
      </c>
      <c r="J44" s="410">
        <v>0.15</v>
      </c>
      <c r="K44" s="410">
        <f t="shared" si="3"/>
        <v>3.5110360000000003</v>
      </c>
      <c r="L44" s="411">
        <f t="shared" si="4"/>
        <v>0.70220720000000003</v>
      </c>
      <c r="M44" s="411">
        <f t="shared" si="5"/>
        <v>59.801311999999996</v>
      </c>
      <c r="N44" s="411">
        <f t="shared" si="6"/>
        <v>2.93</v>
      </c>
      <c r="O44" s="411">
        <f t="shared" si="7"/>
        <v>10.419408000000001</v>
      </c>
      <c r="P44" s="412"/>
      <c r="Q44" s="412" t="s">
        <v>425</v>
      </c>
      <c r="R44" s="412" t="s">
        <v>426</v>
      </c>
      <c r="S44" s="412"/>
      <c r="T44" s="412"/>
      <c r="U44" s="412"/>
      <c r="V44" s="412"/>
      <c r="W44" s="327"/>
      <c r="X44" s="327"/>
      <c r="Y44" s="327"/>
      <c r="Z44" s="327"/>
    </row>
    <row r="45" spans="1:26" s="5" customFormat="1">
      <c r="A45" s="404">
        <f>'1-συμβολαια'!A45</f>
        <v>0</v>
      </c>
      <c r="B45" s="407" t="str">
        <f>'1-συμβολαια'!C45</f>
        <v>ΧΡΗΣΙΚΤΗΣΙΑ αγροτεμαχίου = 1979 ΑΝΑΔΑΣΜΟΣ</v>
      </c>
      <c r="C45" s="411">
        <f>'1-συμβολαια'!D45</f>
        <v>1111</v>
      </c>
      <c r="D45" s="409"/>
      <c r="E45" s="409">
        <v>2.93</v>
      </c>
      <c r="F45" s="409">
        <v>10.56</v>
      </c>
      <c r="G45" s="409">
        <f t="shared" si="0"/>
        <v>9.1060799999999986</v>
      </c>
      <c r="H45" s="409">
        <f t="shared" si="1"/>
        <v>22.596080000000001</v>
      </c>
      <c r="I45" s="410">
        <f t="shared" si="2"/>
        <v>1.7699472000000001</v>
      </c>
      <c r="J45" s="410">
        <v>0.15</v>
      </c>
      <c r="K45" s="410">
        <f t="shared" si="3"/>
        <v>1.129804</v>
      </c>
      <c r="L45" s="411">
        <f t="shared" si="4"/>
        <v>0.22596080000000002</v>
      </c>
      <c r="M45" s="411">
        <f t="shared" si="5"/>
        <v>19.320368000000002</v>
      </c>
      <c r="N45" s="411">
        <f t="shared" si="6"/>
        <v>2.93</v>
      </c>
      <c r="O45" s="411">
        <f t="shared" si="7"/>
        <v>3.2757120000000004</v>
      </c>
      <c r="P45" s="412"/>
      <c r="Q45" s="412"/>
      <c r="R45" s="412"/>
      <c r="S45" s="412"/>
      <c r="T45" s="412"/>
      <c r="U45" s="412"/>
      <c r="V45" s="412"/>
      <c r="W45" s="327"/>
      <c r="X45" s="327"/>
      <c r="Y45" s="327"/>
      <c r="Z45" s="327"/>
    </row>
    <row r="46" spans="1:26" s="5" customFormat="1">
      <c r="A46" s="404">
        <f>'1-συμβολαια'!A46</f>
        <v>0</v>
      </c>
      <c r="B46" s="407" t="str">
        <f>'1-συμβολαια'!C46</f>
        <v>ΧΡΗΣΙΚΤΗΣΙΑ αγροτεμαχίων = 1957 τακοΑναστασιο ΑΓΟΡΑΠΩΛΗΣΙΑ άτυπη</v>
      </c>
      <c r="C46" s="411">
        <f>'1-συμβολαια'!D46</f>
        <v>1111</v>
      </c>
      <c r="D46" s="409"/>
      <c r="E46" s="409">
        <v>2.93</v>
      </c>
      <c r="F46" s="409">
        <v>10.56</v>
      </c>
      <c r="G46" s="409">
        <f t="shared" si="0"/>
        <v>9.1060799999999986</v>
      </c>
      <c r="H46" s="409">
        <f t="shared" si="1"/>
        <v>22.596080000000001</v>
      </c>
      <c r="I46" s="410">
        <f t="shared" si="2"/>
        <v>1.7699472000000001</v>
      </c>
      <c r="J46" s="410">
        <v>0.15</v>
      </c>
      <c r="K46" s="410">
        <f t="shared" si="3"/>
        <v>1.129804</v>
      </c>
      <c r="L46" s="411">
        <f t="shared" si="4"/>
        <v>0.22596080000000002</v>
      </c>
      <c r="M46" s="411">
        <f t="shared" si="5"/>
        <v>19.320368000000002</v>
      </c>
      <c r="N46" s="411">
        <f t="shared" si="6"/>
        <v>2.93</v>
      </c>
      <c r="O46" s="411">
        <f t="shared" si="7"/>
        <v>3.2757120000000004</v>
      </c>
      <c r="P46" s="412"/>
      <c r="Q46" s="412"/>
      <c r="R46" s="412"/>
      <c r="S46" s="412"/>
      <c r="T46" s="412"/>
      <c r="U46" s="412"/>
      <c r="V46" s="412"/>
      <c r="W46" s="327"/>
      <c r="X46" s="327"/>
      <c r="Y46" s="327"/>
      <c r="Z46" s="327"/>
    </row>
    <row r="47" spans="1:26" s="5" customFormat="1">
      <c r="A47" s="538">
        <f>'1-συμβολαια'!A47</f>
        <v>4627</v>
      </c>
      <c r="B47" s="407" t="str">
        <f>'1-συμβολαια'!C47</f>
        <v>*δωρεά ΑΙΤΙΑ θανάτου</v>
      </c>
      <c r="C47" s="411">
        <f>'1-συμβολαια'!D47</f>
        <v>0</v>
      </c>
      <c r="D47" s="409">
        <v>8.8000000000000007</v>
      </c>
      <c r="E47" s="409"/>
      <c r="F47" s="409"/>
      <c r="G47" s="409"/>
      <c r="H47" s="409">
        <f t="shared" si="1"/>
        <v>8.8000000000000007</v>
      </c>
      <c r="I47" s="410">
        <f t="shared" si="2"/>
        <v>0</v>
      </c>
      <c r="J47" s="410">
        <f t="shared" si="8"/>
        <v>0.44000000000000006</v>
      </c>
      <c r="K47" s="410">
        <v>0.03</v>
      </c>
      <c r="L47" s="411">
        <f t="shared" si="4"/>
        <v>8.8000000000000009E-2</v>
      </c>
      <c r="M47" s="411">
        <f t="shared" si="5"/>
        <v>8.2420000000000009</v>
      </c>
      <c r="N47" s="411">
        <f t="shared" si="6"/>
        <v>8.8000000000000007</v>
      </c>
      <c r="O47" s="411">
        <f t="shared" si="7"/>
        <v>0.55800000000000005</v>
      </c>
      <c r="P47" s="412"/>
      <c r="Q47" s="412" t="s">
        <v>425</v>
      </c>
      <c r="R47" s="412" t="s">
        <v>426</v>
      </c>
      <c r="S47" s="412"/>
      <c r="T47" s="412"/>
      <c r="U47" s="412"/>
      <c r="V47" s="412"/>
      <c r="W47" s="327"/>
      <c r="X47" s="327"/>
      <c r="Y47" s="327"/>
      <c r="Z47" s="327"/>
    </row>
    <row r="48" spans="1:26" s="5" customFormat="1">
      <c r="A48" s="538">
        <f>'1-συμβολαια'!A48</f>
        <v>0</v>
      </c>
      <c r="B48" s="407" t="str">
        <f>'1-συμβολαια'!C48</f>
        <v>ΧΡΗΣΙΚΤΗΣΙΑ αγροτεμαχίου [νυν οικόπεδο ΜΕ οικοδομή] ] = 1970 ΑΝΑΔΑΣΜΟΣ</v>
      </c>
      <c r="C48" s="411">
        <f>'1-συμβολαια'!D48</f>
        <v>1111</v>
      </c>
      <c r="D48" s="409"/>
      <c r="E48" s="409">
        <v>2.93</v>
      </c>
      <c r="F48" s="409">
        <v>10.56</v>
      </c>
      <c r="G48" s="409">
        <f t="shared" si="0"/>
        <v>9.1060799999999986</v>
      </c>
      <c r="H48" s="409">
        <f t="shared" si="1"/>
        <v>22.596080000000001</v>
      </c>
      <c r="I48" s="410">
        <f t="shared" si="2"/>
        <v>1.7699472000000001</v>
      </c>
      <c r="J48" s="410">
        <v>0.15</v>
      </c>
      <c r="K48" s="410">
        <f t="shared" si="3"/>
        <v>1.129804</v>
      </c>
      <c r="L48" s="411">
        <f t="shared" si="4"/>
        <v>0.22596080000000002</v>
      </c>
      <c r="M48" s="411">
        <f t="shared" si="5"/>
        <v>19.320368000000002</v>
      </c>
      <c r="N48" s="411">
        <f t="shared" si="6"/>
        <v>2.93</v>
      </c>
      <c r="O48" s="411">
        <f t="shared" si="7"/>
        <v>3.2757120000000004</v>
      </c>
      <c r="P48" s="412"/>
      <c r="Q48" s="412"/>
      <c r="R48" s="412"/>
      <c r="S48" s="412"/>
      <c r="T48" s="412"/>
      <c r="U48" s="412"/>
      <c r="V48" s="412"/>
      <c r="W48" s="327"/>
      <c r="X48" s="327"/>
      <c r="Y48" s="327"/>
      <c r="Z48" s="327"/>
    </row>
    <row r="49" spans="1:26" s="5" customFormat="1">
      <c r="A49" s="538">
        <f>'1-συμβολαια'!A49</f>
        <v>0</v>
      </c>
      <c r="B49" s="407" t="str">
        <f>'1-συμβολαια'!C49</f>
        <v>*γονικής 1262  ΕΠΙΚΑΡΠΙΑ …  ΔΩΡΕΑ αιτία θανάτου</v>
      </c>
      <c r="C49" s="411">
        <f>'1-συμβολαια'!D49</f>
        <v>8888</v>
      </c>
      <c r="D49" s="409"/>
      <c r="E49" s="409">
        <v>2.93</v>
      </c>
      <c r="F49" s="409">
        <v>10.56</v>
      </c>
      <c r="G49" s="409">
        <f t="shared" si="0"/>
        <v>102.43008</v>
      </c>
      <c r="H49" s="409">
        <f t="shared" si="1"/>
        <v>115.92008</v>
      </c>
      <c r="I49" s="410">
        <f t="shared" si="2"/>
        <v>10.169107200000001</v>
      </c>
      <c r="J49" s="410">
        <v>0.15</v>
      </c>
      <c r="K49" s="410">
        <f t="shared" si="3"/>
        <v>5.7960039999999999</v>
      </c>
      <c r="L49" s="411">
        <f t="shared" si="4"/>
        <v>1.1592008</v>
      </c>
      <c r="M49" s="411">
        <f t="shared" si="5"/>
        <v>98.645768000000004</v>
      </c>
      <c r="N49" s="411">
        <f t="shared" si="6"/>
        <v>2.93</v>
      </c>
      <c r="O49" s="411">
        <f t="shared" si="7"/>
        <v>17.274312000000002</v>
      </c>
      <c r="P49" s="412"/>
      <c r="Q49" s="412"/>
      <c r="R49" s="412"/>
      <c r="S49" s="412"/>
      <c r="T49" s="412"/>
      <c r="U49" s="412"/>
      <c r="V49" s="412"/>
      <c r="W49" s="327"/>
      <c r="X49" s="327"/>
      <c r="Y49" s="327"/>
      <c r="Z49" s="327"/>
    </row>
    <row r="50" spans="1:26" s="5" customFormat="1">
      <c r="A50" s="397">
        <f>'1-συμβολαια'!A50</f>
        <v>4628</v>
      </c>
      <c r="B50" s="407" t="str">
        <f>'1-συμβολαια'!C50</f>
        <v>πληρεξούσιο</v>
      </c>
      <c r="C50" s="411">
        <f>'1-συμβολαια'!D50</f>
        <v>0</v>
      </c>
      <c r="D50" s="409">
        <v>8.8000000000000007</v>
      </c>
      <c r="E50" s="409"/>
      <c r="F50" s="409"/>
      <c r="G50" s="409"/>
      <c r="H50" s="409">
        <f t="shared" si="1"/>
        <v>8.8000000000000007</v>
      </c>
      <c r="I50" s="410">
        <f t="shared" si="2"/>
        <v>0</v>
      </c>
      <c r="J50" s="410">
        <f t="shared" si="8"/>
        <v>0.44000000000000006</v>
      </c>
      <c r="K50" s="410">
        <v>0.03</v>
      </c>
      <c r="L50" s="411">
        <f t="shared" si="4"/>
        <v>8.8000000000000009E-2</v>
      </c>
      <c r="M50" s="411">
        <f t="shared" si="5"/>
        <v>8.2420000000000009</v>
      </c>
      <c r="N50" s="411">
        <f t="shared" si="6"/>
        <v>8.8000000000000007</v>
      </c>
      <c r="O50" s="411">
        <f t="shared" si="7"/>
        <v>0.55800000000000005</v>
      </c>
      <c r="P50" s="412"/>
      <c r="Q50" s="412"/>
      <c r="R50" s="412"/>
      <c r="S50" s="412"/>
      <c r="T50" s="412"/>
      <c r="U50" s="412"/>
      <c r="V50" s="412"/>
      <c r="W50" s="327"/>
      <c r="X50" s="327"/>
      <c r="Y50" s="327"/>
      <c r="Z50" s="327"/>
    </row>
    <row r="51" spans="1:26" s="5" customFormat="1">
      <c r="A51" s="404">
        <f>'1-συμβολαια'!A51</f>
        <v>4629</v>
      </c>
      <c r="B51" s="407" t="str">
        <f>'1-συμβολαια'!C51</f>
        <v>κληρονομιάς ΑΠΟΔΟΧΗ</v>
      </c>
      <c r="C51" s="411">
        <f>'1-συμβολαια'!D51</f>
        <v>0</v>
      </c>
      <c r="D51" s="409">
        <v>29.35</v>
      </c>
      <c r="E51" s="409"/>
      <c r="F51" s="409"/>
      <c r="G51" s="409"/>
      <c r="H51" s="409">
        <f t="shared" si="1"/>
        <v>29.35</v>
      </c>
      <c r="I51" s="410">
        <f t="shared" si="2"/>
        <v>0</v>
      </c>
      <c r="J51" s="410">
        <f t="shared" si="8"/>
        <v>1.4675000000000002</v>
      </c>
      <c r="K51" s="410">
        <f t="shared" si="3"/>
        <v>1.4675000000000002</v>
      </c>
      <c r="L51" s="411">
        <f t="shared" si="4"/>
        <v>0.29350000000000004</v>
      </c>
      <c r="M51" s="411">
        <f t="shared" si="5"/>
        <v>26.121500000000001</v>
      </c>
      <c r="N51" s="411">
        <f t="shared" si="6"/>
        <v>29.35</v>
      </c>
      <c r="O51" s="411">
        <f t="shared" si="7"/>
        <v>3.2285000000000004</v>
      </c>
      <c r="P51" s="412"/>
      <c r="Q51" s="412"/>
      <c r="R51" s="412"/>
      <c r="S51" s="412"/>
      <c r="T51" s="412"/>
      <c r="U51" s="412"/>
      <c r="V51" s="412"/>
      <c r="W51" s="327"/>
      <c r="X51" s="327"/>
      <c r="Y51" s="327"/>
      <c r="Z51" s="327"/>
    </row>
    <row r="52" spans="1:26" s="5" customFormat="1">
      <c r="A52" s="404">
        <f>'1-συμβολαια'!A52</f>
        <v>0</v>
      </c>
      <c r="B52" s="407" t="str">
        <f>'1-συμβολαια'!C52</f>
        <v>ΧΡΗΣΙΚΤΗΣΙΑ αγροτεμαχίου = 1980 πατρός ΚΛΗΡΟΝΟΜΙΑ άτυπη</v>
      </c>
      <c r="C52" s="411">
        <f>'1-συμβολαια'!D52</f>
        <v>1111</v>
      </c>
      <c r="D52" s="409"/>
      <c r="E52" s="409">
        <v>2.93</v>
      </c>
      <c r="F52" s="409">
        <v>10.56</v>
      </c>
      <c r="G52" s="409">
        <f t="shared" si="0"/>
        <v>9.1060799999999986</v>
      </c>
      <c r="H52" s="409">
        <f t="shared" si="1"/>
        <v>22.596080000000001</v>
      </c>
      <c r="I52" s="410">
        <f t="shared" si="2"/>
        <v>1.7699472000000001</v>
      </c>
      <c r="J52" s="410">
        <f t="shared" si="8"/>
        <v>1.129804</v>
      </c>
      <c r="K52" s="410">
        <f t="shared" si="3"/>
        <v>1.129804</v>
      </c>
      <c r="L52" s="411">
        <f t="shared" si="4"/>
        <v>0.22596080000000002</v>
      </c>
      <c r="M52" s="411">
        <f t="shared" si="5"/>
        <v>18.340564000000001</v>
      </c>
      <c r="N52" s="411">
        <f t="shared" si="6"/>
        <v>2.93</v>
      </c>
      <c r="O52" s="411">
        <f t="shared" si="7"/>
        <v>4.2555160000000001</v>
      </c>
      <c r="P52" s="412"/>
      <c r="Q52" s="412"/>
      <c r="R52" s="412"/>
      <c r="S52" s="412"/>
      <c r="T52" s="412"/>
      <c r="U52" s="412"/>
      <c r="V52" s="412"/>
      <c r="W52" s="327"/>
      <c r="X52" s="327"/>
      <c r="Y52" s="327"/>
      <c r="Z52" s="327"/>
    </row>
    <row r="53" spans="1:26" s="5" customFormat="1">
      <c r="A53" s="404">
        <f>'1-συμβολαια'!A53</f>
        <v>0</v>
      </c>
      <c r="B53" s="407" t="str">
        <f>'1-συμβολαια'!C53</f>
        <v>ΧΡΗΣΙΚΤΗΣΙΑ αγροτεμαχίου = 1980 ΔΙΑΝΟΜΗ άτυπη</v>
      </c>
      <c r="C53" s="411">
        <f>'1-συμβολαια'!D53</f>
        <v>11</v>
      </c>
      <c r="D53" s="409">
        <v>8.8000000000000007</v>
      </c>
      <c r="E53" s="409"/>
      <c r="F53" s="409"/>
      <c r="G53" s="409"/>
      <c r="H53" s="409">
        <f t="shared" si="1"/>
        <v>8.8000000000000007</v>
      </c>
      <c r="I53" s="410">
        <f t="shared" si="2"/>
        <v>0</v>
      </c>
      <c r="J53" s="410">
        <v>0.44</v>
      </c>
      <c r="K53" s="410">
        <v>0.03</v>
      </c>
      <c r="L53" s="411">
        <f t="shared" si="4"/>
        <v>8.8000000000000009E-2</v>
      </c>
      <c r="M53" s="411">
        <f t="shared" si="5"/>
        <v>8.2420000000000009</v>
      </c>
      <c r="N53" s="411">
        <f t="shared" si="6"/>
        <v>8.8000000000000007</v>
      </c>
      <c r="O53" s="411">
        <f t="shared" si="7"/>
        <v>0.55799999999999994</v>
      </c>
      <c r="P53" s="412"/>
      <c r="Q53" s="412"/>
      <c r="R53" s="412"/>
      <c r="S53" s="412"/>
      <c r="T53" s="412"/>
      <c r="U53" s="412"/>
      <c r="V53" s="412"/>
      <c r="W53" s="327"/>
      <c r="X53" s="327"/>
      <c r="Y53" s="327"/>
      <c r="Z53" s="327"/>
    </row>
    <row r="54" spans="1:26" s="5" customFormat="1">
      <c r="A54" s="538">
        <f>'1-συμβολαια'!A54</f>
        <v>4630</v>
      </c>
      <c r="B54" s="407" t="str">
        <f>'1-συμβολαια'!C54</f>
        <v xml:space="preserve">αγοραπωλησίας ΠΡΟΣΥΜΦΩΝΟ τίμημα = αρραβών = </v>
      </c>
      <c r="C54" s="411">
        <f>'1-συμβολαια'!D54</f>
        <v>8804.1</v>
      </c>
      <c r="D54" s="409"/>
      <c r="E54" s="409">
        <v>2.93</v>
      </c>
      <c r="F54" s="409">
        <v>10.56</v>
      </c>
      <c r="G54" s="409">
        <f t="shared" si="0"/>
        <v>101.42328000000001</v>
      </c>
      <c r="H54" s="409">
        <f t="shared" si="1"/>
        <v>114.91328</v>
      </c>
      <c r="I54" s="410">
        <f t="shared" si="2"/>
        <v>10.078495200000001</v>
      </c>
      <c r="J54" s="410">
        <v>0.15</v>
      </c>
      <c r="K54" s="410">
        <f t="shared" si="3"/>
        <v>5.7456640000000005</v>
      </c>
      <c r="L54" s="411">
        <f t="shared" si="4"/>
        <v>1.1491328000000001</v>
      </c>
      <c r="M54" s="411">
        <f t="shared" si="5"/>
        <v>97.789987999999994</v>
      </c>
      <c r="N54" s="411">
        <f t="shared" si="6"/>
        <v>2.93</v>
      </c>
      <c r="O54" s="411">
        <f t="shared" si="7"/>
        <v>17.123292000000003</v>
      </c>
      <c r="P54" s="412"/>
      <c r="Q54" s="412" t="s">
        <v>425</v>
      </c>
      <c r="R54" s="412" t="s">
        <v>426</v>
      </c>
      <c r="S54" s="412"/>
      <c r="T54" s="412"/>
      <c r="U54" s="412"/>
      <c r="V54" s="412"/>
      <c r="W54" s="327"/>
      <c r="X54" s="327"/>
      <c r="Y54" s="327"/>
      <c r="Z54" s="327"/>
    </row>
    <row r="55" spans="1:26" s="5" customFormat="1">
      <c r="A55" s="538">
        <f>'1-συμβολαια'!A55</f>
        <v>0</v>
      </c>
      <c r="B55" s="407" t="str">
        <f>'1-συμβολαια'!C55</f>
        <v>ΧΡΗΣΙΚΤΗΣΙΑ αγροτεμαχίου = 1970 συζύγου ΔΩΡΕΑ άτυπη</v>
      </c>
      <c r="C55" s="411">
        <f>'1-συμβολαια'!D55</f>
        <v>5555</v>
      </c>
      <c r="D55" s="409"/>
      <c r="E55" s="409">
        <v>2.93</v>
      </c>
      <c r="F55" s="409">
        <v>10.56</v>
      </c>
      <c r="G55" s="409">
        <f t="shared" si="0"/>
        <v>62.434080000000002</v>
      </c>
      <c r="H55" s="409">
        <f t="shared" si="1"/>
        <v>75.924080000000004</v>
      </c>
      <c r="I55" s="410">
        <f t="shared" si="2"/>
        <v>6.5694671999999992</v>
      </c>
      <c r="J55" s="410">
        <v>0.15</v>
      </c>
      <c r="K55" s="410">
        <f t="shared" si="3"/>
        <v>3.7962040000000004</v>
      </c>
      <c r="L55" s="411">
        <f t="shared" si="4"/>
        <v>0.75924080000000005</v>
      </c>
      <c r="M55" s="411">
        <f t="shared" si="5"/>
        <v>64.649168000000003</v>
      </c>
      <c r="N55" s="411">
        <f t="shared" si="6"/>
        <v>2.93</v>
      </c>
      <c r="O55" s="411">
        <f t="shared" si="7"/>
        <v>11.274912</v>
      </c>
      <c r="P55" s="412"/>
      <c r="Q55" s="412"/>
      <c r="R55" s="412"/>
      <c r="S55" s="412"/>
      <c r="T55" s="412"/>
      <c r="U55" s="412"/>
      <c r="V55" s="412"/>
      <c r="W55" s="327"/>
      <c r="X55" s="327"/>
      <c r="Y55" s="327"/>
      <c r="Z55" s="327"/>
    </row>
    <row r="56" spans="1:26" s="5" customFormat="1">
      <c r="A56" s="397">
        <f>'1-συμβολαια'!A56</f>
        <v>4631</v>
      </c>
      <c r="B56" s="407" t="str">
        <f>'1-συμβολαια'!C56</f>
        <v>αγοραπωλησίας 4.191 ΕΞΟΦΛΗΣΗ</v>
      </c>
      <c r="C56" s="411">
        <f>'1-συμβολαια'!D56</f>
        <v>0</v>
      </c>
      <c r="D56" s="409">
        <v>8.8000000000000007</v>
      </c>
      <c r="E56" s="409"/>
      <c r="F56" s="409"/>
      <c r="G56" s="409"/>
      <c r="H56" s="409">
        <f t="shared" si="1"/>
        <v>8.8000000000000007</v>
      </c>
      <c r="I56" s="410">
        <f t="shared" si="2"/>
        <v>0</v>
      </c>
      <c r="J56" s="410">
        <f t="shared" si="8"/>
        <v>0.44000000000000006</v>
      </c>
      <c r="K56" s="410">
        <v>0.03</v>
      </c>
      <c r="L56" s="411">
        <f t="shared" si="4"/>
        <v>8.8000000000000009E-2</v>
      </c>
      <c r="M56" s="411">
        <f t="shared" si="5"/>
        <v>8.2420000000000009</v>
      </c>
      <c r="N56" s="411">
        <f t="shared" si="6"/>
        <v>8.8000000000000007</v>
      </c>
      <c r="O56" s="411">
        <f t="shared" si="7"/>
        <v>0.55800000000000005</v>
      </c>
      <c r="P56" s="412"/>
      <c r="Q56" s="412" t="s">
        <v>425</v>
      </c>
      <c r="R56" s="412" t="s">
        <v>426</v>
      </c>
      <c r="S56" s="412"/>
      <c r="T56" s="412"/>
      <c r="U56" s="412"/>
      <c r="V56" s="412"/>
      <c r="W56" s="327"/>
      <c r="X56" s="327"/>
      <c r="Y56" s="327"/>
      <c r="Z56" s="327"/>
    </row>
    <row r="57" spans="1:26" s="5" customFormat="1">
      <c r="A57" s="397"/>
      <c r="B57" s="407"/>
      <c r="C57" s="411"/>
      <c r="D57" s="409"/>
      <c r="E57" s="409"/>
      <c r="F57" s="409"/>
      <c r="G57" s="409"/>
      <c r="H57" s="409"/>
      <c r="I57" s="410"/>
      <c r="J57" s="410"/>
      <c r="K57" s="410"/>
      <c r="L57" s="411"/>
      <c r="M57" s="411"/>
      <c r="N57" s="411"/>
      <c r="O57" s="411"/>
      <c r="P57" s="412"/>
      <c r="Q57" s="412"/>
      <c r="R57" s="412"/>
      <c r="S57" s="412"/>
      <c r="T57" s="412"/>
      <c r="U57" s="412"/>
      <c r="V57" s="412"/>
      <c r="W57" s="327"/>
      <c r="X57" s="327"/>
      <c r="Y57" s="327"/>
      <c r="Z57" s="327"/>
    </row>
    <row r="58" spans="1:26" s="5" customFormat="1">
      <c r="A58" s="397"/>
      <c r="B58" s="407"/>
      <c r="C58" s="411"/>
      <c r="D58" s="409"/>
      <c r="E58" s="409"/>
      <c r="F58" s="409"/>
      <c r="G58" s="409"/>
      <c r="H58" s="409"/>
      <c r="I58" s="410"/>
      <c r="J58" s="410"/>
      <c r="K58" s="410"/>
      <c r="L58" s="411"/>
      <c r="M58" s="411"/>
      <c r="N58" s="411"/>
      <c r="O58" s="411"/>
      <c r="P58" s="412"/>
      <c r="Q58" s="412"/>
      <c r="R58" s="412"/>
      <c r="S58" s="412"/>
      <c r="T58" s="412"/>
      <c r="U58" s="412"/>
      <c r="V58" s="412"/>
      <c r="W58" s="327"/>
      <c r="X58" s="327"/>
      <c r="Y58" s="327"/>
      <c r="Z58" s="327"/>
    </row>
    <row r="59" spans="1:26">
      <c r="A59" s="595" t="s">
        <v>56</v>
      </c>
      <c r="B59" s="596"/>
      <c r="C59" s="596"/>
      <c r="D59" s="41">
        <f t="shared" ref="D59:O59" si="9">SUM(D3:D58)</f>
        <v>446.01000000000005</v>
      </c>
      <c r="E59" s="41">
        <f t="shared" si="9"/>
        <v>96.690000000000083</v>
      </c>
      <c r="F59" s="41">
        <f t="shared" si="9"/>
        <v>348.48</v>
      </c>
      <c r="G59" s="41">
        <f t="shared" si="9"/>
        <v>2368.2278400000005</v>
      </c>
      <c r="H59" s="41">
        <f t="shared" si="9"/>
        <v>3259.4078399999999</v>
      </c>
      <c r="I59" s="41">
        <f t="shared" si="9"/>
        <v>244.50370559999996</v>
      </c>
      <c r="J59" s="41">
        <f t="shared" si="9"/>
        <v>38.758145999999975</v>
      </c>
      <c r="K59" s="41">
        <f t="shared" si="9"/>
        <v>142.38555000000002</v>
      </c>
      <c r="L59" s="41">
        <f t="shared" si="9"/>
        <v>32.594078400000008</v>
      </c>
      <c r="M59" s="41">
        <f t="shared" si="9"/>
        <v>2801.166360000002</v>
      </c>
      <c r="N59" s="41">
        <f t="shared" si="9"/>
        <v>542.69999999999993</v>
      </c>
      <c r="O59" s="41">
        <f t="shared" si="9"/>
        <v>458.2414799999998</v>
      </c>
    </row>
    <row r="60" spans="1:26">
      <c r="I60" s="8" t="s">
        <v>417</v>
      </c>
      <c r="J60" s="349" t="s">
        <v>81</v>
      </c>
      <c r="K60" s="196">
        <v>0.03</v>
      </c>
      <c r="L60" s="8" t="s">
        <v>81</v>
      </c>
      <c r="P60" s="184" t="s">
        <v>407</v>
      </c>
      <c r="Q60" s="155"/>
      <c r="R60" s="155"/>
      <c r="S60" s="155"/>
      <c r="T60" s="155"/>
      <c r="U60" s="155"/>
      <c r="V60" s="155"/>
      <c r="W60" s="155"/>
      <c r="X60" s="155"/>
      <c r="Y60" s="155"/>
    </row>
    <row r="61" spans="1:26">
      <c r="I61" s="196">
        <v>0.15</v>
      </c>
      <c r="J61" s="196">
        <v>0.44</v>
      </c>
      <c r="K61" s="196">
        <v>0.15</v>
      </c>
      <c r="L61" s="8" t="s">
        <v>418</v>
      </c>
      <c r="P61" s="166"/>
      <c r="Q61" s="184" t="s">
        <v>408</v>
      </c>
      <c r="R61" s="155"/>
      <c r="S61" s="155"/>
      <c r="T61" s="155"/>
      <c r="U61" s="155"/>
      <c r="V61" s="155"/>
      <c r="W61" s="155"/>
      <c r="X61" s="155"/>
      <c r="Y61" s="166"/>
    </row>
    <row r="62" spans="1:26">
      <c r="P62" s="166"/>
      <c r="Q62" s="166"/>
      <c r="R62" s="155" t="s">
        <v>409</v>
      </c>
      <c r="S62" s="166"/>
      <c r="T62" s="166"/>
      <c r="U62" s="166"/>
      <c r="V62" s="166"/>
      <c r="W62" s="166"/>
      <c r="X62" s="166"/>
      <c r="Y62" s="166"/>
    </row>
    <row r="63" spans="1:26">
      <c r="P63" s="166"/>
      <c r="Q63" s="166"/>
      <c r="R63" s="166"/>
      <c r="S63" s="184" t="s">
        <v>410</v>
      </c>
      <c r="T63" s="166"/>
      <c r="U63" s="166"/>
      <c r="V63" s="166"/>
      <c r="W63" s="166"/>
      <c r="X63" s="166"/>
      <c r="Y63" s="166"/>
    </row>
    <row r="64" spans="1:26">
      <c r="P64" s="166"/>
      <c r="Q64" s="166"/>
      <c r="R64" s="166"/>
      <c r="S64" s="166"/>
      <c r="T64" s="155" t="s">
        <v>411</v>
      </c>
      <c r="U64" s="166"/>
      <c r="V64" s="166"/>
      <c r="W64" s="166"/>
      <c r="X64" s="166"/>
      <c r="Y64" s="166"/>
    </row>
    <row r="65" spans="2:26">
      <c r="P65" s="166"/>
      <c r="Q65" s="166"/>
      <c r="R65" s="155"/>
      <c r="S65" s="155"/>
      <c r="T65" s="166"/>
      <c r="U65" s="184" t="s">
        <v>412</v>
      </c>
      <c r="V65" s="166"/>
      <c r="W65" s="155"/>
      <c r="X65" s="155"/>
      <c r="Y65" s="155"/>
      <c r="Z65" s="155"/>
    </row>
    <row r="66" spans="2:26">
      <c r="P66" s="166"/>
      <c r="Q66" s="166"/>
      <c r="R66" s="155"/>
      <c r="S66" s="155"/>
      <c r="T66" s="166"/>
      <c r="U66" s="166"/>
      <c r="V66" s="155" t="s">
        <v>413</v>
      </c>
      <c r="W66" s="155"/>
      <c r="X66" s="155"/>
      <c r="Y66" s="155"/>
      <c r="Z66" s="166"/>
    </row>
    <row r="67" spans="2:26" ht="15.75">
      <c r="B67" s="350" t="s">
        <v>553</v>
      </c>
      <c r="C67" s="424"/>
      <c r="D67" s="168"/>
      <c r="E67" s="168"/>
      <c r="F67" s="168"/>
      <c r="G67" s="168"/>
      <c r="H67" s="168"/>
      <c r="I67" s="168"/>
      <c r="J67" s="168"/>
      <c r="K67" s="168"/>
      <c r="L67" s="168"/>
      <c r="M67" s="168"/>
      <c r="N67" s="168"/>
      <c r="O67" s="168"/>
      <c r="P67" s="351">
        <v>0.15</v>
      </c>
      <c r="Q67" s="352">
        <v>2.93</v>
      </c>
      <c r="R67" s="5" t="s">
        <v>419</v>
      </c>
      <c r="S67" s="3"/>
      <c r="T67" s="353">
        <f>Q67-P67</f>
        <v>2.7800000000000002</v>
      </c>
      <c r="U67" s="166"/>
      <c r="V67" s="166"/>
      <c r="W67" s="166"/>
      <c r="X67" s="166"/>
      <c r="Y67" s="166"/>
      <c r="Z67" s="166"/>
    </row>
    <row r="68" spans="2:26" ht="15.75">
      <c r="B68" s="168"/>
      <c r="C68" s="250" t="s">
        <v>556</v>
      </c>
      <c r="D68" s="354"/>
      <c r="E68" s="354"/>
      <c r="F68" s="354"/>
      <c r="G68" s="355"/>
      <c r="H68" s="355"/>
      <c r="I68" s="355"/>
      <c r="J68" s="355"/>
      <c r="K68" s="355"/>
      <c r="L68" s="355"/>
      <c r="M68" s="355"/>
      <c r="N68" s="355"/>
      <c r="P68" s="196">
        <v>0.44</v>
      </c>
      <c r="Q68" s="349">
        <v>0.56000000000000005</v>
      </c>
      <c r="R68" s="3" t="s">
        <v>420</v>
      </c>
      <c r="S68" s="3"/>
      <c r="T68" s="353">
        <f>Q68-P68</f>
        <v>0.12000000000000005</v>
      </c>
    </row>
    <row r="69" spans="2:26" ht="15.75">
      <c r="B69" s="356"/>
      <c r="C69" s="357"/>
      <c r="D69" s="358" t="s">
        <v>554</v>
      </c>
      <c r="E69" s="358"/>
      <c r="F69" s="358"/>
      <c r="G69" s="358"/>
      <c r="H69" s="359"/>
      <c r="I69" s="359"/>
      <c r="J69" s="359"/>
      <c r="K69" s="359"/>
      <c r="L69" s="359"/>
      <c r="M69" s="359"/>
      <c r="O69" s="360">
        <v>0.05</v>
      </c>
      <c r="P69" s="8"/>
      <c r="Q69" s="4">
        <v>0.73</v>
      </c>
      <c r="R69" s="5" t="s">
        <v>145</v>
      </c>
      <c r="S69" s="3"/>
      <c r="T69" s="5"/>
    </row>
    <row r="70" spans="2:26" ht="15.75">
      <c r="B70" s="356"/>
      <c r="C70" s="357"/>
      <c r="D70" s="357"/>
      <c r="E70" s="357"/>
      <c r="F70" s="357"/>
      <c r="G70" s="357"/>
      <c r="H70" s="357"/>
      <c r="I70" s="361"/>
      <c r="J70" s="361"/>
      <c r="K70" s="361"/>
      <c r="L70" s="361"/>
      <c r="M70" s="69"/>
      <c r="O70" s="360">
        <v>0.05</v>
      </c>
      <c r="P70" s="8"/>
      <c r="Q70" s="4">
        <v>1.47</v>
      </c>
      <c r="R70" s="3" t="s">
        <v>421</v>
      </c>
      <c r="S70" s="3"/>
      <c r="T70" s="3"/>
    </row>
    <row r="71" spans="2:26" ht="15.75">
      <c r="B71" s="356"/>
      <c r="C71" s="425" t="s">
        <v>61</v>
      </c>
      <c r="D71" s="256"/>
      <c r="E71" s="355"/>
      <c r="F71" s="355"/>
      <c r="G71" s="361"/>
      <c r="H71" s="361"/>
      <c r="I71" s="361"/>
      <c r="J71" s="362"/>
      <c r="K71" s="357"/>
      <c r="L71" s="357"/>
      <c r="M71" s="361"/>
      <c r="O71" s="360">
        <v>0.05</v>
      </c>
      <c r="P71" s="8"/>
      <c r="Q71" s="4">
        <v>3.99</v>
      </c>
      <c r="R71" s="5" t="s">
        <v>422</v>
      </c>
      <c r="S71" s="5"/>
      <c r="T71" s="5"/>
    </row>
    <row r="72" spans="2:26" ht="15.75">
      <c r="B72" s="356"/>
      <c r="C72" s="357"/>
      <c r="D72" s="357"/>
      <c r="E72" s="357"/>
      <c r="F72" s="357"/>
      <c r="G72" s="357"/>
      <c r="H72" s="357"/>
      <c r="I72" s="357"/>
      <c r="J72" s="357"/>
      <c r="K72" s="357"/>
      <c r="L72" s="363"/>
      <c r="M72" s="355"/>
      <c r="O72" s="360">
        <v>0.05</v>
      </c>
      <c r="P72" s="8"/>
      <c r="Q72" s="4"/>
      <c r="R72" s="5" t="s">
        <v>505</v>
      </c>
      <c r="S72" s="5"/>
      <c r="T72" s="5"/>
    </row>
    <row r="73" spans="2:26" ht="15">
      <c r="B73" s="356"/>
      <c r="C73" s="357"/>
      <c r="D73" s="357"/>
      <c r="E73" s="357"/>
      <c r="F73" s="357"/>
      <c r="G73" s="357"/>
      <c r="H73" s="357"/>
      <c r="I73" s="357"/>
      <c r="J73" s="357"/>
      <c r="K73" s="357"/>
      <c r="L73" s="363"/>
      <c r="M73" s="363"/>
      <c r="O73" s="360">
        <v>0.05</v>
      </c>
      <c r="P73" s="8"/>
      <c r="Q73" s="4"/>
      <c r="R73" s="5" t="s">
        <v>506</v>
      </c>
      <c r="S73" s="5"/>
      <c r="T73" s="5"/>
      <c r="U73" s="3"/>
      <c r="V73" s="3"/>
      <c r="W73" s="3"/>
      <c r="X73" s="3"/>
    </row>
    <row r="74" spans="2:26" ht="15.75">
      <c r="B74" s="356"/>
      <c r="C74" s="357"/>
      <c r="D74" s="357"/>
      <c r="E74" s="357"/>
      <c r="F74" s="357"/>
      <c r="G74" s="361"/>
      <c r="H74" s="361"/>
      <c r="I74" s="357"/>
      <c r="J74" s="361"/>
      <c r="K74" s="361"/>
      <c r="L74" s="361"/>
      <c r="M74" s="364"/>
      <c r="O74" s="360"/>
      <c r="P74" s="8"/>
      <c r="Q74" s="4"/>
      <c r="R74" s="5"/>
      <c r="S74" s="5"/>
      <c r="T74" s="5"/>
      <c r="U74" s="3"/>
      <c r="V74" s="3"/>
      <c r="W74" s="3"/>
      <c r="X74" s="3"/>
    </row>
    <row r="75" spans="2:26" ht="15">
      <c r="B75" s="356"/>
      <c r="C75" s="357"/>
      <c r="D75" s="357"/>
      <c r="E75" s="357"/>
      <c r="F75" s="357"/>
      <c r="G75" s="357"/>
      <c r="H75" s="357"/>
      <c r="I75" s="357"/>
      <c r="J75" s="357"/>
      <c r="K75" s="357"/>
      <c r="L75" s="357"/>
      <c r="M75" s="357"/>
      <c r="P75" s="5" t="s">
        <v>507</v>
      </c>
      <c r="Q75" s="5"/>
      <c r="R75" s="5" t="s">
        <v>145</v>
      </c>
      <c r="S75" s="5"/>
      <c r="T75" s="5"/>
      <c r="U75" s="3"/>
      <c r="V75" s="3"/>
      <c r="W75" s="3"/>
      <c r="X75" s="3"/>
    </row>
    <row r="76" spans="2:26">
      <c r="P76" s="5" t="s">
        <v>508</v>
      </c>
      <c r="Q76" s="5"/>
      <c r="R76" s="5" t="s">
        <v>146</v>
      </c>
      <c r="S76" s="5"/>
      <c r="T76" s="5"/>
    </row>
    <row r="77" spans="2:26">
      <c r="P77" s="5" t="s">
        <v>509</v>
      </c>
      <c r="Q77" s="5"/>
      <c r="R77" s="5" t="s">
        <v>147</v>
      </c>
      <c r="S77" s="5"/>
      <c r="T77" s="5"/>
    </row>
    <row r="78" spans="2:26" ht="15">
      <c r="P78" s="4">
        <v>2.2000000000000002</v>
      </c>
      <c r="Q78" s="365"/>
      <c r="R78" s="5" t="s">
        <v>423</v>
      </c>
      <c r="S78" s="5"/>
      <c r="T78" s="5"/>
    </row>
    <row r="79" spans="2:26" ht="15">
      <c r="D79" s="2"/>
      <c r="P79" s="2">
        <v>2.93</v>
      </c>
      <c r="Q79" s="366"/>
      <c r="R79" s="3" t="s">
        <v>424</v>
      </c>
      <c r="S79" s="5"/>
      <c r="T79" s="5"/>
    </row>
    <row r="80" spans="2:26" ht="15">
      <c r="P80" s="8"/>
      <c r="Q80" s="252"/>
      <c r="R80" s="366"/>
      <c r="S80" s="3"/>
      <c r="T80" s="3"/>
    </row>
    <row r="81" spans="2:19">
      <c r="B81" s="255" t="s">
        <v>613</v>
      </c>
      <c r="E81" s="160">
        <f>E59</f>
        <v>96.690000000000083</v>
      </c>
    </row>
    <row r="82" spans="2:19">
      <c r="B82" s="254" t="s">
        <v>614</v>
      </c>
    </row>
    <row r="83" spans="2:19" ht="15">
      <c r="B83" s="158"/>
      <c r="C83" s="4"/>
      <c r="D83" s="66"/>
      <c r="E83" s="4"/>
      <c r="F83" s="4"/>
      <c r="G83" s="4"/>
      <c r="H83" s="66"/>
      <c r="I83" s="66"/>
      <c r="J83" s="66"/>
      <c r="K83" s="66"/>
      <c r="O83" s="8"/>
      <c r="P83" s="367"/>
      <c r="Q83" s="365"/>
      <c r="R83" s="5"/>
      <c r="S83" s="5"/>
    </row>
    <row r="84" spans="2:19">
      <c r="B84" s="159"/>
      <c r="C84" s="4"/>
      <c r="D84" s="66"/>
      <c r="E84" s="4"/>
      <c r="F84" s="4"/>
      <c r="G84" s="4"/>
      <c r="H84" s="66"/>
      <c r="I84" s="66"/>
      <c r="J84" s="66"/>
      <c r="K84" s="66"/>
      <c r="O84" s="8"/>
      <c r="P84" s="5"/>
      <c r="Q84" s="5"/>
      <c r="R84" s="5"/>
      <c r="S84" s="5"/>
    </row>
    <row r="85" spans="2:19">
      <c r="B85" s="112"/>
      <c r="C85" s="4"/>
      <c r="D85" s="66"/>
      <c r="E85" s="4"/>
      <c r="F85" s="4"/>
      <c r="G85" s="4"/>
      <c r="H85" s="66"/>
      <c r="I85" s="66"/>
      <c r="J85" s="66"/>
      <c r="K85" s="66"/>
      <c r="O85" s="8"/>
      <c r="P85" s="5"/>
      <c r="Q85" s="5"/>
      <c r="R85" s="5"/>
      <c r="S85" s="5"/>
    </row>
    <row r="86" spans="2:19">
      <c r="O86" s="8"/>
      <c r="P86" s="5"/>
      <c r="Q86" s="5"/>
      <c r="R86" s="5"/>
      <c r="S86" s="5"/>
    </row>
    <row r="87" spans="2:19">
      <c r="O87" s="8"/>
      <c r="P87" s="5"/>
      <c r="Q87" s="5"/>
      <c r="R87" s="5"/>
      <c r="S87" s="5"/>
    </row>
  </sheetData>
  <mergeCells count="8">
    <mergeCell ref="P1:Z2"/>
    <mergeCell ref="D1:L1"/>
    <mergeCell ref="A59:C59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66"/>
  <sheetViews>
    <sheetView workbookViewId="0">
      <pane ySplit="2" topLeftCell="A33" activePane="bottomLeft" state="frozen"/>
      <selection pane="bottomLeft" activeCell="F66" sqref="F66"/>
    </sheetView>
  </sheetViews>
  <sheetFormatPr defaultRowHeight="11.25"/>
  <cols>
    <col min="1" max="1" width="11.5703125" style="3" bestFit="1" customWidth="1"/>
    <col min="2" max="2" width="96" style="109" bestFit="1" customWidth="1"/>
    <col min="3" max="3" width="16.140625" style="2" bestFit="1" customWidth="1"/>
    <col min="4" max="4" width="7.14062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98" customWidth="1"/>
    <col min="9" max="12" width="5.5703125" style="98" customWidth="1"/>
    <col min="13" max="13" width="19.7109375" style="98" customWidth="1"/>
    <col min="14" max="14" width="19.7109375" style="98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2" customFormat="1" ht="15.75" customHeight="1">
      <c r="A1" s="641" t="s">
        <v>1</v>
      </c>
      <c r="B1" s="647" t="s">
        <v>0</v>
      </c>
      <c r="C1" s="649" t="s">
        <v>92</v>
      </c>
      <c r="D1" s="643" t="s">
        <v>3</v>
      </c>
      <c r="E1" s="644"/>
      <c r="F1" s="645" t="s">
        <v>511</v>
      </c>
      <c r="G1" s="646"/>
      <c r="H1" s="632" t="s">
        <v>29</v>
      </c>
      <c r="I1" s="633"/>
      <c r="J1" s="633"/>
      <c r="K1" s="633"/>
      <c r="L1" s="633"/>
      <c r="M1" s="633"/>
      <c r="N1" s="634"/>
    </row>
    <row r="2" spans="1:14" s="9" customFormat="1" ht="16.5" thickBot="1">
      <c r="A2" s="642"/>
      <c r="B2" s="648"/>
      <c r="C2" s="650"/>
      <c r="D2" s="51"/>
      <c r="E2" s="67" t="s">
        <v>9</v>
      </c>
      <c r="F2" s="368"/>
      <c r="G2" s="124" t="s">
        <v>9</v>
      </c>
      <c r="H2" s="635"/>
      <c r="I2" s="636"/>
      <c r="J2" s="636"/>
      <c r="K2" s="636"/>
      <c r="L2" s="636"/>
      <c r="M2" s="636"/>
      <c r="N2" s="637"/>
    </row>
    <row r="3" spans="1:14" s="165" customFormat="1" ht="15">
      <c r="A3" s="422">
        <f>'1-συμβολαια'!A3</f>
        <v>4600</v>
      </c>
      <c r="B3" s="417" t="str">
        <f>'1-συμβολαια'!C3</f>
        <v>δωρεά</v>
      </c>
      <c r="C3" s="418">
        <f>'1-συμβολαια'!D3</f>
        <v>5727.22</v>
      </c>
      <c r="D3" s="419">
        <v>4</v>
      </c>
      <c r="E3" s="426">
        <v>5</v>
      </c>
      <c r="F3" s="420">
        <f>(D3-1)*2.93</f>
        <v>8.7900000000000009</v>
      </c>
      <c r="G3" s="566">
        <f t="shared" ref="F3:G56" si="0">(E3-1)*2.93</f>
        <v>11.72</v>
      </c>
      <c r="H3" s="412"/>
      <c r="I3" s="416" t="s">
        <v>148</v>
      </c>
      <c r="J3" s="416" t="s">
        <v>246</v>
      </c>
      <c r="K3" s="421"/>
      <c r="L3" s="421"/>
      <c r="M3" s="421"/>
      <c r="N3" s="421"/>
    </row>
    <row r="4" spans="1:14" s="165" customFormat="1" ht="15">
      <c r="A4" s="422">
        <f>'1-συμβολαια'!A4</f>
        <v>0</v>
      </c>
      <c r="B4" s="417" t="str">
        <f>'1-συμβολαια'!C4</f>
        <v>ΧΡΗΣΙΚΤΗΣΙΑ οικοπέδου &amp; οικίας = 1930 πατρός ΔΩΡΕΑ άτυπη</v>
      </c>
      <c r="C4" s="423">
        <f>'1-συμβολαια'!D4</f>
        <v>3333</v>
      </c>
      <c r="D4" s="419">
        <v>4</v>
      </c>
      <c r="E4" s="419"/>
      <c r="F4" s="420">
        <f t="shared" si="0"/>
        <v>8.7900000000000009</v>
      </c>
      <c r="G4" s="420"/>
      <c r="H4" s="412"/>
      <c r="I4" s="412"/>
      <c r="J4" s="412"/>
      <c r="K4" s="421"/>
      <c r="L4" s="421"/>
      <c r="M4" s="421"/>
      <c r="N4" s="421"/>
    </row>
    <row r="5" spans="1:14" s="165" customFormat="1" ht="15">
      <c r="A5" s="485">
        <f>'1-συμβολαια'!A5</f>
        <v>4601</v>
      </c>
      <c r="B5" s="417" t="str">
        <f>'1-συμβολαια'!C5</f>
        <v>αγοραπωλησίας 13.835κ ΕΞΟΦΛΗΣΗ</v>
      </c>
      <c r="C5" s="418">
        <f>'1-συμβολαια'!D5</f>
        <v>0</v>
      </c>
      <c r="D5" s="419">
        <v>3</v>
      </c>
      <c r="E5" s="419">
        <v>3</v>
      </c>
      <c r="F5" s="420">
        <f t="shared" si="0"/>
        <v>5.86</v>
      </c>
      <c r="G5" s="486"/>
      <c r="H5" s="412"/>
      <c r="I5" s="412" t="s">
        <v>148</v>
      </c>
      <c r="J5" s="412"/>
      <c r="K5" s="421"/>
      <c r="L5" s="421"/>
      <c r="M5" s="421"/>
      <c r="N5" s="421"/>
    </row>
    <row r="6" spans="1:14" s="165" customFormat="1" ht="15">
      <c r="A6" s="422">
        <f>'1-συμβολαια'!A6</f>
        <v>4602</v>
      </c>
      <c r="B6" s="417" t="str">
        <f>'1-συμβολαια'!C6</f>
        <v>κληρονομιάς ΑΠΟΔΟΧΗ</v>
      </c>
      <c r="C6" s="418">
        <f>'1-συμβολαια'!D6</f>
        <v>0</v>
      </c>
      <c r="D6" s="419">
        <v>2</v>
      </c>
      <c r="E6" s="426">
        <v>3</v>
      </c>
      <c r="F6" s="420">
        <f t="shared" si="0"/>
        <v>2.93</v>
      </c>
      <c r="G6" s="566">
        <f t="shared" si="0"/>
        <v>5.86</v>
      </c>
      <c r="H6" s="412"/>
      <c r="I6" s="416" t="s">
        <v>148</v>
      </c>
      <c r="J6" s="416" t="s">
        <v>246</v>
      </c>
      <c r="K6" s="421"/>
      <c r="L6" s="421"/>
      <c r="M6" s="421"/>
      <c r="N6" s="421"/>
    </row>
    <row r="7" spans="1:14" s="165" customFormat="1" ht="15">
      <c r="A7" s="422">
        <f>'1-συμβολαια'!A7</f>
        <v>0</v>
      </c>
      <c r="B7" s="417" t="str">
        <f>'1-συμβολαια'!C7</f>
        <v>ΧΡΗΣΙΚΤΗΣΙΑ αγροτεμαχίου = 19?? ΑΝΑΔΑΣΜΟΣ</v>
      </c>
      <c r="C7" s="423">
        <f>'1-συμβολαια'!D7</f>
        <v>1111</v>
      </c>
      <c r="D7" s="419">
        <v>2</v>
      </c>
      <c r="E7" s="419"/>
      <c r="F7" s="420">
        <f t="shared" si="0"/>
        <v>2.93</v>
      </c>
      <c r="G7" s="420"/>
      <c r="H7" s="412"/>
      <c r="I7" s="412"/>
      <c r="J7" s="412"/>
      <c r="K7" s="421"/>
      <c r="L7" s="421"/>
      <c r="M7" s="421"/>
      <c r="N7" s="421"/>
    </row>
    <row r="8" spans="1:14" s="165" customFormat="1" ht="15">
      <c r="A8" s="485">
        <f>'1-συμβολαια'!A8</f>
        <v>4603</v>
      </c>
      <c r="B8" s="417" t="str">
        <f>'1-συμβολαια'!C8</f>
        <v>γονικής 11.618καπολα ΔΙΟΡΘΩΣΗ</v>
      </c>
      <c r="C8" s="418">
        <f>'1-συμβολαια'!D8</f>
        <v>0</v>
      </c>
      <c r="D8" s="419">
        <v>2</v>
      </c>
      <c r="E8" s="419">
        <v>2</v>
      </c>
      <c r="F8" s="420">
        <f t="shared" si="0"/>
        <v>2.93</v>
      </c>
      <c r="G8" s="420">
        <f t="shared" si="0"/>
        <v>2.93</v>
      </c>
      <c r="H8" s="412"/>
      <c r="I8" s="416" t="s">
        <v>148</v>
      </c>
      <c r="J8" s="416" t="s">
        <v>246</v>
      </c>
      <c r="K8" s="421"/>
      <c r="L8" s="421"/>
      <c r="M8" s="421"/>
      <c r="N8" s="421"/>
    </row>
    <row r="9" spans="1:14" s="165" customFormat="1" ht="15">
      <c r="A9" s="485">
        <f>'1-συμβολαια'!A9</f>
        <v>4604</v>
      </c>
      <c r="B9" s="417" t="str">
        <f>'1-συμβολαια'!C9</f>
        <v>γονικής 11.619καπολα ΔΙΟΡΘΩΣΗ</v>
      </c>
      <c r="C9" s="418">
        <f>'1-συμβολαια'!D9</f>
        <v>0</v>
      </c>
      <c r="D9" s="419">
        <v>2</v>
      </c>
      <c r="E9" s="426">
        <v>3</v>
      </c>
      <c r="F9" s="420">
        <f t="shared" si="0"/>
        <v>2.93</v>
      </c>
      <c r="G9" s="566">
        <f t="shared" si="0"/>
        <v>5.86</v>
      </c>
      <c r="H9" s="412"/>
      <c r="I9" s="416" t="s">
        <v>148</v>
      </c>
      <c r="J9" s="416" t="s">
        <v>246</v>
      </c>
      <c r="K9" s="421"/>
      <c r="L9" s="421"/>
      <c r="M9" s="421"/>
      <c r="N9" s="421"/>
    </row>
    <row r="10" spans="1:14" s="165" customFormat="1" ht="15">
      <c r="A10" s="485">
        <f>'1-συμβολαια'!A10</f>
        <v>4605</v>
      </c>
      <c r="B10" s="417" t="str">
        <f>'1-συμβολαια'!C10</f>
        <v>* γονικής 11.618καπολα επικαρπίας ΕΝΣΩΜΑΤΩΣΗ {= παραίτηση αδερφής δικαιώματος οίκησης</v>
      </c>
      <c r="C10" s="418">
        <f>'1-συμβολαια'!D10</f>
        <v>2222</v>
      </c>
      <c r="D10" s="419">
        <v>2</v>
      </c>
      <c r="E10" s="426">
        <v>3</v>
      </c>
      <c r="F10" s="420">
        <f t="shared" si="0"/>
        <v>2.93</v>
      </c>
      <c r="G10" s="566">
        <f t="shared" si="0"/>
        <v>5.86</v>
      </c>
      <c r="H10" s="412"/>
      <c r="I10" s="416" t="s">
        <v>148</v>
      </c>
      <c r="J10" s="416" t="s">
        <v>246</v>
      </c>
      <c r="K10" s="421"/>
      <c r="L10" s="421"/>
      <c r="M10" s="421"/>
      <c r="N10" s="421"/>
    </row>
    <row r="11" spans="1:14" s="165" customFormat="1" ht="15">
      <c r="A11" s="485">
        <f>'1-συμβολαια'!A11</f>
        <v>4606</v>
      </c>
      <c r="B11" s="417" t="str">
        <f>'1-συμβολαια'!C11</f>
        <v>πληρεξούσιο</v>
      </c>
      <c r="C11" s="418">
        <f>'1-συμβολαια'!D11</f>
        <v>0</v>
      </c>
      <c r="D11" s="419">
        <v>3</v>
      </c>
      <c r="E11" s="419">
        <v>3</v>
      </c>
      <c r="F11" s="420">
        <f t="shared" si="0"/>
        <v>5.86</v>
      </c>
      <c r="G11" s="566">
        <f t="shared" si="0"/>
        <v>5.86</v>
      </c>
      <c r="H11" s="412"/>
      <c r="I11" s="416" t="s">
        <v>148</v>
      </c>
      <c r="J11" s="416" t="s">
        <v>246</v>
      </c>
      <c r="K11" s="421"/>
      <c r="L11" s="421"/>
      <c r="M11" s="421"/>
      <c r="N11" s="421"/>
    </row>
    <row r="12" spans="1:14" s="165" customFormat="1" ht="15">
      <c r="A12" s="485">
        <f>'1-συμβολαια'!A12</f>
        <v>4607</v>
      </c>
      <c r="B12" s="417" t="str">
        <f>'1-συμβολαια'!C12</f>
        <v>αγοραπωλησίας 3.919 ΔΙΟΡΘΩΣΗ</v>
      </c>
      <c r="C12" s="418">
        <f>'1-συμβολαια'!D12</f>
        <v>0</v>
      </c>
      <c r="D12" s="419">
        <v>3</v>
      </c>
      <c r="E12" s="426">
        <v>4</v>
      </c>
      <c r="F12" s="420">
        <f t="shared" si="0"/>
        <v>5.86</v>
      </c>
      <c r="G12" s="566">
        <v>8.7899999999999991</v>
      </c>
      <c r="H12" s="412"/>
      <c r="I12" s="412"/>
      <c r="J12" s="412"/>
      <c r="K12" s="421"/>
      <c r="L12" s="421"/>
      <c r="M12" s="421"/>
      <c r="N12" s="421"/>
    </row>
    <row r="13" spans="1:14" s="165" customFormat="1" ht="15">
      <c r="A13" s="485">
        <f>'1-συμβολαια'!A13</f>
        <v>4608</v>
      </c>
      <c r="B13" s="417" t="str">
        <f>'1-συμβολαια'!C13</f>
        <v>αγοραπωλησία τίμημα = Δ.Ο.Υ. =</v>
      </c>
      <c r="C13" s="418">
        <f>'1-συμβολαια'!D13</f>
        <v>1572.77</v>
      </c>
      <c r="D13" s="521">
        <v>4</v>
      </c>
      <c r="E13" s="523">
        <v>5</v>
      </c>
      <c r="F13" s="420">
        <f t="shared" si="0"/>
        <v>8.7900000000000009</v>
      </c>
      <c r="G13" s="567">
        <v>11.73</v>
      </c>
      <c r="H13" s="412"/>
      <c r="I13" s="412"/>
      <c r="J13" s="412"/>
      <c r="K13" s="421"/>
      <c r="L13" s="421"/>
      <c r="M13" s="421"/>
      <c r="N13" s="421"/>
    </row>
    <row r="14" spans="1:14" s="165" customFormat="1" ht="15">
      <c r="A14" s="485">
        <f>'1-συμβολαια'!A14</f>
        <v>4609</v>
      </c>
      <c r="B14" s="417" t="str">
        <f>'1-συμβολαια'!C14</f>
        <v>αγοραπωλησία τίμημα = 6.057,27 Δ.Ο.Υ. =</v>
      </c>
      <c r="C14" s="418">
        <f>'1-συμβολαια'!D14</f>
        <v>18257.27</v>
      </c>
      <c r="D14" s="521">
        <v>4</v>
      </c>
      <c r="E14" s="523">
        <v>5</v>
      </c>
      <c r="F14" s="420">
        <f t="shared" si="0"/>
        <v>8.7900000000000009</v>
      </c>
      <c r="G14" s="566">
        <f t="shared" si="0"/>
        <v>11.72</v>
      </c>
      <c r="H14" s="412"/>
      <c r="I14" s="416" t="s">
        <v>148</v>
      </c>
      <c r="J14" s="416" t="s">
        <v>246</v>
      </c>
      <c r="K14" s="421"/>
      <c r="L14" s="421"/>
      <c r="M14" s="421"/>
      <c r="N14" s="421"/>
    </row>
    <row r="15" spans="1:14" s="165" customFormat="1" ht="15">
      <c r="A15" s="485">
        <f>'1-συμβολαια'!A15</f>
        <v>4610</v>
      </c>
      <c r="B15" s="417" t="str">
        <f>'1-συμβολαια'!C15</f>
        <v>πληρεξούσιο</v>
      </c>
      <c r="C15" s="418">
        <f>'1-συμβολαια'!D15</f>
        <v>0</v>
      </c>
      <c r="D15" s="521">
        <v>2</v>
      </c>
      <c r="E15" s="426">
        <v>3</v>
      </c>
      <c r="F15" s="420">
        <f t="shared" si="0"/>
        <v>2.93</v>
      </c>
      <c r="G15" s="566">
        <f t="shared" si="0"/>
        <v>5.86</v>
      </c>
      <c r="H15" s="412"/>
      <c r="I15" s="416" t="s">
        <v>148</v>
      </c>
      <c r="J15" s="416" t="s">
        <v>246</v>
      </c>
      <c r="K15" s="421"/>
      <c r="L15" s="421"/>
      <c r="M15" s="421"/>
      <c r="N15" s="421"/>
    </row>
    <row r="16" spans="1:14" s="165" customFormat="1" ht="15">
      <c r="A16" s="422">
        <f>'1-συμβολαια'!A16</f>
        <v>4611</v>
      </c>
      <c r="B16" s="417" t="str">
        <f>'1-συμβολαια'!C16</f>
        <v>γονική</v>
      </c>
      <c r="C16" s="418">
        <f>'1-συμβολαια'!D16</f>
        <v>33521.660000000003</v>
      </c>
      <c r="D16" s="521">
        <v>6</v>
      </c>
      <c r="E16" s="426">
        <v>7</v>
      </c>
      <c r="F16" s="420">
        <f t="shared" si="0"/>
        <v>14.65</v>
      </c>
      <c r="G16" s="566">
        <f t="shared" si="0"/>
        <v>17.580000000000002</v>
      </c>
      <c r="H16" s="412"/>
      <c r="I16" s="416" t="s">
        <v>148</v>
      </c>
      <c r="J16" s="416" t="s">
        <v>246</v>
      </c>
      <c r="K16" s="421"/>
      <c r="L16" s="421"/>
      <c r="M16" s="421"/>
      <c r="N16" s="421"/>
    </row>
    <row r="17" spans="1:14" s="165" customFormat="1" ht="15">
      <c r="A17" s="422">
        <f>'1-συμβολαια'!A17</f>
        <v>0</v>
      </c>
      <c r="B17" s="417" t="str">
        <f>'1-συμβολαια'!C17</f>
        <v>ΧΡΗΣΙΚΤΗΣΙΑ οικοπέδου = 1973 κυπαρισσίουΠαναγιώτη ΑΓΟΡΑΠΩΛΗΣΙΑ άτυπη</v>
      </c>
      <c r="C17" s="418">
        <f>'1-συμβολαια'!D17</f>
        <v>2222</v>
      </c>
      <c r="D17" s="521">
        <v>6</v>
      </c>
      <c r="E17" s="521"/>
      <c r="F17" s="420">
        <f t="shared" si="0"/>
        <v>14.65</v>
      </c>
      <c r="G17" s="522"/>
      <c r="H17" s="412"/>
      <c r="I17" s="412"/>
      <c r="J17" s="412"/>
      <c r="K17" s="421"/>
      <c r="L17" s="421"/>
      <c r="M17" s="421"/>
      <c r="N17" s="421"/>
    </row>
    <row r="18" spans="1:14" s="165" customFormat="1" ht="15">
      <c r="A18" s="422">
        <f>'1-συμβολαια'!A18</f>
        <v>0</v>
      </c>
      <c r="B18" s="417" t="str">
        <f>'1-συμβολαια'!C18</f>
        <v>οριζόντιος ΣΥΣΤΑΣΗ</v>
      </c>
      <c r="C18" s="418">
        <f>'1-συμβολαια'!D18</f>
        <v>0</v>
      </c>
      <c r="D18" s="521">
        <v>6</v>
      </c>
      <c r="E18" s="521"/>
      <c r="F18" s="420">
        <f t="shared" si="0"/>
        <v>14.65</v>
      </c>
      <c r="G18" s="522"/>
      <c r="H18" s="412"/>
      <c r="I18" s="416" t="s">
        <v>148</v>
      </c>
      <c r="J18" s="416" t="s">
        <v>246</v>
      </c>
      <c r="K18" s="421"/>
      <c r="L18" s="421"/>
      <c r="M18" s="421"/>
      <c r="N18" s="421"/>
    </row>
    <row r="19" spans="1:14" s="165" customFormat="1" ht="15">
      <c r="A19" s="485">
        <f>'1-συμβολαια'!A19</f>
        <v>4612</v>
      </c>
      <c r="B19" s="417" t="str">
        <f>'1-συμβολαια'!C19</f>
        <v>κληρονομιάς ΑΠΟΔΟΧΗ</v>
      </c>
      <c r="C19" s="418">
        <f>'1-συμβολαια'!D19</f>
        <v>0</v>
      </c>
      <c r="D19" s="521">
        <v>3</v>
      </c>
      <c r="E19" s="426">
        <v>4</v>
      </c>
      <c r="F19" s="420">
        <f t="shared" si="0"/>
        <v>5.86</v>
      </c>
      <c r="G19" s="566">
        <f t="shared" si="0"/>
        <v>8.7900000000000009</v>
      </c>
      <c r="H19" s="412"/>
      <c r="I19" s="412"/>
      <c r="J19" s="412"/>
      <c r="K19" s="421"/>
      <c r="L19" s="421"/>
      <c r="M19" s="421"/>
      <c r="N19" s="421"/>
    </row>
    <row r="20" spans="1:14" s="165" customFormat="1" ht="15">
      <c r="A20" s="485">
        <f>'1-συμβολαια'!A20</f>
        <v>4613</v>
      </c>
      <c r="B20" s="417" t="str">
        <f>'1-συμβολαια'!C20</f>
        <v>γονική</v>
      </c>
      <c r="C20" s="418">
        <f>'1-συμβολαια'!D20</f>
        <v>6213.36</v>
      </c>
      <c r="D20" s="521">
        <v>5</v>
      </c>
      <c r="E20" s="521">
        <v>5</v>
      </c>
      <c r="F20" s="420">
        <f t="shared" si="0"/>
        <v>11.72</v>
      </c>
      <c r="G20" s="420">
        <f t="shared" si="0"/>
        <v>11.72</v>
      </c>
      <c r="H20" s="412"/>
      <c r="I20" s="416" t="s">
        <v>148</v>
      </c>
      <c r="J20" s="416" t="s">
        <v>246</v>
      </c>
      <c r="K20" s="421"/>
      <c r="L20" s="421"/>
      <c r="M20" s="421"/>
      <c r="N20" s="421"/>
    </row>
    <row r="21" spans="1:14" s="165" customFormat="1" ht="15">
      <c r="A21" s="485">
        <f>'1-συμβολαια'!A21</f>
        <v>4614</v>
      </c>
      <c r="B21" s="417" t="str">
        <f>'1-συμβολαια'!C21</f>
        <v>διαθήκη</v>
      </c>
      <c r="C21" s="418">
        <f>'1-συμβολαια'!D21</f>
        <v>0</v>
      </c>
      <c r="D21" s="521">
        <v>2</v>
      </c>
      <c r="E21" s="521">
        <v>2</v>
      </c>
      <c r="F21" s="420">
        <f t="shared" si="0"/>
        <v>2.93</v>
      </c>
      <c r="G21" s="420">
        <f t="shared" si="0"/>
        <v>2.93</v>
      </c>
      <c r="H21" s="412"/>
      <c r="I21" s="412"/>
      <c r="J21" s="412"/>
      <c r="K21" s="421"/>
      <c r="L21" s="421"/>
      <c r="M21" s="421"/>
      <c r="N21" s="421"/>
    </row>
    <row r="22" spans="1:14" s="165" customFormat="1" ht="15">
      <c r="A22" s="422">
        <f>'1-συμβολαια'!A22</f>
        <v>4615</v>
      </c>
      <c r="B22" s="417" t="str">
        <f>'1-συμβολαια'!C22</f>
        <v>δωρεά</v>
      </c>
      <c r="C22" s="418">
        <f>'1-συμβολαια'!D22</f>
        <v>16035.1</v>
      </c>
      <c r="D22" s="521">
        <v>4</v>
      </c>
      <c r="E22" s="426">
        <v>5</v>
      </c>
      <c r="F22" s="420">
        <f t="shared" si="0"/>
        <v>8.7900000000000009</v>
      </c>
      <c r="G22" s="566">
        <f t="shared" si="0"/>
        <v>11.72</v>
      </c>
      <c r="H22" s="412"/>
      <c r="I22" s="412"/>
      <c r="J22" s="412"/>
      <c r="K22" s="421"/>
      <c r="L22" s="421"/>
      <c r="M22" s="421"/>
      <c r="N22" s="421"/>
    </row>
    <row r="23" spans="1:14" s="165" customFormat="1" ht="15">
      <c r="A23" s="422">
        <f>'1-συμβολαια'!A23</f>
        <v>0</v>
      </c>
      <c r="B23" s="417" t="str">
        <f>'1-συμβολαια'!C23</f>
        <v>ΧΡΗΣΙΚΤΗΣΙΑ οικοπέδου &amp; οικίας = 1935 πατρός ΔΩΡΕΑ άτυπη</v>
      </c>
      <c r="C23" s="418">
        <f>'1-συμβολαια'!D23</f>
        <v>6666</v>
      </c>
      <c r="D23" s="521">
        <v>4</v>
      </c>
      <c r="E23" s="521"/>
      <c r="F23" s="420">
        <f t="shared" si="0"/>
        <v>8.7900000000000009</v>
      </c>
      <c r="G23" s="522"/>
      <c r="H23" s="412"/>
      <c r="I23" s="412"/>
      <c r="J23" s="412"/>
      <c r="K23" s="421"/>
      <c r="L23" s="421"/>
      <c r="M23" s="421"/>
      <c r="N23" s="421"/>
    </row>
    <row r="24" spans="1:14" s="165" customFormat="1" ht="15">
      <c r="A24" s="540">
        <f>'1-συμβολαια'!A24</f>
        <v>4616</v>
      </c>
      <c r="B24" s="417" t="str">
        <f>'1-συμβολαια'!C24</f>
        <v>δωρεά</v>
      </c>
      <c r="C24" s="418">
        <f>'1-συμβολαια'!D24</f>
        <v>9933.0499999999993</v>
      </c>
      <c r="D24" s="521">
        <v>5</v>
      </c>
      <c r="E24" s="426">
        <v>6</v>
      </c>
      <c r="F24" s="420">
        <f t="shared" si="0"/>
        <v>11.72</v>
      </c>
      <c r="G24" s="566">
        <f t="shared" si="0"/>
        <v>14.65</v>
      </c>
      <c r="H24" s="412"/>
      <c r="I24" s="416" t="s">
        <v>148</v>
      </c>
      <c r="J24" s="416" t="s">
        <v>246</v>
      </c>
      <c r="K24" s="421"/>
      <c r="L24" s="421"/>
      <c r="M24" s="421"/>
      <c r="N24" s="421"/>
    </row>
    <row r="25" spans="1:14" s="165" customFormat="1" ht="15">
      <c r="A25" s="540">
        <f>'1-συμβολαια'!A25</f>
        <v>0</v>
      </c>
      <c r="B25" s="417" t="str">
        <f>'1-συμβολαια'!C25</f>
        <v>ΧΡΗΣΙΚΤΗΣΙΑ αγροτεμαχίου = 1925 πατρός ΔΩΡΕΑ άτυπη</v>
      </c>
      <c r="C25" s="418">
        <f>'1-συμβολαια'!D25</f>
        <v>1111</v>
      </c>
      <c r="D25" s="521">
        <v>5</v>
      </c>
      <c r="E25" s="521"/>
      <c r="F25" s="420">
        <f t="shared" si="0"/>
        <v>11.72</v>
      </c>
      <c r="G25" s="522"/>
      <c r="H25" s="412"/>
      <c r="I25" s="412"/>
      <c r="J25" s="412"/>
      <c r="K25" s="421"/>
      <c r="L25" s="421"/>
      <c r="M25" s="421"/>
      <c r="N25" s="421"/>
    </row>
    <row r="26" spans="1:14" s="165" customFormat="1" ht="15">
      <c r="A26" s="540">
        <f>'1-συμβολαια'!A26</f>
        <v>0</v>
      </c>
      <c r="B26" s="417" t="str">
        <f>'1-συμβολαια'!C26</f>
        <v>ΧΡΗΣΙΚΤΗΣΙΑ αγροτεμαχίου (νυν οικόπεδο) = 1975 ΑΝΑΔΑΣΜΟΣ</v>
      </c>
      <c r="C26" s="418">
        <f>'1-συμβολαια'!D26</f>
        <v>3333</v>
      </c>
      <c r="D26" s="521">
        <v>5</v>
      </c>
      <c r="E26" s="521"/>
      <c r="F26" s="420">
        <f t="shared" si="0"/>
        <v>11.72</v>
      </c>
      <c r="G26" s="522"/>
      <c r="H26" s="412"/>
      <c r="I26" s="412"/>
      <c r="J26" s="412"/>
      <c r="K26" s="421"/>
      <c r="L26" s="421"/>
      <c r="M26" s="421"/>
      <c r="N26" s="421"/>
    </row>
    <row r="27" spans="1:14" s="165" customFormat="1" ht="15">
      <c r="A27" s="422">
        <f>'1-συμβολαια'!A27</f>
        <v>4617</v>
      </c>
      <c r="B27" s="417" t="str">
        <f>'1-συμβολαια'!C27</f>
        <v>προσύμφωνο μεταβιβάσεως ποσοστών οικοπέδου</v>
      </c>
      <c r="C27" s="418">
        <f>'1-συμβολαια'!D27</f>
        <v>0</v>
      </c>
      <c r="D27" s="521">
        <v>10</v>
      </c>
      <c r="E27" s="521">
        <v>10</v>
      </c>
      <c r="F27" s="420">
        <f t="shared" si="0"/>
        <v>26.37</v>
      </c>
      <c r="G27" s="420">
        <f t="shared" si="0"/>
        <v>26.37</v>
      </c>
      <c r="H27" s="412"/>
      <c r="I27" s="416" t="s">
        <v>148</v>
      </c>
      <c r="J27" s="416" t="s">
        <v>246</v>
      </c>
      <c r="K27" s="421"/>
      <c r="L27" s="421"/>
      <c r="M27" s="421"/>
      <c r="N27" s="421"/>
    </row>
    <row r="28" spans="1:14" s="165" customFormat="1" ht="15">
      <c r="A28" s="422">
        <f>'1-συμβολαια'!A28</f>
        <v>0</v>
      </c>
      <c r="B28" s="417" t="str">
        <f>'1-συμβολαια'!C28</f>
        <v>εργολαβικό</v>
      </c>
      <c r="C28" s="418">
        <f>'1-συμβολαια'!D28</f>
        <v>200</v>
      </c>
      <c r="D28" s="521">
        <v>10</v>
      </c>
      <c r="E28" s="521"/>
      <c r="F28" s="420">
        <f t="shared" si="0"/>
        <v>26.37</v>
      </c>
      <c r="G28" s="522"/>
      <c r="H28" s="412"/>
      <c r="I28" s="416" t="s">
        <v>148</v>
      </c>
      <c r="J28" s="416" t="s">
        <v>246</v>
      </c>
      <c r="K28" s="421"/>
      <c r="L28" s="421"/>
      <c r="M28" s="421"/>
      <c r="N28" s="421"/>
    </row>
    <row r="29" spans="1:14" s="165" customFormat="1" ht="15">
      <c r="A29" s="485">
        <f>'1-συμβολαια'!A29</f>
        <v>4618</v>
      </c>
      <c r="B29" s="417" t="str">
        <f>'1-συμβολαια'!C29</f>
        <v>πληρεξούσιο</v>
      </c>
      <c r="C29" s="418">
        <f>'1-συμβολαια'!D29</f>
        <v>0</v>
      </c>
      <c r="D29" s="521">
        <v>2</v>
      </c>
      <c r="E29" s="521">
        <v>2</v>
      </c>
      <c r="F29" s="420">
        <f t="shared" si="0"/>
        <v>2.93</v>
      </c>
      <c r="H29" s="412"/>
      <c r="I29" s="416" t="s">
        <v>148</v>
      </c>
      <c r="J29" s="416" t="s">
        <v>246</v>
      </c>
      <c r="K29" s="421"/>
      <c r="L29" s="421"/>
      <c r="M29" s="421"/>
      <c r="N29" s="421"/>
    </row>
    <row r="30" spans="1:14" s="165" customFormat="1" ht="15">
      <c r="A30" s="422">
        <f>'1-συμβολαια'!A30</f>
        <v>4619</v>
      </c>
      <c r="B30" s="417" t="str">
        <f>'1-συμβολαια'!C30</f>
        <v>αγοραπωλησίας ΠΡΟΣΥΜΦΩΝΟ τίμημα = αρραβών =</v>
      </c>
      <c r="C30" s="418">
        <f>'1-συμβολαια'!D30</f>
        <v>1800</v>
      </c>
      <c r="D30" s="521">
        <v>3</v>
      </c>
      <c r="E30" s="521">
        <v>3</v>
      </c>
      <c r="F30" s="420">
        <f t="shared" si="0"/>
        <v>5.86</v>
      </c>
      <c r="G30" s="420">
        <f t="shared" si="0"/>
        <v>5.86</v>
      </c>
      <c r="H30" s="412"/>
      <c r="I30" s="416" t="s">
        <v>148</v>
      </c>
      <c r="J30" s="416" t="s">
        <v>246</v>
      </c>
      <c r="K30" s="421"/>
      <c r="L30" s="421"/>
      <c r="M30" s="421"/>
      <c r="N30" s="421"/>
    </row>
    <row r="31" spans="1:14" s="165" customFormat="1" ht="15">
      <c r="A31" s="422">
        <f>'1-συμβολαια'!A31</f>
        <v>0</v>
      </c>
      <c r="B31" s="417" t="str">
        <f>'1-συμβολαια'!C31</f>
        <v>ΧΡΗΣΙΚΤΗΣΙΑ αγροτεμαχίου = 1975 πατρός ΔΩΡΕΑ άτυπη</v>
      </c>
      <c r="C31" s="418">
        <f>'1-συμβολαια'!D31</f>
        <v>1111</v>
      </c>
      <c r="D31" s="521">
        <v>3</v>
      </c>
      <c r="E31" s="521">
        <v>3</v>
      </c>
      <c r="F31" s="420">
        <f t="shared" si="0"/>
        <v>5.86</v>
      </c>
      <c r="G31" s="522"/>
      <c r="H31" s="412"/>
      <c r="I31" s="412"/>
      <c r="J31" s="412"/>
      <c r="K31" s="421"/>
      <c r="L31" s="421"/>
      <c r="M31" s="421"/>
      <c r="N31" s="421"/>
    </row>
    <row r="32" spans="1:14" s="165" customFormat="1" ht="15">
      <c r="A32" s="556">
        <f>'1-συμβολαια'!A32</f>
        <v>4620</v>
      </c>
      <c r="B32" s="417" t="str">
        <f>'1-συμβολαια'!C32</f>
        <v>γονική</v>
      </c>
      <c r="C32" s="418">
        <f>'1-συμβολαια'!D32</f>
        <v>6285.73</v>
      </c>
      <c r="D32" s="521">
        <v>6</v>
      </c>
      <c r="E32" s="426">
        <v>7</v>
      </c>
      <c r="F32" s="420">
        <f t="shared" si="0"/>
        <v>14.65</v>
      </c>
      <c r="G32" s="566">
        <f t="shared" si="0"/>
        <v>17.580000000000002</v>
      </c>
      <c r="H32" s="412"/>
      <c r="I32" s="416" t="s">
        <v>148</v>
      </c>
      <c r="J32" s="416" t="s">
        <v>246</v>
      </c>
      <c r="K32" s="421"/>
      <c r="L32" s="421"/>
      <c r="M32" s="421"/>
      <c r="N32" s="421"/>
    </row>
    <row r="33" spans="1:14" s="165" customFormat="1" ht="15">
      <c r="A33" s="540">
        <f>'1-συμβολαια'!A33</f>
        <v>0</v>
      </c>
      <c r="B33" s="417" t="str">
        <f>'1-συμβολαια'!C33</f>
        <v>κάθετος ΣΥΣΤΑΣΗ</v>
      </c>
      <c r="C33" s="418">
        <f>'1-συμβολαια'!D33</f>
        <v>0</v>
      </c>
      <c r="D33" s="521">
        <v>6</v>
      </c>
      <c r="E33" s="521"/>
      <c r="F33" s="420">
        <f t="shared" si="0"/>
        <v>14.65</v>
      </c>
      <c r="G33" s="522"/>
      <c r="H33" s="412"/>
      <c r="I33" s="416" t="s">
        <v>148</v>
      </c>
      <c r="J33" s="416" t="s">
        <v>246</v>
      </c>
      <c r="K33" s="421"/>
      <c r="L33" s="421"/>
      <c r="M33" s="421"/>
      <c r="N33" s="421"/>
    </row>
    <row r="34" spans="1:14" s="165" customFormat="1" ht="15">
      <c r="A34" s="540">
        <f>'1-συμβολαια'!A34</f>
        <v>0</v>
      </c>
      <c r="B34" s="417" t="str">
        <f>'1-συμβολαια'!C34</f>
        <v>ΧΡΗΣΙΚΤΗΣΙΑ αγροτεμαχίου (νυν οικόπεδο) = 19?? ΑΝΑΔΑΣΜΟΣ</v>
      </c>
      <c r="C34" s="418">
        <f>'1-συμβολαια'!D34</f>
        <v>3333</v>
      </c>
      <c r="D34" s="521">
        <v>6</v>
      </c>
      <c r="E34" s="521"/>
      <c r="F34" s="420">
        <f t="shared" si="0"/>
        <v>14.65</v>
      </c>
      <c r="G34" s="522"/>
      <c r="H34" s="412"/>
      <c r="I34" s="412"/>
      <c r="J34" s="412"/>
      <c r="K34" s="421"/>
      <c r="L34" s="421"/>
      <c r="M34" s="421"/>
      <c r="N34" s="421"/>
    </row>
    <row r="35" spans="1:14" s="165" customFormat="1" ht="15">
      <c r="A35" s="556">
        <f>'1-συμβολαια'!A35</f>
        <v>4621</v>
      </c>
      <c r="B35" s="417" t="str">
        <f>'1-συμβολαια'!C35</f>
        <v>γονική</v>
      </c>
      <c r="C35" s="418">
        <f>'1-συμβολαια'!D35</f>
        <v>30928.65</v>
      </c>
      <c r="D35" s="521">
        <v>5</v>
      </c>
      <c r="E35" s="426">
        <v>6</v>
      </c>
      <c r="F35" s="420">
        <f t="shared" si="0"/>
        <v>11.72</v>
      </c>
      <c r="G35" s="566">
        <f t="shared" si="0"/>
        <v>14.65</v>
      </c>
      <c r="H35" s="412"/>
      <c r="I35" s="416" t="s">
        <v>148</v>
      </c>
      <c r="J35" s="416" t="s">
        <v>246</v>
      </c>
      <c r="K35" s="421"/>
      <c r="L35" s="421"/>
      <c r="M35" s="421"/>
      <c r="N35" s="421"/>
    </row>
    <row r="36" spans="1:14" s="165" customFormat="1" ht="15">
      <c r="A36" s="422">
        <f>'1-συμβολαια'!A36</f>
        <v>0</v>
      </c>
      <c r="B36" s="417" t="str">
        <f>'1-συμβολαια'!C36</f>
        <v>οριζόντιος ΣΥΣΤΑΣΗ</v>
      </c>
      <c r="C36" s="418">
        <f>'1-συμβολαια'!D36</f>
        <v>0</v>
      </c>
      <c r="D36" s="521">
        <v>5</v>
      </c>
      <c r="E36" s="521"/>
      <c r="F36" s="420">
        <f t="shared" si="0"/>
        <v>11.72</v>
      </c>
      <c r="G36" s="522"/>
      <c r="H36" s="412"/>
      <c r="I36" s="416" t="s">
        <v>148</v>
      </c>
      <c r="J36" s="416" t="s">
        <v>246</v>
      </c>
      <c r="K36" s="421"/>
      <c r="L36" s="421"/>
      <c r="M36" s="421"/>
      <c r="N36" s="421"/>
    </row>
    <row r="37" spans="1:14" s="165" customFormat="1" ht="15">
      <c r="A37" s="485">
        <f>'1-συμβολαια'!A37</f>
        <v>4622</v>
      </c>
      <c r="B37" s="417" t="str">
        <f>'1-συμβολαια'!C37</f>
        <v>πληρεξούσιο</v>
      </c>
      <c r="C37" s="418">
        <f>'1-συμβολαια'!D37</f>
        <v>0</v>
      </c>
      <c r="D37" s="521">
        <v>2</v>
      </c>
      <c r="E37" s="521">
        <v>2</v>
      </c>
      <c r="F37" s="420">
        <f t="shared" si="0"/>
        <v>2.93</v>
      </c>
      <c r="G37" s="420">
        <f t="shared" si="0"/>
        <v>2.93</v>
      </c>
      <c r="H37" s="412"/>
      <c r="I37" s="416" t="s">
        <v>148</v>
      </c>
      <c r="J37" s="416" t="s">
        <v>246</v>
      </c>
      <c r="K37" s="421"/>
      <c r="L37" s="421"/>
      <c r="M37" s="421"/>
      <c r="N37" s="421"/>
    </row>
    <row r="38" spans="1:14" s="165" customFormat="1" ht="15">
      <c r="A38" s="485">
        <f>'1-συμβολαια'!A38</f>
        <v>4623</v>
      </c>
      <c r="B38" s="417" t="str">
        <f>'1-συμβολαια'!C38</f>
        <v>πληρεξούσιο</v>
      </c>
      <c r="C38" s="418">
        <f>'1-συμβολαια'!D38</f>
        <v>0</v>
      </c>
      <c r="D38" s="521">
        <v>3</v>
      </c>
      <c r="E38" s="426">
        <v>4</v>
      </c>
      <c r="F38" s="420">
        <f t="shared" si="0"/>
        <v>5.86</v>
      </c>
      <c r="G38" s="566">
        <f t="shared" si="0"/>
        <v>8.7900000000000009</v>
      </c>
      <c r="H38" s="412"/>
      <c r="I38" s="416" t="s">
        <v>148</v>
      </c>
      <c r="J38" s="416" t="s">
        <v>246</v>
      </c>
      <c r="K38" s="421"/>
      <c r="L38" s="421"/>
      <c r="M38" s="421"/>
      <c r="N38" s="421"/>
    </row>
    <row r="39" spans="1:14" s="165" customFormat="1" ht="15">
      <c r="A39" s="422">
        <f>'1-συμβολαια'!A39</f>
        <v>4624</v>
      </c>
      <c r="B39" s="417" t="str">
        <f>'1-συμβολαια'!C39</f>
        <v>*γονική ΨΙΛΗΣ ΚΥΡΙΟΤΗΤΑΣ</v>
      </c>
      <c r="C39" s="418">
        <f>'1-συμβολαια'!D39</f>
        <v>11558.2</v>
      </c>
      <c r="D39" s="521">
        <v>5</v>
      </c>
      <c r="E39" s="426">
        <v>6</v>
      </c>
      <c r="F39" s="420">
        <f t="shared" si="0"/>
        <v>11.72</v>
      </c>
      <c r="G39" s="566">
        <f t="shared" si="0"/>
        <v>14.65</v>
      </c>
      <c r="H39" s="412"/>
      <c r="I39" s="412"/>
      <c r="J39" s="412"/>
      <c r="K39" s="421"/>
      <c r="L39" s="421"/>
      <c r="M39" s="421"/>
      <c r="N39" s="421"/>
    </row>
    <row r="40" spans="1:14" s="165" customFormat="1" ht="15">
      <c r="A40" s="422">
        <f>'1-συμβολαια'!A40</f>
        <v>0</v>
      </c>
      <c r="B40" s="417" t="str">
        <f>'1-συμβολαια'!C40</f>
        <v>ΧΡΗΣΙΚΤΗΣΙΑ οικοπέδου = 1949 πατρός ΔΩΡΕΑ άτυπη</v>
      </c>
      <c r="C40" s="418">
        <f>'1-συμβολαια'!D40</f>
        <v>4444</v>
      </c>
      <c r="D40" s="521">
        <v>5</v>
      </c>
      <c r="E40" s="521"/>
      <c r="F40" s="420">
        <f t="shared" si="0"/>
        <v>11.72</v>
      </c>
      <c r="G40" s="522"/>
      <c r="H40" s="412"/>
      <c r="I40" s="412"/>
      <c r="J40" s="412"/>
      <c r="K40" s="421"/>
      <c r="L40" s="421"/>
      <c r="M40" s="421"/>
      <c r="N40" s="421"/>
    </row>
    <row r="41" spans="1:14" s="165" customFormat="1" ht="15">
      <c r="A41" s="422">
        <f>'1-συμβολαια'!A41</f>
        <v>0</v>
      </c>
      <c r="B41" s="417" t="str">
        <f>'1-συμβολαια'!C41</f>
        <v>ΧΡΗΣΙΚΤΗΣΙΑ αγροτεμαχίων = 1963 αγοραπωλησίας ΒΑΣΕΙ προσυμφώνου ΜΗ εκτελεσθέντος</v>
      </c>
      <c r="C41" s="418">
        <f>'1-συμβολαια'!D41</f>
        <v>1111</v>
      </c>
      <c r="D41" s="521">
        <v>5</v>
      </c>
      <c r="E41" s="521"/>
      <c r="F41" s="420">
        <f t="shared" si="0"/>
        <v>11.72</v>
      </c>
      <c r="G41" s="522"/>
      <c r="H41" s="412"/>
      <c r="I41" s="412"/>
      <c r="J41" s="412"/>
      <c r="K41" s="421"/>
      <c r="L41" s="421"/>
      <c r="M41" s="421"/>
      <c r="N41" s="421"/>
    </row>
    <row r="42" spans="1:14" s="165" customFormat="1" ht="15">
      <c r="A42" s="540">
        <f>'1-συμβολαια'!A42</f>
        <v>4625</v>
      </c>
      <c r="B42" s="417" t="str">
        <f>'1-συμβολαια'!C42</f>
        <v>*γονική ΨΙΛΗΣ ΚΥΡΙΟΤΗΤΑΣ</v>
      </c>
      <c r="C42" s="418">
        <f>'1-συμβολαια'!D42</f>
        <v>3061.77</v>
      </c>
      <c r="D42" s="521">
        <v>4</v>
      </c>
      <c r="E42" s="523">
        <v>5</v>
      </c>
      <c r="F42" s="420">
        <f t="shared" si="0"/>
        <v>8.7900000000000009</v>
      </c>
      <c r="G42" s="566">
        <f t="shared" si="0"/>
        <v>11.72</v>
      </c>
      <c r="H42" s="412"/>
      <c r="I42" s="412"/>
      <c r="J42" s="412"/>
      <c r="K42" s="421"/>
      <c r="L42" s="421"/>
      <c r="M42" s="421"/>
      <c r="N42" s="421"/>
    </row>
    <row r="43" spans="1:14" s="165" customFormat="1" ht="15">
      <c r="A43" s="540">
        <f>'1-συμβολαια'!A43</f>
        <v>0</v>
      </c>
      <c r="B43" s="417" t="str">
        <f>'1-συμβολαια'!C43</f>
        <v>ΧΡΗΣΙΚΤΗΣΙΑ αγροτεμαχίου = 19?? πατρός ΔΩΡΕΑ άτυπη</v>
      </c>
      <c r="C43" s="418">
        <f>'1-συμβολαια'!D43</f>
        <v>1111</v>
      </c>
      <c r="D43" s="521">
        <v>4</v>
      </c>
      <c r="E43" s="521"/>
      <c r="F43" s="420">
        <f t="shared" si="0"/>
        <v>8.7900000000000009</v>
      </c>
      <c r="G43" s="522"/>
      <c r="H43" s="412"/>
      <c r="I43" s="412"/>
      <c r="J43" s="412"/>
      <c r="K43" s="421"/>
      <c r="L43" s="421"/>
      <c r="M43" s="421"/>
      <c r="N43" s="421"/>
    </row>
    <row r="44" spans="1:14" s="165" customFormat="1" ht="15">
      <c r="A44" s="422">
        <f>'1-συμβολαια'!A44</f>
        <v>4626</v>
      </c>
      <c r="B44" s="417" t="str">
        <f>'1-συμβολαια'!C44</f>
        <v>*γονική ΨΙΛΗΣ ΚΥΡΙΟΤΗΤΑΣ</v>
      </c>
      <c r="C44" s="418">
        <f>'1-συμβολαια'!D44</f>
        <v>5079.72</v>
      </c>
      <c r="D44" s="521">
        <v>5</v>
      </c>
      <c r="E44" s="426">
        <v>6</v>
      </c>
      <c r="F44" s="420">
        <f t="shared" si="0"/>
        <v>11.72</v>
      </c>
      <c r="G44" s="566">
        <f t="shared" si="0"/>
        <v>14.65</v>
      </c>
      <c r="H44" s="412"/>
      <c r="I44" s="412"/>
      <c r="J44" s="412"/>
      <c r="K44" s="421"/>
      <c r="L44" s="421"/>
      <c r="M44" s="421"/>
      <c r="N44" s="421"/>
    </row>
    <row r="45" spans="1:14" s="165" customFormat="1" ht="15">
      <c r="A45" s="422">
        <f>'1-συμβολαια'!A45</f>
        <v>0</v>
      </c>
      <c r="B45" s="417" t="str">
        <f>'1-συμβολαια'!C45</f>
        <v>ΧΡΗΣΙΚΤΗΣΙΑ αγροτεμαχίου = 1979 ΑΝΑΔΑΣΜΟΣ</v>
      </c>
      <c r="C45" s="418">
        <f>'1-συμβολαια'!D45</f>
        <v>1111</v>
      </c>
      <c r="D45" s="521">
        <v>5</v>
      </c>
      <c r="E45" s="521"/>
      <c r="F45" s="420">
        <f t="shared" si="0"/>
        <v>11.72</v>
      </c>
      <c r="G45" s="522"/>
      <c r="H45" s="412"/>
      <c r="I45" s="412"/>
      <c r="J45" s="412"/>
      <c r="K45" s="421"/>
      <c r="L45" s="421"/>
      <c r="M45" s="421"/>
      <c r="N45" s="421"/>
    </row>
    <row r="46" spans="1:14" s="165" customFormat="1" ht="15">
      <c r="A46" s="422">
        <f>'1-συμβολαια'!A46</f>
        <v>0</v>
      </c>
      <c r="B46" s="417" t="str">
        <f>'1-συμβολαια'!C46</f>
        <v>ΧΡΗΣΙΚΤΗΣΙΑ αγροτεμαχίων = 1957 τακοΑναστασιο ΑΓΟΡΑΠΩΛΗΣΙΑ άτυπη</v>
      </c>
      <c r="C46" s="418">
        <f>'1-συμβολαια'!D46</f>
        <v>1111</v>
      </c>
      <c r="D46" s="521">
        <v>5</v>
      </c>
      <c r="E46" s="521"/>
      <c r="F46" s="420">
        <f t="shared" si="0"/>
        <v>11.72</v>
      </c>
      <c r="G46" s="522"/>
      <c r="H46" s="412"/>
      <c r="I46" s="412"/>
      <c r="J46" s="412"/>
      <c r="K46" s="421"/>
      <c r="L46" s="421"/>
      <c r="M46" s="421"/>
      <c r="N46" s="421"/>
    </row>
    <row r="47" spans="1:14" s="165" customFormat="1" ht="15">
      <c r="A47" s="540">
        <f>'1-συμβολαια'!A47</f>
        <v>4627</v>
      </c>
      <c r="B47" s="417" t="str">
        <f>'1-συμβολαια'!C47</f>
        <v>*δωρεά ΑΙΤΙΑ θανάτου</v>
      </c>
      <c r="C47" s="418">
        <f>'1-συμβολαια'!D47</f>
        <v>0</v>
      </c>
      <c r="D47" s="521">
        <v>2</v>
      </c>
      <c r="E47" s="521">
        <v>2</v>
      </c>
      <c r="F47" s="420">
        <f t="shared" si="0"/>
        <v>2.93</v>
      </c>
      <c r="G47" s="420">
        <f t="shared" si="0"/>
        <v>2.93</v>
      </c>
      <c r="H47" s="412"/>
      <c r="I47" s="412"/>
      <c r="J47" s="412"/>
      <c r="K47" s="421"/>
      <c r="L47" s="421"/>
      <c r="M47" s="421"/>
      <c r="N47" s="421"/>
    </row>
    <row r="48" spans="1:14" s="165" customFormat="1" ht="15">
      <c r="A48" s="540">
        <f>'1-συμβολαια'!A48</f>
        <v>0</v>
      </c>
      <c r="B48" s="417" t="str">
        <f>'1-συμβολαια'!C48</f>
        <v>ΧΡΗΣΙΚΤΗΣΙΑ αγροτεμαχίου [νυν οικόπεδο ΜΕ οικοδομή] ] = 1970 ΑΝΑΔΑΣΜΟΣ</v>
      </c>
      <c r="C48" s="418">
        <f>'1-συμβολαια'!D48</f>
        <v>1111</v>
      </c>
      <c r="D48" s="521">
        <v>2</v>
      </c>
      <c r="E48" s="521"/>
      <c r="F48" s="420">
        <f t="shared" si="0"/>
        <v>2.93</v>
      </c>
      <c r="G48" s="522"/>
      <c r="H48" s="412"/>
      <c r="I48" s="412"/>
      <c r="J48" s="412"/>
      <c r="K48" s="421"/>
      <c r="L48" s="421"/>
      <c r="M48" s="421"/>
      <c r="N48" s="421"/>
    </row>
    <row r="49" spans="1:14" s="165" customFormat="1" ht="15">
      <c r="A49" s="540">
        <f>'1-συμβολαια'!A49</f>
        <v>0</v>
      </c>
      <c r="B49" s="417" t="str">
        <f>'1-συμβολαια'!C49</f>
        <v>*γονικής 1262  ΕΠΙΚΑΡΠΙΑ …  ΔΩΡΕΑ αιτία θανάτου</v>
      </c>
      <c r="C49" s="418">
        <f>'1-συμβολαια'!D49</f>
        <v>8888</v>
      </c>
      <c r="D49" s="521">
        <v>2</v>
      </c>
      <c r="E49" s="521"/>
      <c r="F49" s="420">
        <f t="shared" si="0"/>
        <v>2.93</v>
      </c>
      <c r="G49" s="522"/>
      <c r="H49" s="412"/>
      <c r="I49" s="412"/>
      <c r="J49" s="412"/>
      <c r="K49" s="421"/>
      <c r="L49" s="421"/>
      <c r="M49" s="421"/>
      <c r="N49" s="421"/>
    </row>
    <row r="50" spans="1:14" s="165" customFormat="1" ht="15">
      <c r="A50" s="485">
        <f>'1-συμβολαια'!A50</f>
        <v>4628</v>
      </c>
      <c r="B50" s="417" t="str">
        <f>'1-συμβολαια'!C50</f>
        <v>πληρεξούσιο</v>
      </c>
      <c r="C50" s="418">
        <f>'1-συμβολαια'!D50</f>
        <v>0</v>
      </c>
      <c r="D50" s="521">
        <v>2</v>
      </c>
      <c r="E50" s="521">
        <v>2</v>
      </c>
      <c r="F50" s="420">
        <f t="shared" si="0"/>
        <v>2.93</v>
      </c>
      <c r="G50" s="420">
        <f t="shared" si="0"/>
        <v>2.93</v>
      </c>
      <c r="H50" s="412"/>
      <c r="I50" s="416" t="s">
        <v>148</v>
      </c>
      <c r="J50" s="412"/>
      <c r="K50" s="421"/>
      <c r="L50" s="421"/>
      <c r="M50" s="421"/>
      <c r="N50" s="421"/>
    </row>
    <row r="51" spans="1:14" s="165" customFormat="1" ht="15">
      <c r="A51" s="422">
        <f>'1-συμβολαια'!A51</f>
        <v>4629</v>
      </c>
      <c r="B51" s="417" t="str">
        <f>'1-συμβολαια'!C51</f>
        <v>κληρονομιάς ΑΠΟΔΟΧΗ</v>
      </c>
      <c r="C51" s="418">
        <f>'1-συμβολαια'!D51</f>
        <v>0</v>
      </c>
      <c r="D51" s="521">
        <v>4</v>
      </c>
      <c r="E51" s="521">
        <v>4</v>
      </c>
      <c r="F51" s="420">
        <f t="shared" si="0"/>
        <v>8.7900000000000009</v>
      </c>
      <c r="G51" s="420">
        <f t="shared" si="0"/>
        <v>8.7900000000000009</v>
      </c>
      <c r="H51" s="412"/>
      <c r="I51" s="416" t="s">
        <v>148</v>
      </c>
      <c r="J51" s="412"/>
      <c r="K51" s="421"/>
      <c r="L51" s="421"/>
      <c r="M51" s="421"/>
      <c r="N51" s="421"/>
    </row>
    <row r="52" spans="1:14" s="165" customFormat="1" ht="15">
      <c r="A52" s="422">
        <f>'1-συμβολαια'!A52</f>
        <v>0</v>
      </c>
      <c r="B52" s="417" t="str">
        <f>'1-συμβολαια'!C52</f>
        <v>ΧΡΗΣΙΚΤΗΣΙΑ αγροτεμαχίου = 1980 πατρός ΚΛΗΡΟΝΟΜΙΑ άτυπη</v>
      </c>
      <c r="C52" s="418">
        <f>'1-συμβολαια'!D52</f>
        <v>1111</v>
      </c>
      <c r="D52" s="521">
        <v>4</v>
      </c>
      <c r="E52" s="521"/>
      <c r="F52" s="420">
        <f t="shared" si="0"/>
        <v>8.7900000000000009</v>
      </c>
      <c r="G52" s="522"/>
      <c r="H52" s="412"/>
      <c r="I52" s="412"/>
      <c r="J52" s="412"/>
      <c r="K52" s="421"/>
      <c r="L52" s="421"/>
      <c r="M52" s="421"/>
      <c r="N52" s="421"/>
    </row>
    <row r="53" spans="1:14" s="165" customFormat="1" ht="15">
      <c r="A53" s="422">
        <f>'1-συμβολαια'!A53</f>
        <v>0</v>
      </c>
      <c r="B53" s="417" t="str">
        <f>'1-συμβολαια'!C53</f>
        <v>ΧΡΗΣΙΚΤΗΣΙΑ αγροτεμαχίου = 1980 ΔΙΑΝΟΜΗ άτυπη</v>
      </c>
      <c r="C53" s="418">
        <f>'1-συμβολαια'!D53</f>
        <v>11</v>
      </c>
      <c r="D53" s="521">
        <v>4</v>
      </c>
      <c r="E53" s="521"/>
      <c r="F53" s="420">
        <f t="shared" si="0"/>
        <v>8.7900000000000009</v>
      </c>
      <c r="G53" s="522"/>
      <c r="H53" s="412"/>
      <c r="I53" s="412"/>
      <c r="J53" s="412"/>
      <c r="K53" s="421"/>
      <c r="L53" s="421"/>
      <c r="M53" s="421"/>
      <c r="N53" s="421"/>
    </row>
    <row r="54" spans="1:14" s="165" customFormat="1" ht="15">
      <c r="A54" s="540">
        <f>'1-συμβολαια'!A54</f>
        <v>4630</v>
      </c>
      <c r="B54" s="417" t="str">
        <f>'1-συμβολαια'!C54</f>
        <v xml:space="preserve">αγοραπωλησίας ΠΡΟΣΥΜΦΩΝΟ τίμημα = αρραβών = </v>
      </c>
      <c r="C54" s="418">
        <f>'1-συμβολαια'!D54</f>
        <v>8804.1</v>
      </c>
      <c r="D54" s="521">
        <v>3</v>
      </c>
      <c r="E54" s="426">
        <v>4</v>
      </c>
      <c r="F54" s="420">
        <f t="shared" si="0"/>
        <v>5.86</v>
      </c>
      <c r="G54" s="566">
        <f t="shared" si="0"/>
        <v>8.7900000000000009</v>
      </c>
      <c r="H54" s="412"/>
      <c r="I54" s="416" t="s">
        <v>148</v>
      </c>
      <c r="J54" s="412"/>
      <c r="K54" s="421"/>
      <c r="L54" s="421"/>
      <c r="M54" s="421"/>
      <c r="N54" s="421"/>
    </row>
    <row r="55" spans="1:14" s="165" customFormat="1" ht="15">
      <c r="A55" s="540">
        <f>'1-συμβολαια'!A55</f>
        <v>0</v>
      </c>
      <c r="B55" s="417" t="str">
        <f>'1-συμβολαια'!C55</f>
        <v>ΧΡΗΣΙΚΤΗΣΙΑ αγροτεμαχίου = 1970 συζύγου ΔΩΡΕΑ άτυπη</v>
      </c>
      <c r="C55" s="418">
        <f>'1-συμβολαια'!D55</f>
        <v>5555</v>
      </c>
      <c r="D55" s="521">
        <v>3</v>
      </c>
      <c r="E55" s="521"/>
      <c r="F55" s="420">
        <f t="shared" si="0"/>
        <v>5.86</v>
      </c>
      <c r="G55" s="522"/>
      <c r="H55" s="412"/>
      <c r="I55" s="412"/>
      <c r="J55" s="412"/>
      <c r="K55" s="421"/>
      <c r="L55" s="421"/>
      <c r="M55" s="421"/>
      <c r="N55" s="421"/>
    </row>
    <row r="56" spans="1:14" s="165" customFormat="1" ht="15">
      <c r="A56" s="485">
        <f>'1-συμβολαια'!A56</f>
        <v>4631</v>
      </c>
      <c r="B56" s="417" t="str">
        <f>'1-συμβολαια'!C56</f>
        <v>αγοραπωλησίας 4.191 ΕΞΟΦΛΗΣΗ</v>
      </c>
      <c r="C56" s="418">
        <f>'1-συμβολαια'!D56</f>
        <v>0</v>
      </c>
      <c r="D56" s="521">
        <v>2</v>
      </c>
      <c r="E56" s="426">
        <v>3</v>
      </c>
      <c r="F56" s="420">
        <f t="shared" si="0"/>
        <v>2.93</v>
      </c>
      <c r="G56" s="566">
        <f t="shared" si="0"/>
        <v>5.86</v>
      </c>
      <c r="H56" s="412"/>
      <c r="I56" s="416" t="s">
        <v>148</v>
      </c>
      <c r="J56" s="412"/>
      <c r="K56" s="421"/>
      <c r="L56" s="421"/>
      <c r="M56" s="421"/>
      <c r="N56" s="421"/>
    </row>
    <row r="57" spans="1:14" s="165" customFormat="1" ht="15">
      <c r="A57" s="485"/>
      <c r="B57" s="417"/>
      <c r="C57" s="418"/>
      <c r="D57" s="521"/>
      <c r="E57" s="521"/>
      <c r="F57" s="420"/>
      <c r="G57" s="522"/>
      <c r="H57" s="412"/>
      <c r="I57" s="412"/>
      <c r="J57" s="412"/>
      <c r="K57" s="421"/>
      <c r="L57" s="421"/>
      <c r="M57" s="421"/>
      <c r="N57" s="421"/>
    </row>
    <row r="58" spans="1:14" s="165" customFormat="1" ht="15">
      <c r="A58" s="485"/>
      <c r="B58" s="417"/>
      <c r="C58" s="418"/>
      <c r="D58" s="521"/>
      <c r="E58" s="521"/>
      <c r="F58" s="420"/>
      <c r="G58" s="522"/>
      <c r="H58" s="412"/>
      <c r="I58" s="412"/>
      <c r="J58" s="412"/>
      <c r="K58" s="421"/>
      <c r="L58" s="421"/>
      <c r="M58" s="421"/>
      <c r="N58" s="421"/>
    </row>
    <row r="59" spans="1:14" ht="15.75">
      <c r="A59" s="638" t="s">
        <v>60</v>
      </c>
      <c r="B59" s="639"/>
      <c r="C59" s="639"/>
      <c r="D59" s="639"/>
      <c r="E59" s="640"/>
      <c r="F59" s="133">
        <f>SUM(F3:F58)</f>
        <v>471.73000000000042</v>
      </c>
      <c r="G59" s="133">
        <f>SUM(G3:G58)</f>
        <v>290.0800000000001</v>
      </c>
    </row>
    <row r="60" spans="1:14" ht="15.75">
      <c r="H60" s="167" t="s">
        <v>158</v>
      </c>
      <c r="I60" s="168"/>
      <c r="J60" s="168"/>
      <c r="K60" s="168"/>
      <c r="L60" s="168"/>
      <c r="M60" s="168"/>
    </row>
    <row r="61" spans="1:14" ht="15.75">
      <c r="B61" s="371" t="s">
        <v>512</v>
      </c>
      <c r="C61" s="372"/>
      <c r="D61" s="372"/>
      <c r="E61" s="372"/>
      <c r="F61" s="372"/>
      <c r="I61" s="168" t="s">
        <v>159</v>
      </c>
      <c r="J61" s="168"/>
      <c r="K61" s="168"/>
      <c r="L61" s="168"/>
      <c r="M61" s="104"/>
    </row>
    <row r="62" spans="1:14" ht="15.75">
      <c r="B62" s="3"/>
      <c r="C62" s="256" t="s">
        <v>61</v>
      </c>
      <c r="D62" s="3"/>
      <c r="J62" s="167" t="s">
        <v>160</v>
      </c>
    </row>
    <row r="65" spans="2:6">
      <c r="B65" s="255" t="s">
        <v>613</v>
      </c>
    </row>
    <row r="66" spans="2:6">
      <c r="B66" s="254" t="s">
        <v>614</v>
      </c>
      <c r="F66" s="73">
        <f>F59-G59</f>
        <v>181.65000000000032</v>
      </c>
    </row>
  </sheetData>
  <mergeCells count="7">
    <mergeCell ref="H1:N2"/>
    <mergeCell ref="A59:E5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67"/>
  <sheetViews>
    <sheetView workbookViewId="0">
      <pane ySplit="2" topLeftCell="A3" activePane="bottomLeft" state="frozen"/>
      <selection pane="bottomLeft" activeCell="E21" sqref="E21"/>
    </sheetView>
  </sheetViews>
  <sheetFormatPr defaultRowHeight="11.25"/>
  <cols>
    <col min="1" max="1" width="11.5703125" style="8" bestFit="1" customWidth="1"/>
    <col min="2" max="2" width="98.28515625" style="111" bestFit="1" customWidth="1"/>
    <col min="3" max="3" width="7.28515625" style="8" bestFit="1" customWidth="1"/>
    <col min="4" max="4" width="16.28515625" style="8" customWidth="1"/>
    <col min="5" max="5" width="18.5703125" style="8" customWidth="1"/>
    <col min="6" max="6" width="10.42578125" style="8" customWidth="1"/>
    <col min="7" max="7" width="4.140625" style="8" bestFit="1" customWidth="1"/>
    <col min="8" max="8" width="7.28515625" style="8" bestFit="1" customWidth="1"/>
    <col min="9" max="9" width="16.28515625" style="8" customWidth="1"/>
    <col min="10" max="10" width="5.5703125" style="8" customWidth="1"/>
    <col min="11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98" customWidth="1"/>
    <col min="18" max="20" width="6.7109375" style="98" customWidth="1"/>
    <col min="21" max="21" width="30.5703125" style="98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 ht="15.75">
      <c r="A1" s="622" t="s">
        <v>1</v>
      </c>
      <c r="B1" s="624" t="s">
        <v>0</v>
      </c>
      <c r="C1" s="651" t="s">
        <v>11</v>
      </c>
      <c r="D1" s="651"/>
      <c r="E1" s="651"/>
      <c r="F1" s="651"/>
      <c r="G1" s="651"/>
      <c r="H1" s="652" t="s">
        <v>12</v>
      </c>
      <c r="I1" s="652"/>
      <c r="J1" s="652"/>
      <c r="K1" s="652"/>
      <c r="L1" s="652"/>
      <c r="M1" s="652"/>
      <c r="N1" s="652"/>
      <c r="O1" s="655" t="s">
        <v>93</v>
      </c>
      <c r="P1" s="653" t="s">
        <v>247</v>
      </c>
      <c r="Q1" s="614" t="s">
        <v>29</v>
      </c>
      <c r="R1" s="615"/>
      <c r="S1" s="615"/>
      <c r="T1" s="615"/>
      <c r="U1" s="616"/>
    </row>
    <row r="2" spans="1:21" ht="24" customHeight="1" thickBot="1">
      <c r="A2" s="623"/>
      <c r="B2" s="625"/>
      <c r="C2" s="7" t="s">
        <v>47</v>
      </c>
      <c r="D2" s="7" t="s">
        <v>48</v>
      </c>
      <c r="E2" s="7" t="s">
        <v>49</v>
      </c>
      <c r="F2" s="7" t="s">
        <v>50</v>
      </c>
      <c r="G2" s="42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3" t="s">
        <v>53</v>
      </c>
      <c r="O2" s="656"/>
      <c r="P2" s="654"/>
      <c r="Q2" s="617"/>
      <c r="R2" s="618"/>
      <c r="S2" s="618"/>
      <c r="T2" s="618"/>
      <c r="U2" s="619"/>
    </row>
    <row r="3" spans="1:21" s="328" customFormat="1" ht="15">
      <c r="A3" s="422">
        <f>'1-συμβολαια'!A3</f>
        <v>4600</v>
      </c>
      <c r="B3" s="427" t="str">
        <f>'1-συμβολαια'!C3</f>
        <v>δωρεά</v>
      </c>
      <c r="C3" s="428">
        <v>1</v>
      </c>
      <c r="D3" s="324"/>
      <c r="E3" s="324"/>
      <c r="F3" s="324"/>
      <c r="G3" s="324"/>
      <c r="H3" s="428">
        <v>1</v>
      </c>
      <c r="I3" s="324"/>
      <c r="J3" s="324"/>
      <c r="K3" s="324"/>
      <c r="L3" s="324"/>
      <c r="M3" s="324"/>
      <c r="N3" s="324"/>
      <c r="O3" s="431"/>
      <c r="P3" s="489"/>
      <c r="Q3" s="432"/>
      <c r="R3" s="432"/>
      <c r="S3" s="432"/>
      <c r="T3" s="432"/>
      <c r="U3" s="433"/>
    </row>
    <row r="4" spans="1:21" s="328" customFormat="1" ht="15">
      <c r="A4" s="422">
        <f>'1-συμβολαια'!A4</f>
        <v>0</v>
      </c>
      <c r="B4" s="427" t="str">
        <f>'1-συμβολαια'!C4</f>
        <v>ΧΡΗΣΙΚΤΗΣΙΑ οικοπέδου &amp; οικίας = 1930 πατρός ΔΩΡΕΑ άτυπη</v>
      </c>
      <c r="C4" s="428">
        <v>1</v>
      </c>
      <c r="D4" s="324"/>
      <c r="E4" s="324"/>
      <c r="F4" s="324"/>
      <c r="G4" s="324"/>
      <c r="H4" s="324">
        <v>1</v>
      </c>
      <c r="I4" s="324"/>
      <c r="J4" s="324"/>
      <c r="K4" s="324"/>
      <c r="L4" s="324"/>
      <c r="M4" s="324"/>
      <c r="N4" s="324"/>
      <c r="O4" s="429"/>
      <c r="P4" s="268"/>
      <c r="Q4" s="270"/>
      <c r="R4" s="270"/>
      <c r="S4" s="270"/>
      <c r="T4" s="270"/>
      <c r="U4" s="430"/>
    </row>
    <row r="5" spans="1:21" s="328" customFormat="1" ht="15">
      <c r="A5" s="485">
        <f>'1-συμβολαια'!A5</f>
        <v>4601</v>
      </c>
      <c r="B5" s="427" t="str">
        <f>'1-συμβολαια'!C5</f>
        <v>αγοραπωλησίας 13.835κ ΕΞΟΦΛΗΣΗ</v>
      </c>
      <c r="C5" s="428">
        <v>1</v>
      </c>
      <c r="D5" s="324"/>
      <c r="E5" s="324"/>
      <c r="F5" s="324"/>
      <c r="G5" s="324"/>
      <c r="H5" s="324">
        <v>2</v>
      </c>
      <c r="I5" s="324"/>
      <c r="J5" s="324"/>
      <c r="K5" s="324"/>
      <c r="L5" s="324"/>
      <c r="M5" s="324"/>
      <c r="N5" s="324"/>
      <c r="O5" s="324">
        <v>1</v>
      </c>
      <c r="P5" s="420">
        <f>O5*('2-δικαιώμ'!N5+'3-φύλλα2α'!F5)</f>
        <v>14.66</v>
      </c>
      <c r="Q5" s="487" t="s">
        <v>165</v>
      </c>
      <c r="R5" s="487" t="s">
        <v>164</v>
      </c>
      <c r="S5" s="487"/>
      <c r="T5" s="487"/>
      <c r="U5" s="488"/>
    </row>
    <row r="6" spans="1:21" s="328" customFormat="1" ht="15">
      <c r="A6" s="422">
        <f>'1-συμβολαια'!A6</f>
        <v>4602</v>
      </c>
      <c r="B6" s="427" t="str">
        <f>'1-συμβολαια'!C6</f>
        <v>κληρονομιάς ΑΠΟΔΟΧΗ</v>
      </c>
      <c r="C6" s="428">
        <v>2</v>
      </c>
      <c r="D6" s="324"/>
      <c r="E6" s="324"/>
      <c r="F6" s="324"/>
      <c r="G6" s="324"/>
      <c r="H6" s="324">
        <v>1</v>
      </c>
      <c r="I6" s="324"/>
      <c r="J6" s="324"/>
      <c r="K6" s="324"/>
      <c r="L6" s="324"/>
      <c r="M6" s="324"/>
      <c r="N6" s="324"/>
      <c r="O6" s="324">
        <v>1</v>
      </c>
      <c r="P6" s="420">
        <f>O6*('2-δικαιώμ'!N6+'3-φύλλα2α'!F6)</f>
        <v>32.28</v>
      </c>
      <c r="Q6" s="487" t="s">
        <v>165</v>
      </c>
      <c r="R6" s="487" t="s">
        <v>164</v>
      </c>
      <c r="S6" s="487"/>
      <c r="T6" s="487"/>
      <c r="U6" s="488"/>
    </row>
    <row r="7" spans="1:21" s="328" customFormat="1" ht="15">
      <c r="A7" s="422">
        <f>'1-συμβολαια'!A7</f>
        <v>0</v>
      </c>
      <c r="B7" s="427" t="str">
        <f>'1-συμβολαια'!C7</f>
        <v>ΧΡΗΣΙΚΤΗΣΙΑ αγροτεμαχίου = 19?? ΑΝΑΔΑΣΜΟΣ</v>
      </c>
      <c r="C7" s="428">
        <v>1</v>
      </c>
      <c r="D7" s="324"/>
      <c r="E7" s="324"/>
      <c r="F7" s="324"/>
      <c r="G7" s="324"/>
      <c r="H7" s="324"/>
      <c r="I7" s="324"/>
      <c r="J7" s="324"/>
      <c r="K7" s="324"/>
      <c r="L7" s="324"/>
      <c r="M7" s="324"/>
      <c r="N7" s="324"/>
      <c r="O7" s="324"/>
      <c r="P7" s="420">
        <f>O7*('2-δικαιώμ'!N7+'3-φύλλα2α'!F7)</f>
        <v>0</v>
      </c>
      <c r="Q7" s="487"/>
      <c r="R7" s="487"/>
      <c r="S7" s="487"/>
      <c r="T7" s="487"/>
      <c r="U7" s="488"/>
    </row>
    <row r="8" spans="1:21" s="328" customFormat="1" ht="15">
      <c r="A8" s="485">
        <f>'1-συμβολαια'!A8</f>
        <v>4603</v>
      </c>
      <c r="B8" s="427" t="str">
        <f>'1-συμβολαια'!C8</f>
        <v>γονικής 11.618καπολα ΔΙΟΡΘΩΣΗ</v>
      </c>
      <c r="C8" s="324">
        <v>1</v>
      </c>
      <c r="D8" s="324"/>
      <c r="E8" s="324"/>
      <c r="F8" s="324"/>
      <c r="G8" s="324"/>
      <c r="H8" s="428">
        <v>3</v>
      </c>
      <c r="I8" s="324"/>
      <c r="J8" s="324"/>
      <c r="K8" s="324"/>
      <c r="L8" s="324"/>
      <c r="M8" s="324"/>
      <c r="N8" s="324"/>
      <c r="O8" s="324">
        <v>2</v>
      </c>
      <c r="P8" s="420">
        <f>O8*('2-δικαιώμ'!N8+'3-φύλλα2α'!F8)</f>
        <v>23.46</v>
      </c>
      <c r="Q8" s="487" t="s">
        <v>165</v>
      </c>
      <c r="R8" s="487" t="s">
        <v>164</v>
      </c>
      <c r="S8" s="487"/>
      <c r="T8" s="487"/>
      <c r="U8" s="488"/>
    </row>
    <row r="9" spans="1:21" s="328" customFormat="1" ht="15">
      <c r="A9" s="485">
        <f>'1-συμβολαια'!A9</f>
        <v>4604</v>
      </c>
      <c r="B9" s="427" t="str">
        <f>'1-συμβολαια'!C9</f>
        <v>γονικής 11.619καπολα ΔΙΟΡΘΩΣΗ</v>
      </c>
      <c r="C9" s="324">
        <v>1</v>
      </c>
      <c r="D9" s="324"/>
      <c r="E9" s="324"/>
      <c r="F9" s="324"/>
      <c r="G9" s="324"/>
      <c r="H9" s="428">
        <v>3</v>
      </c>
      <c r="I9" s="324"/>
      <c r="J9" s="324"/>
      <c r="K9" s="324"/>
      <c r="L9" s="324"/>
      <c r="M9" s="324"/>
      <c r="N9" s="324"/>
      <c r="O9" s="324">
        <v>2</v>
      </c>
      <c r="P9" s="420">
        <f>O9*('2-δικαιώμ'!N9+'3-φύλλα2α'!F9)</f>
        <v>23.46</v>
      </c>
      <c r="Q9" s="487" t="s">
        <v>165</v>
      </c>
      <c r="R9" s="487" t="s">
        <v>164</v>
      </c>
      <c r="S9" s="487"/>
      <c r="T9" s="487"/>
      <c r="U9" s="488"/>
    </row>
    <row r="10" spans="1:21" s="328" customFormat="1" ht="15">
      <c r="A10" s="485">
        <f>'1-συμβολαια'!A10</f>
        <v>4605</v>
      </c>
      <c r="B10" s="515" t="str">
        <f>'1-συμβολαια'!C10</f>
        <v>* γονικής 11.618καπολα επικαρπίας ΕΝΣΩΜΑΤΩΣΗ {= παραίτηση αδερφής δικαιώματος οίκησης</v>
      </c>
      <c r="C10" s="428">
        <v>1</v>
      </c>
      <c r="D10" s="324"/>
      <c r="E10" s="324"/>
      <c r="F10" s="324"/>
      <c r="G10" s="324"/>
      <c r="H10" s="324">
        <v>1</v>
      </c>
      <c r="I10" s="324"/>
      <c r="J10" s="324"/>
      <c r="K10" s="324"/>
      <c r="L10" s="324"/>
      <c r="M10" s="324"/>
      <c r="N10" s="324"/>
      <c r="O10" s="324"/>
      <c r="P10" s="420">
        <f>O10*('2-δικαιώμ'!N10+'3-φύλλα2α'!F10)</f>
        <v>0</v>
      </c>
      <c r="Q10" s="487"/>
      <c r="R10" s="487"/>
      <c r="S10" s="487"/>
      <c r="T10" s="487"/>
      <c r="U10" s="488"/>
    </row>
    <row r="11" spans="1:21" s="328" customFormat="1" ht="15">
      <c r="A11" s="485">
        <f>'1-συμβολαια'!A11</f>
        <v>4606</v>
      </c>
      <c r="B11" s="427" t="str">
        <f>'1-συμβολαια'!C11</f>
        <v>πληρεξούσιο</v>
      </c>
      <c r="C11" s="428">
        <v>2</v>
      </c>
      <c r="D11" s="324"/>
      <c r="E11" s="324"/>
      <c r="F11" s="324"/>
      <c r="G11" s="324"/>
      <c r="H11" s="324">
        <v>1</v>
      </c>
      <c r="I11" s="324"/>
      <c r="J11" s="324"/>
      <c r="K11" s="324"/>
      <c r="L11" s="324"/>
      <c r="M11" s="324"/>
      <c r="N11" s="324"/>
      <c r="O11" s="324">
        <v>1</v>
      </c>
      <c r="P11" s="420">
        <f>O11*('2-δικαιώμ'!N11+'3-φύλλα2α'!F11)</f>
        <v>14.66</v>
      </c>
      <c r="Q11" s="487" t="s">
        <v>165</v>
      </c>
      <c r="R11" s="487" t="s">
        <v>164</v>
      </c>
      <c r="S11" s="487"/>
      <c r="T11" s="487"/>
      <c r="U11" s="488"/>
    </row>
    <row r="12" spans="1:21" s="328" customFormat="1" ht="15">
      <c r="A12" s="485">
        <f>'1-συμβολαια'!A12</f>
        <v>4607</v>
      </c>
      <c r="B12" s="427" t="str">
        <f>'1-συμβολαια'!C12</f>
        <v>αγοραπωλησίας 3.919 ΔΙΟΡΘΩΣΗ</v>
      </c>
      <c r="C12" s="428">
        <v>1</v>
      </c>
      <c r="D12" s="324"/>
      <c r="E12" s="324"/>
      <c r="F12" s="324"/>
      <c r="G12" s="324"/>
      <c r="H12" s="324">
        <v>2</v>
      </c>
      <c r="I12" s="324"/>
      <c r="J12" s="324"/>
      <c r="K12" s="324"/>
      <c r="L12" s="324"/>
      <c r="M12" s="324"/>
      <c r="N12" s="324"/>
      <c r="O12" s="324">
        <v>1</v>
      </c>
      <c r="P12" s="420">
        <f>O12*('2-δικαιώμ'!N12+'3-φύλλα2α'!F12)</f>
        <v>14.66</v>
      </c>
      <c r="Q12" s="487" t="s">
        <v>165</v>
      </c>
      <c r="R12" s="487" t="s">
        <v>164</v>
      </c>
      <c r="S12" s="487"/>
      <c r="T12" s="487"/>
      <c r="U12" s="488"/>
    </row>
    <row r="13" spans="1:21" s="328" customFormat="1" ht="15">
      <c r="A13" s="485">
        <f>'1-συμβολαια'!A13</f>
        <v>4608</v>
      </c>
      <c r="B13" s="427" t="str">
        <f>'1-συμβολαια'!C13</f>
        <v>αγοραπωλησία τίμημα = Δ.Ο.Υ. =</v>
      </c>
      <c r="C13" s="524">
        <v>1</v>
      </c>
      <c r="D13" s="329"/>
      <c r="E13" s="329"/>
      <c r="F13" s="329"/>
      <c r="G13" s="329"/>
      <c r="H13" s="329">
        <v>1</v>
      </c>
      <c r="I13" s="329"/>
      <c r="J13" s="329"/>
      <c r="K13" s="329"/>
      <c r="L13" s="329"/>
      <c r="M13" s="329"/>
      <c r="N13" s="329"/>
      <c r="O13" s="324"/>
      <c r="P13" s="420">
        <f>O13*('2-δικαιώμ'!N13+'3-φύλλα2α'!F13)</f>
        <v>0</v>
      </c>
      <c r="Q13" s="487"/>
      <c r="R13" s="487"/>
      <c r="S13" s="487"/>
      <c r="T13" s="487"/>
      <c r="U13" s="488"/>
    </row>
    <row r="14" spans="1:21" s="328" customFormat="1" ht="15">
      <c r="A14" s="485">
        <f>'1-συμβολαια'!A14</f>
        <v>4609</v>
      </c>
      <c r="B14" s="427" t="str">
        <f>'1-συμβολαια'!C14</f>
        <v>αγοραπωλησία τίμημα = 6.057,27 Δ.Ο.Υ. =</v>
      </c>
      <c r="C14" s="524">
        <v>1</v>
      </c>
      <c r="D14" s="329"/>
      <c r="E14" s="329"/>
      <c r="F14" s="329"/>
      <c r="G14" s="329"/>
      <c r="H14" s="329">
        <v>1</v>
      </c>
      <c r="I14" s="329"/>
      <c r="J14" s="329"/>
      <c r="K14" s="329"/>
      <c r="L14" s="329"/>
      <c r="M14" s="329"/>
      <c r="N14" s="329"/>
      <c r="O14" s="324"/>
      <c r="P14" s="420">
        <f>O14*('2-δικαιώμ'!N14+'3-φύλλα2α'!F14)</f>
        <v>0</v>
      </c>
      <c r="Q14" s="487"/>
      <c r="R14" s="487"/>
      <c r="S14" s="487"/>
      <c r="T14" s="487"/>
      <c r="U14" s="488"/>
    </row>
    <row r="15" spans="1:21" s="328" customFormat="1" ht="15">
      <c r="A15" s="485">
        <f>'1-συμβολαια'!A15</f>
        <v>4610</v>
      </c>
      <c r="B15" s="427" t="str">
        <f>'1-συμβολαια'!C15</f>
        <v>πληρεξούσιο</v>
      </c>
      <c r="C15" s="524">
        <v>1</v>
      </c>
      <c r="D15" s="329"/>
      <c r="E15" s="329"/>
      <c r="F15" s="329"/>
      <c r="G15" s="329"/>
      <c r="H15" s="329">
        <v>1</v>
      </c>
      <c r="I15" s="329"/>
      <c r="J15" s="329"/>
      <c r="K15" s="329"/>
      <c r="L15" s="329"/>
      <c r="M15" s="329"/>
      <c r="N15" s="329"/>
      <c r="O15" s="324"/>
      <c r="P15" s="420">
        <f>O15*('2-δικαιώμ'!N15+'3-φύλλα2α'!F15)</f>
        <v>0</v>
      </c>
      <c r="Q15" s="487"/>
      <c r="R15" s="487"/>
      <c r="S15" s="487"/>
      <c r="T15" s="487"/>
      <c r="U15" s="488"/>
    </row>
    <row r="16" spans="1:21" s="328" customFormat="1" ht="15">
      <c r="A16" s="422">
        <f>'1-συμβολαια'!A16</f>
        <v>4611</v>
      </c>
      <c r="B16" s="427" t="str">
        <f>'1-συμβολαια'!C16</f>
        <v>γονική</v>
      </c>
      <c r="C16" s="524">
        <v>1</v>
      </c>
      <c r="D16" s="329"/>
      <c r="E16" s="329"/>
      <c r="F16" s="329"/>
      <c r="G16" s="329"/>
      <c r="H16" s="329">
        <v>1</v>
      </c>
      <c r="I16" s="329"/>
      <c r="J16" s="329"/>
      <c r="K16" s="329"/>
      <c r="L16" s="329"/>
      <c r="M16" s="329"/>
      <c r="N16" s="329"/>
      <c r="O16" s="324"/>
      <c r="P16" s="420">
        <f>O16*('2-δικαιώμ'!N16+'3-φύλλα2α'!F16)</f>
        <v>0</v>
      </c>
      <c r="Q16" s="487"/>
      <c r="R16" s="487"/>
      <c r="S16" s="487"/>
      <c r="T16" s="487"/>
      <c r="U16" s="488"/>
    </row>
    <row r="17" spans="1:21" s="328" customFormat="1" ht="15">
      <c r="A17" s="422">
        <f>'1-συμβολαια'!A17</f>
        <v>0</v>
      </c>
      <c r="B17" s="528" t="str">
        <f>'1-συμβολαια'!C17</f>
        <v>ΧΡΗΣΙΚΤΗΣΙΑ οικοπέδου = 1973 κυπαρισσίουΠαναγιώτη ΑΓΟΡΑΠΩΛΗΣΙΑ άτυπη</v>
      </c>
      <c r="C17" s="524">
        <v>1</v>
      </c>
      <c r="D17" s="329"/>
      <c r="E17" s="329"/>
      <c r="F17" s="329"/>
      <c r="G17" s="329"/>
      <c r="H17" s="524">
        <v>1</v>
      </c>
      <c r="I17" s="329"/>
      <c r="J17" s="329"/>
      <c r="K17" s="329"/>
      <c r="L17" s="329"/>
      <c r="M17" s="329"/>
      <c r="N17" s="329"/>
      <c r="O17" s="324"/>
      <c r="P17" s="420">
        <f>O17*('2-δικαιώμ'!N17+'3-φύλλα2α'!F17)</f>
        <v>0</v>
      </c>
      <c r="Q17" s="487"/>
      <c r="R17" s="487"/>
      <c r="S17" s="487"/>
      <c r="T17" s="487"/>
      <c r="U17" s="529"/>
    </row>
    <row r="18" spans="1:21" s="328" customFormat="1" ht="15">
      <c r="A18" s="422">
        <f>'1-συμβολαια'!A18</f>
        <v>0</v>
      </c>
      <c r="B18" s="427" t="str">
        <f>'1-συμβολαια'!C18</f>
        <v>οριζόντιος ΣΥΣΤΑΣΗ</v>
      </c>
      <c r="C18" s="524">
        <v>1</v>
      </c>
      <c r="D18" s="329"/>
      <c r="E18" s="329"/>
      <c r="F18" s="329"/>
      <c r="G18" s="329"/>
      <c r="H18" s="329"/>
      <c r="I18" s="329"/>
      <c r="J18" s="329"/>
      <c r="K18" s="329"/>
      <c r="L18" s="329"/>
      <c r="M18" s="329"/>
      <c r="N18" s="329"/>
      <c r="O18" s="324"/>
      <c r="P18" s="420">
        <f>O18*('2-δικαιώμ'!N18+'3-φύλλα2α'!F18)</f>
        <v>0</v>
      </c>
      <c r="Q18" s="487"/>
      <c r="R18" s="487"/>
      <c r="S18" s="487"/>
      <c r="T18" s="487"/>
      <c r="U18" s="488"/>
    </row>
    <row r="19" spans="1:21" s="328" customFormat="1" ht="15">
      <c r="A19" s="485">
        <f>'1-συμβολαια'!A19</f>
        <v>4612</v>
      </c>
      <c r="B19" s="427" t="str">
        <f>'1-συμβολαια'!C19</f>
        <v>κληρονομιάς ΑΠΟΔΟΧΗ</v>
      </c>
      <c r="C19" s="524">
        <v>1</v>
      </c>
      <c r="D19" s="329"/>
      <c r="E19" s="329"/>
      <c r="F19" s="329"/>
      <c r="G19" s="329"/>
      <c r="H19" s="329">
        <v>2</v>
      </c>
      <c r="I19" s="329"/>
      <c r="J19" s="329"/>
      <c r="K19" s="329"/>
      <c r="L19" s="329"/>
      <c r="M19" s="329"/>
      <c r="N19" s="329"/>
      <c r="O19" s="324">
        <v>1</v>
      </c>
      <c r="P19" s="420">
        <f>O19*('2-δικαιώμ'!N19+'3-φύλλα2α'!F19)</f>
        <v>35.21</v>
      </c>
      <c r="Q19" s="487" t="s">
        <v>165</v>
      </c>
      <c r="R19" s="487" t="s">
        <v>164</v>
      </c>
      <c r="S19" s="487"/>
      <c r="T19" s="487"/>
      <c r="U19" s="488"/>
    </row>
    <row r="20" spans="1:21" s="328" customFormat="1" ht="15">
      <c r="A20" s="485">
        <f>'1-συμβολαια'!A20</f>
        <v>4613</v>
      </c>
      <c r="B20" s="427" t="str">
        <f>'1-συμβολαια'!C20</f>
        <v>γονική</v>
      </c>
      <c r="C20" s="524">
        <v>1</v>
      </c>
      <c r="D20" s="329"/>
      <c r="E20" s="329"/>
      <c r="F20" s="329"/>
      <c r="G20" s="329"/>
      <c r="H20" s="329">
        <v>1</v>
      </c>
      <c r="I20" s="329"/>
      <c r="J20" s="329"/>
      <c r="K20" s="329"/>
      <c r="L20" s="329"/>
      <c r="M20" s="329"/>
      <c r="N20" s="329"/>
      <c r="O20" s="324"/>
      <c r="P20" s="420">
        <f>O20*('2-δικαιώμ'!N20+'3-φύλλα2α'!F20)</f>
        <v>0</v>
      </c>
      <c r="Q20" s="487"/>
      <c r="R20" s="487"/>
      <c r="S20" s="487"/>
      <c r="T20" s="487"/>
      <c r="U20" s="488"/>
    </row>
    <row r="21" spans="1:21" s="328" customFormat="1" ht="15">
      <c r="A21" s="485">
        <f>'1-συμβολαια'!A21</f>
        <v>4614</v>
      </c>
      <c r="B21" s="427" t="str">
        <f>'1-συμβολαια'!C21</f>
        <v>διαθήκη</v>
      </c>
      <c r="C21" s="524">
        <v>1</v>
      </c>
      <c r="D21" s="329"/>
      <c r="E21" s="329"/>
      <c r="F21" s="329"/>
      <c r="G21" s="329"/>
      <c r="H21" s="329">
        <v>2</v>
      </c>
      <c r="I21" s="329"/>
      <c r="J21" s="329"/>
      <c r="K21" s="329"/>
      <c r="L21" s="329"/>
      <c r="M21" s="329"/>
      <c r="N21" s="329"/>
      <c r="O21" s="535"/>
      <c r="P21" s="420">
        <f>O21*('2-δικαιώμ'!N21+'3-φύλλα2α'!F21)</f>
        <v>0</v>
      </c>
      <c r="Q21" s="536" t="s">
        <v>165</v>
      </c>
      <c r="R21" s="536" t="s">
        <v>164</v>
      </c>
      <c r="S21" s="487"/>
      <c r="T21" s="487"/>
      <c r="U21" s="488"/>
    </row>
    <row r="22" spans="1:21" s="328" customFormat="1" ht="15">
      <c r="A22" s="422">
        <f>'1-συμβολαια'!A22</f>
        <v>4615</v>
      </c>
      <c r="B22" s="427" t="str">
        <f>'1-συμβολαια'!C22</f>
        <v>δωρεά</v>
      </c>
      <c r="C22" s="524">
        <v>1</v>
      </c>
      <c r="D22" s="329"/>
      <c r="E22" s="329"/>
      <c r="F22" s="329"/>
      <c r="G22" s="329"/>
      <c r="H22" s="329">
        <v>2</v>
      </c>
      <c r="I22" s="329"/>
      <c r="J22" s="329"/>
      <c r="K22" s="329"/>
      <c r="L22" s="329"/>
      <c r="M22" s="329"/>
      <c r="N22" s="329"/>
      <c r="O22" s="324">
        <v>1</v>
      </c>
      <c r="P22" s="420">
        <f>O22*('2-δικαιώμ'!N22+'3-φύλλα2α'!F22)</f>
        <v>11.72</v>
      </c>
      <c r="Q22" s="487" t="s">
        <v>165</v>
      </c>
      <c r="R22" s="487" t="s">
        <v>164</v>
      </c>
      <c r="S22" s="487"/>
      <c r="T22" s="487"/>
      <c r="U22" s="488"/>
    </row>
    <row r="23" spans="1:21" s="328" customFormat="1" ht="15">
      <c r="A23" s="422">
        <f>'1-συμβολαια'!A23</f>
        <v>0</v>
      </c>
      <c r="B23" s="427" t="str">
        <f>'1-συμβολαια'!C23</f>
        <v>ΧΡΗΣΙΚΤΗΣΙΑ οικοπέδου &amp; οικίας = 1935 πατρός ΔΩΡΕΑ άτυπη</v>
      </c>
      <c r="C23" s="524">
        <v>1</v>
      </c>
      <c r="D23" s="329"/>
      <c r="E23" s="329"/>
      <c r="F23" s="329"/>
      <c r="G23" s="329"/>
      <c r="H23" s="524">
        <v>1</v>
      </c>
      <c r="I23" s="329"/>
      <c r="J23" s="329"/>
      <c r="K23" s="329"/>
      <c r="L23" s="329"/>
      <c r="M23" s="329"/>
      <c r="N23" s="329"/>
      <c r="O23" s="324"/>
      <c r="P23" s="420">
        <f>O23*('2-δικαιώμ'!N23+'3-φύλλα2α'!F23)</f>
        <v>0</v>
      </c>
      <c r="Q23" s="487" t="s">
        <v>165</v>
      </c>
      <c r="R23" s="487" t="s">
        <v>164</v>
      </c>
      <c r="S23" s="487"/>
      <c r="T23" s="487"/>
      <c r="U23" s="488"/>
    </row>
    <row r="24" spans="1:21" s="328" customFormat="1" ht="15">
      <c r="A24" s="540">
        <f>'1-συμβολαια'!A24</f>
        <v>4616</v>
      </c>
      <c r="B24" s="427" t="str">
        <f>'1-συμβολαια'!C24</f>
        <v>δωρεά</v>
      </c>
      <c r="C24" s="524">
        <v>1</v>
      </c>
      <c r="D24" s="329"/>
      <c r="E24" s="329"/>
      <c r="F24" s="329"/>
      <c r="G24" s="329"/>
      <c r="H24" s="329">
        <v>1</v>
      </c>
      <c r="I24" s="329"/>
      <c r="J24" s="329"/>
      <c r="K24" s="329"/>
      <c r="L24" s="329"/>
      <c r="M24" s="329"/>
      <c r="N24" s="329"/>
      <c r="O24" s="324"/>
      <c r="P24" s="420">
        <f>O24*('2-δικαιώμ'!N24+'3-φύλλα2α'!F24)</f>
        <v>0</v>
      </c>
      <c r="Q24" s="487"/>
      <c r="R24" s="487"/>
      <c r="S24" s="487"/>
      <c r="T24" s="487"/>
      <c r="U24" s="488"/>
    </row>
    <row r="25" spans="1:21" s="328" customFormat="1" ht="15">
      <c r="A25" s="540">
        <f>'1-συμβολαια'!A25</f>
        <v>0</v>
      </c>
      <c r="B25" s="427" t="str">
        <f>'1-συμβολαια'!C25</f>
        <v>ΧΡΗΣΙΚΤΗΣΙΑ αγροτεμαχίου = 1925 πατρός ΔΩΡΕΑ άτυπη</v>
      </c>
      <c r="C25" s="524">
        <v>1</v>
      </c>
      <c r="D25" s="329"/>
      <c r="E25" s="329"/>
      <c r="F25" s="329"/>
      <c r="G25" s="329"/>
      <c r="H25" s="524">
        <v>1</v>
      </c>
      <c r="I25" s="329"/>
      <c r="J25" s="329"/>
      <c r="K25" s="329"/>
      <c r="L25" s="329"/>
      <c r="M25" s="329"/>
      <c r="N25" s="329"/>
      <c r="O25" s="324"/>
      <c r="P25" s="420">
        <f>O25*('2-δικαιώμ'!N25+'3-φύλλα2α'!F25)</f>
        <v>0</v>
      </c>
      <c r="Q25" s="487"/>
      <c r="R25" s="487"/>
      <c r="S25" s="487"/>
      <c r="T25" s="487"/>
      <c r="U25" s="488"/>
    </row>
    <row r="26" spans="1:21" s="328" customFormat="1" ht="15">
      <c r="A26" s="540">
        <f>'1-συμβολαια'!A26</f>
        <v>0</v>
      </c>
      <c r="B26" s="427" t="str">
        <f>'1-συμβολαια'!C26</f>
        <v>ΧΡΗΣΙΚΤΗΣΙΑ αγροτεμαχίου (νυν οικόπεδο) = 1975 ΑΝΑΔΑΣΜΟΣ</v>
      </c>
      <c r="C26" s="541"/>
      <c r="D26" s="541"/>
      <c r="E26" s="329"/>
      <c r="F26" s="329"/>
      <c r="G26" s="329"/>
      <c r="H26" s="524">
        <v>1</v>
      </c>
      <c r="I26" s="329"/>
      <c r="J26" s="329"/>
      <c r="K26" s="329"/>
      <c r="L26" s="329"/>
      <c r="M26" s="329"/>
      <c r="N26" s="329"/>
      <c r="O26" s="324"/>
      <c r="P26" s="420">
        <f>O26*('2-δικαιώμ'!N26+'3-φύλλα2α'!F26)</f>
        <v>0</v>
      </c>
      <c r="Q26" s="487"/>
      <c r="R26" s="487"/>
      <c r="S26" s="487"/>
      <c r="T26" s="487"/>
      <c r="U26" s="488"/>
    </row>
    <row r="27" spans="1:21" s="328" customFormat="1" ht="15">
      <c r="A27" s="422">
        <f>'1-συμβολαια'!A27</f>
        <v>4617</v>
      </c>
      <c r="B27" s="427" t="str">
        <f>'1-συμβολαια'!C27</f>
        <v>προσύμφωνο μεταβιβάσεως ποσοστών οικοπέδου</v>
      </c>
      <c r="C27" s="524">
        <v>1</v>
      </c>
      <c r="D27" s="329"/>
      <c r="E27" s="329"/>
      <c r="F27" s="329"/>
      <c r="G27" s="329"/>
      <c r="H27" s="329">
        <v>1</v>
      </c>
      <c r="I27" s="329"/>
      <c r="J27" s="329"/>
      <c r="K27" s="329"/>
      <c r="L27" s="329"/>
      <c r="M27" s="329"/>
      <c r="N27" s="329"/>
      <c r="O27" s="324"/>
      <c r="P27" s="420">
        <f>O27*('2-δικαιώμ'!N27+'3-φύλλα2α'!F27)</f>
        <v>0</v>
      </c>
      <c r="Q27" s="487"/>
      <c r="R27" s="487"/>
      <c r="S27" s="487"/>
      <c r="T27" s="487"/>
      <c r="U27" s="488"/>
    </row>
    <row r="28" spans="1:21" s="328" customFormat="1" ht="15">
      <c r="A28" s="422">
        <f>'1-συμβολαια'!A28</f>
        <v>0</v>
      </c>
      <c r="B28" s="427" t="str">
        <f>'1-συμβολαια'!C28</f>
        <v>εργολαβικό</v>
      </c>
      <c r="C28" s="524">
        <v>1</v>
      </c>
      <c r="D28" s="329"/>
      <c r="E28" s="329"/>
      <c r="F28" s="329"/>
      <c r="G28" s="329"/>
      <c r="H28" s="329">
        <v>1</v>
      </c>
      <c r="I28" s="329"/>
      <c r="J28" s="329"/>
      <c r="K28" s="329"/>
      <c r="L28" s="329"/>
      <c r="M28" s="329"/>
      <c r="N28" s="329"/>
      <c r="O28" s="324"/>
      <c r="P28" s="420">
        <f>O28*('2-δικαιώμ'!N28+'3-φύλλα2α'!F28)</f>
        <v>0</v>
      </c>
      <c r="Q28" s="487"/>
      <c r="R28" s="487"/>
      <c r="S28" s="487"/>
      <c r="T28" s="487"/>
      <c r="U28" s="488"/>
    </row>
    <row r="29" spans="1:21" s="328" customFormat="1" ht="15">
      <c r="A29" s="485">
        <f>'1-συμβολαια'!A29</f>
        <v>4618</v>
      </c>
      <c r="B29" s="427" t="str">
        <f>'1-συμβολαια'!C29</f>
        <v>πληρεξούσιο</v>
      </c>
      <c r="C29" s="524">
        <v>1</v>
      </c>
      <c r="D29" s="329"/>
      <c r="E29" s="329"/>
      <c r="F29" s="329"/>
      <c r="G29" s="329"/>
      <c r="H29" s="329">
        <v>1</v>
      </c>
      <c r="I29" s="329"/>
      <c r="J29" s="329"/>
      <c r="K29" s="329"/>
      <c r="L29" s="329"/>
      <c r="M29" s="329"/>
      <c r="N29" s="329"/>
      <c r="O29" s="324"/>
      <c r="P29" s="420">
        <f>O29*('2-δικαιώμ'!N29+'3-φύλλα2α'!F29)</f>
        <v>0</v>
      </c>
      <c r="Q29" s="487"/>
      <c r="R29" s="487"/>
      <c r="S29" s="487"/>
      <c r="T29" s="487"/>
      <c r="U29" s="488"/>
    </row>
    <row r="30" spans="1:21" s="328" customFormat="1" ht="15">
      <c r="A30" s="422">
        <f>'1-συμβολαια'!A30</f>
        <v>4619</v>
      </c>
      <c r="B30" s="427" t="str">
        <f>'1-συμβολαια'!C30</f>
        <v>αγοραπωλησίας ΠΡΟΣΥΜΦΩΝΟ τίμημα = αρραβών =</v>
      </c>
      <c r="C30" s="524">
        <v>1</v>
      </c>
      <c r="D30" s="329"/>
      <c r="E30" s="329"/>
      <c r="F30" s="329"/>
      <c r="G30" s="329"/>
      <c r="H30" s="329">
        <v>1</v>
      </c>
      <c r="I30" s="329"/>
      <c r="J30" s="329"/>
      <c r="K30" s="329"/>
      <c r="L30" s="329"/>
      <c r="M30" s="329"/>
      <c r="N30" s="329"/>
      <c r="O30" s="324"/>
      <c r="P30" s="420">
        <f>O30*('2-δικαιώμ'!N30+'3-φύλλα2α'!F30)</f>
        <v>0</v>
      </c>
      <c r="Q30" s="487"/>
      <c r="R30" s="487"/>
      <c r="S30" s="487"/>
      <c r="T30" s="487"/>
      <c r="U30" s="488"/>
    </row>
    <row r="31" spans="1:21" s="328" customFormat="1" ht="15">
      <c r="A31" s="422">
        <f>'1-συμβολαια'!A31</f>
        <v>0</v>
      </c>
      <c r="B31" s="427" t="str">
        <f>'1-συμβολαια'!C31</f>
        <v>ΧΡΗΣΙΚΤΗΣΙΑ αγροτεμαχίου = 1975 πατρός ΔΩΡΕΑ άτυπη</v>
      </c>
      <c r="C31" s="524">
        <v>1</v>
      </c>
      <c r="D31" s="329"/>
      <c r="E31" s="329"/>
      <c r="F31" s="329"/>
      <c r="G31" s="329"/>
      <c r="H31" s="524">
        <v>1</v>
      </c>
      <c r="I31" s="329"/>
      <c r="J31" s="329"/>
      <c r="K31" s="329"/>
      <c r="L31" s="329"/>
      <c r="M31" s="329"/>
      <c r="N31" s="329"/>
      <c r="O31" s="324"/>
      <c r="P31" s="420">
        <f>O31*('2-δικαιώμ'!N31+'3-φύλλα2α'!F31)</f>
        <v>0</v>
      </c>
      <c r="Q31" s="487"/>
      <c r="R31" s="487"/>
      <c r="S31" s="487"/>
      <c r="T31" s="487"/>
      <c r="U31" s="488"/>
    </row>
    <row r="32" spans="1:21" s="328" customFormat="1" ht="15">
      <c r="A32" s="556">
        <f>'1-συμβολαια'!A32</f>
        <v>4620</v>
      </c>
      <c r="B32" s="427" t="str">
        <f>'1-συμβολαια'!C32</f>
        <v>γονική</v>
      </c>
      <c r="C32" s="524">
        <v>1</v>
      </c>
      <c r="D32" s="329"/>
      <c r="E32" s="329"/>
      <c r="F32" s="329"/>
      <c r="G32" s="329"/>
      <c r="H32" s="329">
        <v>1</v>
      </c>
      <c r="I32" s="329"/>
      <c r="J32" s="329"/>
      <c r="K32" s="329"/>
      <c r="L32" s="329"/>
      <c r="M32" s="329"/>
      <c r="N32" s="329"/>
      <c r="O32" s="324"/>
      <c r="P32" s="420">
        <f>O32*('2-δικαιώμ'!N32+'3-φύλλα2α'!F32)</f>
        <v>0</v>
      </c>
      <c r="Q32" s="487"/>
      <c r="R32" s="487"/>
      <c r="S32" s="487"/>
      <c r="T32" s="487"/>
      <c r="U32" s="488"/>
    </row>
    <row r="33" spans="1:21" s="328" customFormat="1" ht="15">
      <c r="A33" s="540">
        <f>'1-συμβολαια'!A33</f>
        <v>0</v>
      </c>
      <c r="B33" s="427" t="str">
        <f>'1-συμβολαια'!C33</f>
        <v>κάθετος ΣΥΣΤΑΣΗ</v>
      </c>
      <c r="C33" s="329">
        <v>1</v>
      </c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4"/>
      <c r="P33" s="420">
        <f>O33*('2-δικαιώμ'!N33+'3-φύλλα2α'!F33)</f>
        <v>0</v>
      </c>
      <c r="Q33" s="487"/>
      <c r="R33" s="487"/>
      <c r="S33" s="487"/>
      <c r="T33" s="487"/>
      <c r="U33" s="488"/>
    </row>
    <row r="34" spans="1:21" s="328" customFormat="1" ht="15">
      <c r="A34" s="540">
        <f>'1-συμβολαια'!A34</f>
        <v>0</v>
      </c>
      <c r="B34" s="427" t="str">
        <f>'1-συμβολαια'!C34</f>
        <v>ΧΡΗΣΙΚΤΗΣΙΑ αγροτεμαχίου (νυν οικόπεδο) = 19?? ΑΝΑΔΑΣΜΟΣ</v>
      </c>
      <c r="C34" s="541"/>
      <c r="D34" s="541"/>
      <c r="E34" s="329"/>
      <c r="F34" s="329"/>
      <c r="G34" s="329"/>
      <c r="H34" s="524">
        <v>1</v>
      </c>
      <c r="I34" s="329"/>
      <c r="J34" s="329"/>
      <c r="K34" s="329"/>
      <c r="L34" s="329"/>
      <c r="M34" s="329"/>
      <c r="N34" s="329"/>
      <c r="O34" s="324"/>
      <c r="P34" s="420">
        <f>O34*('2-δικαιώμ'!N34+'3-φύλλα2α'!F34)</f>
        <v>0</v>
      </c>
      <c r="Q34" s="487"/>
      <c r="R34" s="487"/>
      <c r="S34" s="487"/>
      <c r="T34" s="487"/>
      <c r="U34" s="488"/>
    </row>
    <row r="35" spans="1:21" s="328" customFormat="1" ht="15">
      <c r="A35" s="556">
        <f>'1-συμβολαια'!A35</f>
        <v>4621</v>
      </c>
      <c r="B35" s="427" t="str">
        <f>'1-συμβολαια'!C35</f>
        <v>γονική</v>
      </c>
      <c r="C35" s="524">
        <v>1</v>
      </c>
      <c r="D35" s="329"/>
      <c r="E35" s="329"/>
      <c r="F35" s="329"/>
      <c r="G35" s="329"/>
      <c r="H35" s="329">
        <v>1</v>
      </c>
      <c r="I35" s="329"/>
      <c r="J35" s="329"/>
      <c r="K35" s="329"/>
      <c r="L35" s="329"/>
      <c r="M35" s="329"/>
      <c r="N35" s="329"/>
      <c r="O35" s="324"/>
      <c r="P35" s="420">
        <f>O35*('2-δικαιώμ'!N35+'3-φύλλα2α'!F35)</f>
        <v>0</v>
      </c>
      <c r="Q35" s="487"/>
      <c r="R35" s="487"/>
      <c r="S35" s="487"/>
      <c r="T35" s="487"/>
      <c r="U35" s="488"/>
    </row>
    <row r="36" spans="1:21" s="328" customFormat="1" ht="15">
      <c r="A36" s="422">
        <f>'1-συμβολαια'!A36</f>
        <v>0</v>
      </c>
      <c r="B36" s="427" t="str">
        <f>'1-συμβολαια'!C36</f>
        <v>οριζόντιος ΣΥΣΤΑΣΗ</v>
      </c>
      <c r="C36" s="329">
        <v>1</v>
      </c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4"/>
      <c r="P36" s="420">
        <f>O36*('2-δικαιώμ'!N36+'3-φύλλα2α'!F36)</f>
        <v>0</v>
      </c>
      <c r="Q36" s="487"/>
      <c r="R36" s="487"/>
      <c r="S36" s="487"/>
      <c r="T36" s="487"/>
      <c r="U36" s="488"/>
    </row>
    <row r="37" spans="1:21" s="328" customFormat="1" ht="15">
      <c r="A37" s="485">
        <f>'1-συμβολαια'!A37</f>
        <v>4622</v>
      </c>
      <c r="B37" s="427" t="str">
        <f>'1-συμβολαια'!C37</f>
        <v>πληρεξούσιο</v>
      </c>
      <c r="C37" s="524">
        <v>1</v>
      </c>
      <c r="D37" s="329"/>
      <c r="E37" s="329"/>
      <c r="F37" s="329"/>
      <c r="G37" s="329"/>
      <c r="H37" s="329">
        <v>1</v>
      </c>
      <c r="I37" s="329"/>
      <c r="J37" s="329"/>
      <c r="K37" s="329"/>
      <c r="L37" s="329"/>
      <c r="M37" s="329"/>
      <c r="N37" s="329"/>
      <c r="O37" s="324"/>
      <c r="P37" s="420">
        <f>O37*('2-δικαιώμ'!N37+'3-φύλλα2α'!F37)</f>
        <v>0</v>
      </c>
      <c r="Q37" s="487"/>
      <c r="R37" s="487"/>
      <c r="S37" s="487"/>
      <c r="T37" s="487"/>
      <c r="U37" s="488"/>
    </row>
    <row r="38" spans="1:21" s="328" customFormat="1" ht="15">
      <c r="A38" s="485">
        <f>'1-συμβολαια'!A38</f>
        <v>4623</v>
      </c>
      <c r="B38" s="427" t="str">
        <f>'1-συμβολαια'!C38</f>
        <v>πληρεξούσιο</v>
      </c>
      <c r="C38" s="524">
        <v>3</v>
      </c>
      <c r="D38" s="329"/>
      <c r="E38" s="329"/>
      <c r="F38" s="329"/>
      <c r="G38" s="329"/>
      <c r="H38" s="329">
        <v>1</v>
      </c>
      <c r="I38" s="329"/>
      <c r="J38" s="329"/>
      <c r="K38" s="329"/>
      <c r="L38" s="329"/>
      <c r="M38" s="329"/>
      <c r="N38" s="329"/>
      <c r="O38" s="324">
        <v>2</v>
      </c>
      <c r="P38" s="420">
        <f>O38*('2-δικαιώμ'!N38+'3-φύλλα2α'!F38)</f>
        <v>29.32</v>
      </c>
      <c r="Q38" s="487" t="s">
        <v>165</v>
      </c>
      <c r="R38" s="487" t="s">
        <v>164</v>
      </c>
      <c r="S38" s="487"/>
      <c r="T38" s="487"/>
      <c r="U38" s="488"/>
    </row>
    <row r="39" spans="1:21" s="328" customFormat="1" ht="15">
      <c r="A39" s="422">
        <f>'1-συμβολαια'!A39</f>
        <v>4624</v>
      </c>
      <c r="B39" s="427" t="str">
        <f>'1-συμβολαια'!C39</f>
        <v>*γονική ΨΙΛΗΣ ΚΥΡΙΟΤΗΤΑΣ</v>
      </c>
      <c r="C39" s="524">
        <v>1</v>
      </c>
      <c r="D39" s="329"/>
      <c r="E39" s="329"/>
      <c r="F39" s="329"/>
      <c r="G39" s="329"/>
      <c r="H39" s="329">
        <v>1</v>
      </c>
      <c r="I39" s="329"/>
      <c r="J39" s="329"/>
      <c r="K39" s="329"/>
      <c r="L39" s="329"/>
      <c r="M39" s="329"/>
      <c r="N39" s="329"/>
      <c r="O39" s="324"/>
      <c r="P39" s="420">
        <f>O39*('2-δικαιώμ'!N39+'3-φύλλα2α'!F39)</f>
        <v>0</v>
      </c>
      <c r="Q39" s="487"/>
      <c r="R39" s="487"/>
      <c r="S39" s="487"/>
      <c r="T39" s="487"/>
      <c r="U39" s="488"/>
    </row>
    <row r="40" spans="1:21" s="328" customFormat="1" ht="15">
      <c r="A40" s="422">
        <f>'1-συμβολαια'!A40</f>
        <v>0</v>
      </c>
      <c r="B40" s="427" t="str">
        <f>'1-συμβολαια'!C40</f>
        <v>ΧΡΗΣΙΚΤΗΣΙΑ οικοπέδου = 1949 πατρός ΔΩΡΕΑ άτυπη</v>
      </c>
      <c r="C40" s="524">
        <v>1</v>
      </c>
      <c r="D40" s="329"/>
      <c r="E40" s="329"/>
      <c r="F40" s="329"/>
      <c r="G40" s="329"/>
      <c r="H40" s="524">
        <v>1</v>
      </c>
      <c r="I40" s="329"/>
      <c r="J40" s="329"/>
      <c r="K40" s="329"/>
      <c r="L40" s="329"/>
      <c r="M40" s="329"/>
      <c r="N40" s="329"/>
      <c r="O40" s="324"/>
      <c r="P40" s="420">
        <f>O40*('2-δικαιώμ'!N40+'3-φύλλα2α'!F40)</f>
        <v>0</v>
      </c>
      <c r="Q40" s="487"/>
      <c r="R40" s="487"/>
      <c r="S40" s="487"/>
      <c r="T40" s="487"/>
      <c r="U40" s="488"/>
    </row>
    <row r="41" spans="1:21" s="328" customFormat="1" ht="15">
      <c r="A41" s="422">
        <f>'1-συμβολαια'!A41</f>
        <v>0</v>
      </c>
      <c r="B41" s="427" t="str">
        <f>'1-συμβολαια'!C41</f>
        <v>ΧΡΗΣΙΚΤΗΣΙΑ αγροτεμαχίων = 1963 αγοραπωλησίας ΒΑΣΕΙ προσυμφώνου ΜΗ εκτελεσθέντος</v>
      </c>
      <c r="C41" s="524">
        <v>1</v>
      </c>
      <c r="D41" s="329"/>
      <c r="E41" s="329"/>
      <c r="F41" s="329"/>
      <c r="G41" s="329"/>
      <c r="H41" s="524">
        <v>1</v>
      </c>
      <c r="I41" s="329"/>
      <c r="J41" s="329"/>
      <c r="K41" s="329"/>
      <c r="L41" s="329"/>
      <c r="M41" s="329"/>
      <c r="N41" s="329"/>
      <c r="O41" s="324"/>
      <c r="P41" s="420">
        <f>O41*('2-δικαιώμ'!N41+'3-φύλλα2α'!F41)</f>
        <v>0</v>
      </c>
      <c r="Q41" s="487"/>
      <c r="R41" s="487"/>
      <c r="S41" s="487"/>
      <c r="T41" s="487"/>
      <c r="U41" s="488"/>
    </row>
    <row r="42" spans="1:21" s="328" customFormat="1" ht="15">
      <c r="A42" s="540">
        <f>'1-συμβολαια'!A42</f>
        <v>4625</v>
      </c>
      <c r="B42" s="427" t="str">
        <f>'1-συμβολαια'!C42</f>
        <v>*γονική ΨΙΛΗΣ ΚΥΡΙΟΤΗΤΑΣ</v>
      </c>
      <c r="C42" s="524">
        <v>1</v>
      </c>
      <c r="D42" s="329"/>
      <c r="E42" s="329"/>
      <c r="F42" s="329"/>
      <c r="G42" s="329"/>
      <c r="H42" s="329">
        <v>1</v>
      </c>
      <c r="I42" s="329"/>
      <c r="J42" s="329"/>
      <c r="K42" s="329"/>
      <c r="L42" s="329"/>
      <c r="M42" s="329"/>
      <c r="N42" s="329"/>
      <c r="O42" s="324"/>
      <c r="P42" s="420">
        <f>O42*('2-δικαιώμ'!N42+'3-φύλλα2α'!F42)</f>
        <v>0</v>
      </c>
      <c r="Q42" s="487"/>
      <c r="R42" s="487"/>
      <c r="S42" s="487"/>
      <c r="T42" s="487"/>
      <c r="U42" s="488"/>
    </row>
    <row r="43" spans="1:21" s="328" customFormat="1" ht="15">
      <c r="A43" s="540">
        <f>'1-συμβολαια'!A43</f>
        <v>0</v>
      </c>
      <c r="B43" s="427" t="str">
        <f>'1-συμβολαια'!C43</f>
        <v>ΧΡΗΣΙΚΤΗΣΙΑ αγροτεμαχίου = 19?? πατρός ΔΩΡΕΑ άτυπη</v>
      </c>
      <c r="C43" s="524">
        <v>1</v>
      </c>
      <c r="D43" s="329"/>
      <c r="E43" s="329"/>
      <c r="F43" s="329"/>
      <c r="G43" s="329"/>
      <c r="H43" s="329">
        <v>1</v>
      </c>
      <c r="I43" s="329"/>
      <c r="J43" s="329"/>
      <c r="K43" s="329"/>
      <c r="L43" s="329"/>
      <c r="M43" s="329"/>
      <c r="N43" s="329"/>
      <c r="O43" s="324"/>
      <c r="P43" s="420">
        <f>O43*('2-δικαιώμ'!N43+'3-φύλλα2α'!F43)</f>
        <v>0</v>
      </c>
      <c r="Q43" s="487"/>
      <c r="R43" s="487"/>
      <c r="S43" s="487"/>
      <c r="T43" s="487"/>
      <c r="U43" s="488"/>
    </row>
    <row r="44" spans="1:21" s="328" customFormat="1" ht="15">
      <c r="A44" s="422">
        <f>'1-συμβολαια'!A44</f>
        <v>4626</v>
      </c>
      <c r="B44" s="427" t="str">
        <f>'1-συμβολαια'!C44</f>
        <v>*γονική ΨΙΛΗΣ ΚΥΡΙΟΤΗΤΑΣ</v>
      </c>
      <c r="C44" s="524">
        <v>1</v>
      </c>
      <c r="D44" s="329"/>
      <c r="E44" s="329"/>
      <c r="F44" s="329"/>
      <c r="G44" s="329"/>
      <c r="H44" s="329">
        <v>1</v>
      </c>
      <c r="I44" s="329"/>
      <c r="J44" s="329"/>
      <c r="K44" s="329"/>
      <c r="L44" s="329"/>
      <c r="M44" s="329"/>
      <c r="N44" s="329"/>
      <c r="O44" s="324"/>
      <c r="P44" s="420">
        <f>O44*('2-δικαιώμ'!N44+'3-φύλλα2α'!F44)</f>
        <v>0</v>
      </c>
      <c r="Q44" s="487"/>
      <c r="R44" s="487"/>
      <c r="S44" s="487"/>
      <c r="T44" s="487"/>
      <c r="U44" s="488"/>
    </row>
    <row r="45" spans="1:21" s="328" customFormat="1" ht="15">
      <c r="A45" s="422">
        <f>'1-συμβολαια'!A45</f>
        <v>0</v>
      </c>
      <c r="B45" s="427" t="str">
        <f>'1-συμβολαια'!C45</f>
        <v>ΧΡΗΣΙΚΤΗΣΙΑ αγροτεμαχίου = 1979 ΑΝΑΔΑΣΜΟΣ</v>
      </c>
      <c r="C45" s="568"/>
      <c r="D45" s="541"/>
      <c r="E45" s="329"/>
      <c r="F45" s="329"/>
      <c r="G45" s="329"/>
      <c r="H45" s="524">
        <v>1</v>
      </c>
      <c r="I45" s="329"/>
      <c r="J45" s="329"/>
      <c r="K45" s="329"/>
      <c r="L45" s="329"/>
      <c r="M45" s="329"/>
      <c r="N45" s="329"/>
      <c r="O45" s="324"/>
      <c r="P45" s="420">
        <f>O45*('2-δικαιώμ'!N45+'3-φύλλα2α'!F45)</f>
        <v>0</v>
      </c>
      <c r="Q45" s="487"/>
      <c r="R45" s="487"/>
      <c r="S45" s="487"/>
      <c r="T45" s="487"/>
      <c r="U45" s="488"/>
    </row>
    <row r="46" spans="1:21" s="328" customFormat="1" ht="15">
      <c r="A46" s="422">
        <f>'1-συμβολαια'!A46</f>
        <v>0</v>
      </c>
      <c r="B46" s="427" t="str">
        <f>'1-συμβολαια'!C46</f>
        <v>ΧΡΗΣΙΚΤΗΣΙΑ αγροτεμαχίων = 1957 τακοΑναστασιο ΑΓΟΡΑΠΩΛΗΣΙΑ άτυπη</v>
      </c>
      <c r="C46" s="524">
        <v>1</v>
      </c>
      <c r="D46" s="329"/>
      <c r="E46" s="329"/>
      <c r="F46" s="329"/>
      <c r="G46" s="329"/>
      <c r="H46" s="329">
        <v>1</v>
      </c>
      <c r="I46" s="329"/>
      <c r="J46" s="329"/>
      <c r="K46" s="329"/>
      <c r="L46" s="329"/>
      <c r="M46" s="329"/>
      <c r="N46" s="329"/>
      <c r="O46" s="324"/>
      <c r="P46" s="420">
        <f>O46*('2-δικαιώμ'!N46+'3-φύλλα2α'!F46)</f>
        <v>0</v>
      </c>
      <c r="Q46" s="487"/>
      <c r="R46" s="487"/>
      <c r="S46" s="487"/>
      <c r="T46" s="487"/>
      <c r="U46" s="488"/>
    </row>
    <row r="47" spans="1:21" s="328" customFormat="1" ht="15">
      <c r="A47" s="540">
        <f>'1-συμβολαια'!A47</f>
        <v>4627</v>
      </c>
      <c r="B47" s="427" t="str">
        <f>'1-συμβολαια'!C47</f>
        <v>*δωρεά ΑΙΤΙΑ θανάτου</v>
      </c>
      <c r="C47" s="329">
        <v>1</v>
      </c>
      <c r="D47" s="329"/>
      <c r="E47" s="329"/>
      <c r="F47" s="329"/>
      <c r="G47" s="329"/>
      <c r="H47" s="329">
        <v>1</v>
      </c>
      <c r="I47" s="329"/>
      <c r="J47" s="329"/>
      <c r="K47" s="329"/>
      <c r="L47" s="329"/>
      <c r="M47" s="329"/>
      <c r="N47" s="329"/>
      <c r="O47" s="324"/>
      <c r="P47" s="420">
        <f>O47*('2-δικαιώμ'!N47+'3-φύλλα2α'!F47)</f>
        <v>0</v>
      </c>
      <c r="Q47" s="487"/>
      <c r="R47" s="487"/>
      <c r="S47" s="487"/>
      <c r="T47" s="487"/>
      <c r="U47" s="488"/>
    </row>
    <row r="48" spans="1:21" s="328" customFormat="1" ht="15">
      <c r="A48" s="540">
        <f>'1-συμβολαια'!A48</f>
        <v>0</v>
      </c>
      <c r="B48" s="427" t="str">
        <f>'1-συμβολαια'!C48</f>
        <v>ΧΡΗΣΙΚΤΗΣΙΑ αγροτεμαχίου [νυν οικόπεδο ΜΕ οικοδομή] ] = 1970 ΑΝΑΔΑΣΜΟΣ</v>
      </c>
      <c r="C48" s="568"/>
      <c r="D48" s="541"/>
      <c r="E48" s="329"/>
      <c r="F48" s="329"/>
      <c r="G48" s="329"/>
      <c r="H48" s="524">
        <v>1</v>
      </c>
      <c r="I48" s="329"/>
      <c r="J48" s="329"/>
      <c r="K48" s="329"/>
      <c r="L48" s="329"/>
      <c r="M48" s="329"/>
      <c r="N48" s="329"/>
      <c r="O48" s="324"/>
      <c r="P48" s="420">
        <f>O48*('2-δικαιώμ'!N48+'3-φύλλα2α'!F48)</f>
        <v>0</v>
      </c>
      <c r="Q48" s="487"/>
      <c r="R48" s="487"/>
      <c r="S48" s="487"/>
      <c r="T48" s="487"/>
      <c r="U48" s="488"/>
    </row>
    <row r="49" spans="1:25" s="328" customFormat="1" ht="15">
      <c r="A49" s="540">
        <f>'1-συμβολαια'!A49</f>
        <v>0</v>
      </c>
      <c r="B49" s="427" t="str">
        <f>'1-συμβολαια'!C49</f>
        <v>*γονικής 1262  ΕΠΙΚΑΡΠΙΑ …  ΔΩΡΕΑ αιτία θανάτου</v>
      </c>
      <c r="C49" s="329">
        <v>1</v>
      </c>
      <c r="D49" s="329"/>
      <c r="E49" s="329"/>
      <c r="F49" s="329"/>
      <c r="G49" s="329"/>
      <c r="H49" s="329">
        <v>1</v>
      </c>
      <c r="I49" s="329"/>
      <c r="J49" s="329"/>
      <c r="K49" s="329"/>
      <c r="L49" s="329"/>
      <c r="M49" s="329"/>
      <c r="N49" s="329"/>
      <c r="O49" s="324">
        <v>1</v>
      </c>
      <c r="P49" s="420">
        <f>O49*('2-δικαιώμ'!N49+'3-φύλλα2α'!F49)</f>
        <v>5.86</v>
      </c>
      <c r="Q49" s="487" t="s">
        <v>165</v>
      </c>
      <c r="R49" s="487" t="s">
        <v>164</v>
      </c>
      <c r="S49" s="487"/>
      <c r="T49" s="487"/>
      <c r="U49" s="488"/>
    </row>
    <row r="50" spans="1:25" s="328" customFormat="1" ht="15">
      <c r="A50" s="485">
        <f>'1-συμβολαια'!A50</f>
        <v>4628</v>
      </c>
      <c r="B50" s="427" t="str">
        <f>'1-συμβολαια'!C50</f>
        <v>πληρεξούσιο</v>
      </c>
      <c r="C50" s="524">
        <v>1</v>
      </c>
      <c r="D50" s="329"/>
      <c r="E50" s="329"/>
      <c r="F50" s="329"/>
      <c r="G50" s="329"/>
      <c r="H50" s="329">
        <v>1</v>
      </c>
      <c r="I50" s="329"/>
      <c r="J50" s="329"/>
      <c r="K50" s="329"/>
      <c r="L50" s="329"/>
      <c r="M50" s="329"/>
      <c r="N50" s="329"/>
      <c r="O50" s="324"/>
      <c r="P50" s="420">
        <f>O50*('2-δικαιώμ'!N50+'3-φύλλα2α'!F50)</f>
        <v>0</v>
      </c>
      <c r="Q50" s="487"/>
      <c r="R50" s="487"/>
      <c r="S50" s="487"/>
      <c r="T50" s="487"/>
      <c r="U50" s="488"/>
    </row>
    <row r="51" spans="1:25" s="328" customFormat="1" ht="15">
      <c r="A51" s="422">
        <f>'1-συμβολαια'!A51</f>
        <v>4629</v>
      </c>
      <c r="B51" s="427" t="str">
        <f>'1-συμβολαια'!C51</f>
        <v>κληρονομιάς ΑΠΟΔΟΧΗ</v>
      </c>
      <c r="C51" s="524">
        <v>1</v>
      </c>
      <c r="D51" s="329"/>
      <c r="E51" s="329"/>
      <c r="F51" s="329"/>
      <c r="G51" s="329"/>
      <c r="H51" s="329">
        <v>2</v>
      </c>
      <c r="I51" s="329"/>
      <c r="J51" s="329"/>
      <c r="K51" s="329"/>
      <c r="L51" s="329"/>
      <c r="M51" s="329"/>
      <c r="N51" s="329"/>
      <c r="O51" s="324">
        <v>1</v>
      </c>
      <c r="P51" s="420">
        <f>O51*('2-δικαιώμ'!N51+'3-φύλλα2α'!F51)</f>
        <v>38.14</v>
      </c>
      <c r="Q51" s="487" t="s">
        <v>165</v>
      </c>
      <c r="R51" s="487" t="s">
        <v>164</v>
      </c>
      <c r="S51" s="487"/>
      <c r="T51" s="487"/>
      <c r="U51" s="488"/>
    </row>
    <row r="52" spans="1:25" s="328" customFormat="1" ht="15">
      <c r="A52" s="422">
        <f>'1-συμβολαια'!A52</f>
        <v>0</v>
      </c>
      <c r="B52" s="427" t="str">
        <f>'1-συμβολαια'!C52</f>
        <v>ΧΡΗΣΙΚΤΗΣΙΑ αγροτεμαχίου = 1980 πατρός ΚΛΗΡΟΝΟΜΙΑ άτυπη</v>
      </c>
      <c r="C52" s="524">
        <v>1</v>
      </c>
      <c r="D52" s="329"/>
      <c r="E52" s="329"/>
      <c r="F52" s="329"/>
      <c r="G52" s="329"/>
      <c r="H52" s="329">
        <v>1</v>
      </c>
      <c r="I52" s="329"/>
      <c r="J52" s="329"/>
      <c r="K52" s="329"/>
      <c r="L52" s="329"/>
      <c r="M52" s="329"/>
      <c r="N52" s="329"/>
      <c r="O52" s="324"/>
      <c r="P52" s="420">
        <f>O52*('2-δικαιώμ'!N52+'3-φύλλα2α'!F52)</f>
        <v>0</v>
      </c>
      <c r="Q52" s="487"/>
      <c r="R52" s="487"/>
      <c r="S52" s="487"/>
      <c r="T52" s="487"/>
      <c r="U52" s="488"/>
    </row>
    <row r="53" spans="1:25" s="328" customFormat="1" ht="15">
      <c r="A53" s="422">
        <f>'1-συμβολαια'!A53</f>
        <v>0</v>
      </c>
      <c r="B53" s="427" t="str">
        <f>'1-συμβολαια'!C53</f>
        <v>ΧΡΗΣΙΚΤΗΣΙΑ αγροτεμαχίου = 1980 ΔΙΑΝΟΜΗ άτυπη</v>
      </c>
      <c r="C53" s="568"/>
      <c r="D53" s="541"/>
      <c r="E53" s="329"/>
      <c r="F53" s="329"/>
      <c r="G53" s="329"/>
      <c r="H53" s="329">
        <v>1</v>
      </c>
      <c r="I53" s="329"/>
      <c r="J53" s="329"/>
      <c r="K53" s="329"/>
      <c r="L53" s="329"/>
      <c r="M53" s="329"/>
      <c r="N53" s="329"/>
      <c r="O53" s="324"/>
      <c r="P53" s="420">
        <f>O53*('2-δικαιώμ'!N53+'3-φύλλα2α'!F53)</f>
        <v>0</v>
      </c>
      <c r="Q53" s="487"/>
      <c r="R53" s="487"/>
      <c r="S53" s="487"/>
      <c r="T53" s="487"/>
      <c r="U53" s="488"/>
    </row>
    <row r="54" spans="1:25" s="328" customFormat="1" ht="15">
      <c r="A54" s="540">
        <f>'1-συμβολαια'!A54</f>
        <v>4630</v>
      </c>
      <c r="B54" s="427" t="str">
        <f>'1-συμβολαια'!C54</f>
        <v xml:space="preserve">αγοραπωλησίας ΠΡΟΣΥΜΦΩΝΟ τίμημα = αρραβών = </v>
      </c>
      <c r="C54" s="524">
        <v>1</v>
      </c>
      <c r="D54" s="329"/>
      <c r="E54" s="329"/>
      <c r="F54" s="329"/>
      <c r="G54" s="329"/>
      <c r="H54" s="329">
        <v>1</v>
      </c>
      <c r="I54" s="329"/>
      <c r="J54" s="329"/>
      <c r="K54" s="329"/>
      <c r="L54" s="329"/>
      <c r="M54" s="329"/>
      <c r="N54" s="329"/>
      <c r="O54" s="324"/>
      <c r="P54" s="420">
        <f>O54*('2-δικαιώμ'!N54+'3-φύλλα2α'!F54)</f>
        <v>0</v>
      </c>
      <c r="Q54" s="487"/>
      <c r="R54" s="487"/>
      <c r="S54" s="487"/>
      <c r="T54" s="487"/>
      <c r="U54" s="488"/>
    </row>
    <row r="55" spans="1:25" s="328" customFormat="1" ht="15">
      <c r="A55" s="540">
        <f>'1-συμβολαια'!A55</f>
        <v>0</v>
      </c>
      <c r="B55" s="427" t="str">
        <f>'1-συμβολαια'!C55</f>
        <v>ΧΡΗΣΙΚΤΗΣΙΑ αγροτεμαχίου = 1970 συζύγου ΔΩΡΕΑ άτυπη</v>
      </c>
      <c r="C55" s="524">
        <v>1</v>
      </c>
      <c r="D55" s="329"/>
      <c r="E55" s="329"/>
      <c r="F55" s="329"/>
      <c r="G55" s="329"/>
      <c r="H55" s="524">
        <v>1</v>
      </c>
      <c r="I55" s="329"/>
      <c r="J55" s="329"/>
      <c r="K55" s="329"/>
      <c r="L55" s="329"/>
      <c r="M55" s="329"/>
      <c r="N55" s="329"/>
      <c r="O55" s="324"/>
      <c r="P55" s="420">
        <f>O55*('2-δικαιώμ'!N55+'3-φύλλα2α'!F55)</f>
        <v>0</v>
      </c>
      <c r="Q55" s="487"/>
      <c r="R55" s="487"/>
      <c r="S55" s="487"/>
      <c r="T55" s="487"/>
      <c r="U55" s="488"/>
    </row>
    <row r="56" spans="1:25" s="328" customFormat="1" ht="15">
      <c r="A56" s="485">
        <f>'1-συμβολαια'!A56</f>
        <v>4631</v>
      </c>
      <c r="B56" s="427" t="str">
        <f>'1-συμβολαια'!C56</f>
        <v>αγοραπωλησίας 4.191 ΕΞΟΦΛΗΣΗ</v>
      </c>
      <c r="C56" s="524">
        <v>1</v>
      </c>
      <c r="D56" s="329"/>
      <c r="E56" s="329"/>
      <c r="F56" s="329"/>
      <c r="G56" s="329"/>
      <c r="H56" s="329">
        <v>1</v>
      </c>
      <c r="I56" s="329"/>
      <c r="J56" s="329"/>
      <c r="K56" s="329"/>
      <c r="L56" s="329"/>
      <c r="M56" s="329"/>
      <c r="N56" s="329"/>
      <c r="O56" s="324"/>
      <c r="P56" s="420">
        <f>O56*('2-δικαιώμ'!N56+'3-φύλλα2α'!F56)</f>
        <v>0</v>
      </c>
      <c r="Q56" s="487"/>
      <c r="R56" s="487"/>
      <c r="S56" s="487"/>
      <c r="T56" s="487"/>
      <c r="U56" s="488"/>
    </row>
    <row r="57" spans="1:25" s="328" customFormat="1" ht="15">
      <c r="A57" s="485"/>
      <c r="B57" s="427"/>
      <c r="C57" s="524"/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24"/>
      <c r="P57" s="420"/>
      <c r="Q57" s="487"/>
      <c r="R57" s="487"/>
      <c r="S57" s="487"/>
      <c r="T57" s="487"/>
      <c r="U57" s="488"/>
    </row>
    <row r="58" spans="1:25" s="328" customFormat="1" ht="15">
      <c r="A58" s="485"/>
      <c r="B58" s="427"/>
      <c r="C58" s="524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24"/>
      <c r="P58" s="420"/>
      <c r="Q58" s="487"/>
      <c r="R58" s="487"/>
      <c r="S58" s="487"/>
      <c r="T58" s="487"/>
      <c r="U58" s="488"/>
    </row>
    <row r="59" spans="1:25" ht="15.75">
      <c r="A59" s="638" t="s">
        <v>47</v>
      </c>
      <c r="B59" s="639"/>
      <c r="C59" s="639"/>
      <c r="D59" s="639"/>
      <c r="E59" s="639"/>
      <c r="F59" s="639"/>
      <c r="G59" s="639"/>
      <c r="H59" s="639"/>
      <c r="I59" s="639"/>
      <c r="J59" s="639"/>
      <c r="K59" s="639"/>
      <c r="L59" s="639"/>
      <c r="M59" s="639"/>
      <c r="N59" s="639"/>
      <c r="O59" s="639"/>
      <c r="P59" s="122">
        <f>SUM(P3:P58)</f>
        <v>243.43</v>
      </c>
    </row>
    <row r="61" spans="1:25" ht="15.75">
      <c r="Q61" s="182" t="s">
        <v>161</v>
      </c>
      <c r="R61" s="152"/>
      <c r="S61" s="152"/>
      <c r="T61" s="152"/>
      <c r="U61" s="152"/>
      <c r="V61" s="152"/>
      <c r="W61" s="152"/>
      <c r="X61" s="152"/>
      <c r="Y61" s="139"/>
    </row>
    <row r="62" spans="1:25" ht="15.75">
      <c r="R62" s="168" t="s">
        <v>162</v>
      </c>
      <c r="S62" s="168"/>
      <c r="T62" s="168"/>
      <c r="U62" s="168"/>
      <c r="V62" s="168"/>
      <c r="W62" s="168"/>
      <c r="X62" s="168"/>
    </row>
    <row r="63" spans="1:25" ht="15.75">
      <c r="S63" s="182" t="s">
        <v>163</v>
      </c>
    </row>
    <row r="66" spans="2:16">
      <c r="B66" s="255" t="s">
        <v>613</v>
      </c>
      <c r="P66" s="160">
        <f>P59</f>
        <v>243.43</v>
      </c>
    </row>
    <row r="67" spans="2:16">
      <c r="B67" s="254" t="s">
        <v>614</v>
      </c>
    </row>
  </sheetData>
  <mergeCells count="8">
    <mergeCell ref="Q1:U2"/>
    <mergeCell ref="A59:O5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Q83"/>
  <sheetViews>
    <sheetView topLeftCell="S1" workbookViewId="0">
      <pane ySplit="2" topLeftCell="A48" activePane="bottomLeft" state="frozen"/>
      <selection pane="bottomLeft" activeCell="B82" sqref="B82:B83"/>
    </sheetView>
  </sheetViews>
  <sheetFormatPr defaultRowHeight="11.25"/>
  <cols>
    <col min="1" max="1" width="10.28515625" style="8" customWidth="1"/>
    <col min="2" max="2" width="60.7109375" style="111" customWidth="1"/>
    <col min="3" max="3" width="10.7109375" style="2" bestFit="1" customWidth="1"/>
    <col min="4" max="5" width="7.85546875" style="3" bestFit="1" customWidth="1"/>
    <col min="6" max="6" width="6.85546875" style="8" customWidth="1"/>
    <col min="7" max="7" width="7.140625" style="8" customWidth="1"/>
    <col min="8" max="8" width="8.42578125" style="2" customWidth="1"/>
    <col min="9" max="9" width="8.140625" style="2" customWidth="1"/>
    <col min="10" max="11" width="7.28515625" style="2" bestFit="1" customWidth="1"/>
    <col min="12" max="12" width="6.85546875" style="2" customWidth="1"/>
    <col min="13" max="13" width="7.85546875" style="2" customWidth="1"/>
    <col min="14" max="14" width="10.5703125" style="2" customWidth="1"/>
    <col min="15" max="15" width="7.28515625" style="2" bestFit="1" customWidth="1"/>
    <col min="16" max="16" width="10.28515625" style="2" customWidth="1"/>
    <col min="17" max="17" width="13.28515625" style="2" customWidth="1"/>
    <col min="18" max="18" width="8.140625" style="496" customWidth="1"/>
    <col min="19" max="19" width="7.28515625" style="98" customWidth="1"/>
    <col min="20" max="20" width="8.140625" style="98" customWidth="1"/>
    <col min="21" max="21" width="7.28515625" style="98" customWidth="1"/>
    <col min="22" max="22" width="8.140625" style="98" customWidth="1"/>
    <col min="23" max="23" width="7.140625" style="98" customWidth="1"/>
    <col min="24" max="24" width="5.28515625" style="98" customWidth="1"/>
    <col min="25" max="25" width="6.7109375" style="98" customWidth="1"/>
    <col min="26" max="26" width="6.42578125" style="98" customWidth="1"/>
    <col min="27" max="27" width="6.7109375" style="98" customWidth="1"/>
    <col min="28" max="28" width="8.42578125" style="98" customWidth="1"/>
    <col min="29" max="29" width="7.5703125" style="98" customWidth="1"/>
    <col min="30" max="30" width="7.85546875" style="98" customWidth="1"/>
    <col min="31" max="31" width="7" style="98" customWidth="1"/>
    <col min="32" max="32" width="7.5703125" style="98" customWidth="1"/>
    <col min="33" max="33" width="6.28515625" style="98" customWidth="1"/>
    <col min="34" max="34" width="8.7109375" style="98" customWidth="1"/>
    <col min="35" max="35" width="7.42578125" style="98" customWidth="1"/>
    <col min="36" max="39" width="6.28515625" style="98" customWidth="1"/>
    <col min="40" max="40" width="11.7109375" style="98" customWidth="1"/>
    <col min="41" max="41" width="22.7109375" style="98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3" s="6" customFormat="1" ht="12.75" customHeight="1">
      <c r="A1" s="597" t="s">
        <v>1</v>
      </c>
      <c r="B1" s="659" t="s">
        <v>0</v>
      </c>
      <c r="C1" s="603" t="s">
        <v>7</v>
      </c>
      <c r="D1" s="661" t="s">
        <v>3</v>
      </c>
      <c r="E1" s="662"/>
      <c r="F1" s="663" t="s">
        <v>514</v>
      </c>
      <c r="G1" s="664"/>
      <c r="H1" s="664"/>
      <c r="I1" s="664"/>
      <c r="J1" s="664"/>
      <c r="K1" s="664"/>
      <c r="L1" s="665"/>
      <c r="M1" s="666" t="s">
        <v>432</v>
      </c>
      <c r="N1" s="667"/>
      <c r="O1" s="668" t="s">
        <v>279</v>
      </c>
      <c r="P1" s="669"/>
      <c r="Q1" s="670" t="s">
        <v>431</v>
      </c>
      <c r="R1" s="658" t="s">
        <v>191</v>
      </c>
      <c r="S1" s="658"/>
      <c r="T1" s="658"/>
      <c r="U1" s="658"/>
      <c r="V1" s="658"/>
      <c r="W1" s="658"/>
      <c r="X1" s="658"/>
      <c r="Y1" s="658"/>
      <c r="Z1" s="658"/>
      <c r="AA1" s="658"/>
      <c r="AB1" s="658"/>
      <c r="AC1" s="658"/>
      <c r="AD1" s="658"/>
      <c r="AE1" s="658"/>
      <c r="AF1" s="658"/>
      <c r="AG1" s="658"/>
      <c r="AH1" s="658"/>
      <c r="AI1" s="658"/>
      <c r="AJ1" s="658"/>
      <c r="AK1" s="658"/>
      <c r="AL1" s="658"/>
      <c r="AM1" s="658"/>
      <c r="AN1" s="658"/>
      <c r="AO1" s="658"/>
    </row>
    <row r="2" spans="1:43" ht="23.25" thickBot="1">
      <c r="A2" s="598"/>
      <c r="B2" s="660"/>
      <c r="C2" s="604"/>
      <c r="D2" s="187" t="s">
        <v>4</v>
      </c>
      <c r="E2" s="173" t="s">
        <v>9</v>
      </c>
      <c r="F2" s="258" t="s">
        <v>4</v>
      </c>
      <c r="G2" s="188" t="s">
        <v>9</v>
      </c>
      <c r="H2" s="172" t="s">
        <v>47</v>
      </c>
      <c r="I2" s="257" t="s">
        <v>9</v>
      </c>
      <c r="J2" s="238" t="s">
        <v>382</v>
      </c>
      <c r="K2" s="238" t="s">
        <v>404</v>
      </c>
      <c r="L2" s="240" t="s">
        <v>384</v>
      </c>
      <c r="M2" s="257" t="s">
        <v>23</v>
      </c>
      <c r="N2" s="259" t="s">
        <v>94</v>
      </c>
      <c r="O2" s="257" t="s">
        <v>23</v>
      </c>
      <c r="P2" s="253" t="s">
        <v>9</v>
      </c>
      <c r="Q2" s="671"/>
      <c r="R2" s="493" t="s">
        <v>141</v>
      </c>
      <c r="S2" s="189" t="s">
        <v>189</v>
      </c>
      <c r="T2" s="189" t="s">
        <v>142</v>
      </c>
      <c r="U2" s="189" t="s">
        <v>282</v>
      </c>
      <c r="V2" s="189" t="s">
        <v>143</v>
      </c>
      <c r="W2" s="189" t="s">
        <v>283</v>
      </c>
      <c r="X2" s="189" t="s">
        <v>166</v>
      </c>
      <c r="Y2" s="189" t="s">
        <v>190</v>
      </c>
      <c r="Z2" s="189" t="s">
        <v>167</v>
      </c>
      <c r="AA2" s="189" t="s">
        <v>284</v>
      </c>
      <c r="AB2" s="189" t="s">
        <v>168</v>
      </c>
      <c r="AC2" s="189" t="s">
        <v>285</v>
      </c>
      <c r="AD2" s="189" t="s">
        <v>169</v>
      </c>
      <c r="AE2" s="189" t="s">
        <v>300</v>
      </c>
      <c r="AF2" s="189" t="s">
        <v>301</v>
      </c>
      <c r="AG2" s="321" t="s">
        <v>302</v>
      </c>
      <c r="AH2" s="189" t="s">
        <v>303</v>
      </c>
      <c r="AI2" s="189" t="s">
        <v>304</v>
      </c>
      <c r="AJ2" s="189" t="s">
        <v>489</v>
      </c>
      <c r="AK2" s="189" t="s">
        <v>490</v>
      </c>
      <c r="AL2" s="189"/>
      <c r="AM2" s="305" t="s">
        <v>101</v>
      </c>
      <c r="AN2" s="303" t="s">
        <v>47</v>
      </c>
      <c r="AO2" s="304" t="s">
        <v>29</v>
      </c>
    </row>
    <row r="3" spans="1:43" s="5" customFormat="1">
      <c r="A3" s="404">
        <f>'1-συμβολαια'!A3</f>
        <v>4600</v>
      </c>
      <c r="B3" s="407" t="str">
        <f>'1-συμβολαια'!C3</f>
        <v>δωρεά</v>
      </c>
      <c r="C3" s="411">
        <f>'1-συμβολαια'!D3</f>
        <v>5727.22</v>
      </c>
      <c r="D3" s="434">
        <f>'3-φύλλα2α'!D3</f>
        <v>4</v>
      </c>
      <c r="E3" s="434">
        <f>'3-φύλλα2α'!E3</f>
        <v>5</v>
      </c>
      <c r="F3" s="435">
        <v>2</v>
      </c>
      <c r="G3" s="435">
        <v>2</v>
      </c>
      <c r="H3" s="409">
        <f>F3*D3*3.23</f>
        <v>25.84</v>
      </c>
      <c r="I3" s="441">
        <f>E3*G3*3.23</f>
        <v>32.299999999999997</v>
      </c>
      <c r="J3" s="436">
        <f>H3*5%</f>
        <v>1.292</v>
      </c>
      <c r="K3" s="436">
        <f>H3*5%</f>
        <v>1.292</v>
      </c>
      <c r="L3" s="436">
        <f>H3*1%</f>
        <v>0.25840000000000002</v>
      </c>
      <c r="M3" s="436">
        <f>H3-O3</f>
        <v>22.997599999999998</v>
      </c>
      <c r="N3" s="436">
        <f>I3-P3</f>
        <v>28.746999999999996</v>
      </c>
      <c r="O3" s="436">
        <f>J3+K3+L3</f>
        <v>2.8424</v>
      </c>
      <c r="P3" s="436">
        <f>I3*11%</f>
        <v>3.5529999999999995</v>
      </c>
      <c r="Q3" s="436"/>
      <c r="R3" s="437"/>
      <c r="S3" s="412"/>
      <c r="T3" s="412">
        <v>12.92</v>
      </c>
      <c r="U3" s="437">
        <v>1.98</v>
      </c>
      <c r="V3" s="412">
        <v>12.92</v>
      </c>
      <c r="W3" s="412">
        <v>1.47</v>
      </c>
      <c r="X3" s="412"/>
      <c r="Y3" s="412"/>
      <c r="Z3" s="412"/>
      <c r="AA3" s="412"/>
      <c r="AB3" s="412">
        <f>12.92*2</f>
        <v>25.84</v>
      </c>
      <c r="AC3" s="412">
        <f>1.47*2</f>
        <v>2.94</v>
      </c>
      <c r="AD3" s="412"/>
      <c r="AE3" s="412"/>
      <c r="AF3" s="412">
        <v>1.47</v>
      </c>
      <c r="AG3" s="438"/>
      <c r="AH3" s="438">
        <v>6.25</v>
      </c>
      <c r="AI3" s="438">
        <v>0.5</v>
      </c>
      <c r="AJ3" s="438"/>
      <c r="AK3" s="438"/>
      <c r="AL3" s="438"/>
      <c r="AM3" s="439">
        <f t="shared" ref="AM3:AM56" si="0">U3+Y3+AA3+AI3+AK3</f>
        <v>2.48</v>
      </c>
      <c r="AN3" s="440">
        <f>R3+S3+T3+V3+W3+X3+Z3+AB3+AC3+AD3+AE3+AF3+AG3+AH3+AJ3+AL3</f>
        <v>63.809999999999995</v>
      </c>
      <c r="AO3" s="327"/>
    </row>
    <row r="4" spans="1:43" s="5" customFormat="1">
      <c r="A4" s="404">
        <f>'1-συμβολαια'!A4</f>
        <v>0</v>
      </c>
      <c r="B4" s="407" t="str">
        <f>'1-συμβολαια'!C4</f>
        <v>ΧΡΗΣΙΚΤΗΣΙΑ οικοπέδου &amp; οικίας = 1930 πατρός ΔΩΡΕΑ άτυπη</v>
      </c>
      <c r="C4" s="375">
        <f>'1-συμβολαια'!D4</f>
        <v>3333</v>
      </c>
      <c r="D4" s="434">
        <f>'3-φύλλα2α'!D4</f>
        <v>4</v>
      </c>
      <c r="E4" s="434">
        <f>'3-φύλλα2α'!E4</f>
        <v>0</v>
      </c>
      <c r="F4" s="435"/>
      <c r="G4" s="435"/>
      <c r="H4" s="409"/>
      <c r="I4" s="436">
        <f t="shared" ref="I4:I56" si="1">E4*G4*3.23</f>
        <v>0</v>
      </c>
      <c r="J4" s="436">
        <f t="shared" ref="J4:J56" si="2">H4*5%</f>
        <v>0</v>
      </c>
      <c r="K4" s="436">
        <f t="shared" ref="K4:K56" si="3">H4*5%</f>
        <v>0</v>
      </c>
      <c r="L4" s="436">
        <f t="shared" ref="L4:L56" si="4">H4*1%</f>
        <v>0</v>
      </c>
      <c r="M4" s="436">
        <f t="shared" ref="M4:M56" si="5">H4-O4</f>
        <v>0</v>
      </c>
      <c r="N4" s="436">
        <f t="shared" ref="N4:N56" si="6">I4-P4</f>
        <v>0</v>
      </c>
      <c r="O4" s="436">
        <f t="shared" ref="O4:O56" si="7">J4+K4+L4</f>
        <v>0</v>
      </c>
      <c r="P4" s="436">
        <f t="shared" ref="P4:P56" si="8">I4*11%</f>
        <v>0</v>
      </c>
      <c r="Q4" s="436"/>
      <c r="R4" s="437"/>
      <c r="S4" s="412"/>
      <c r="T4" s="412"/>
      <c r="U4" s="437"/>
      <c r="V4" s="412"/>
      <c r="W4" s="412"/>
      <c r="X4" s="412"/>
      <c r="Y4" s="412"/>
      <c r="Z4" s="412"/>
      <c r="AA4" s="412"/>
      <c r="AB4" s="412"/>
      <c r="AC4" s="412"/>
      <c r="AD4" s="412"/>
      <c r="AE4" s="412"/>
      <c r="AF4" s="412"/>
      <c r="AG4" s="438"/>
      <c r="AH4" s="438"/>
      <c r="AI4" s="438"/>
      <c r="AJ4" s="438"/>
      <c r="AK4" s="438"/>
      <c r="AL4" s="438"/>
      <c r="AM4" s="439">
        <f t="shared" si="0"/>
        <v>0</v>
      </c>
      <c r="AN4" s="440">
        <f t="shared" ref="AN4:AN56" si="9">R4+S4+T4+V4+W4+X4+Z4+AB4+AC4+AD4+AE4+AF4+AG4+AH4+AJ4+AL4</f>
        <v>0</v>
      </c>
      <c r="AO4" s="327"/>
    </row>
    <row r="5" spans="1:43" s="5" customFormat="1">
      <c r="A5" s="397">
        <f>'1-συμβολαια'!A5</f>
        <v>4601</v>
      </c>
      <c r="B5" s="407" t="str">
        <f>'1-συμβολαια'!C5</f>
        <v>αγοραπωλησίας 13.835κ ΕΞΟΦΛΗΣΗ</v>
      </c>
      <c r="C5" s="411">
        <f>'1-συμβολαια'!D5</f>
        <v>0</v>
      </c>
      <c r="D5" s="434">
        <f>'3-φύλλα2α'!D5</f>
        <v>3</v>
      </c>
      <c r="E5" s="434">
        <f>'3-φύλλα2α'!E5</f>
        <v>3</v>
      </c>
      <c r="F5" s="435">
        <v>2</v>
      </c>
      <c r="G5" s="490">
        <v>1</v>
      </c>
      <c r="H5" s="409">
        <f t="shared" ref="H5:H56" si="10">F5*D5*3.23</f>
        <v>19.38</v>
      </c>
      <c r="I5" s="436">
        <v>19.38</v>
      </c>
      <c r="J5" s="436">
        <f t="shared" si="2"/>
        <v>0.96899999999999997</v>
      </c>
      <c r="K5" s="436">
        <f t="shared" si="3"/>
        <v>0.96899999999999997</v>
      </c>
      <c r="L5" s="436">
        <f t="shared" si="4"/>
        <v>0.1938</v>
      </c>
      <c r="M5" s="436">
        <f t="shared" si="5"/>
        <v>17.248199999999997</v>
      </c>
      <c r="N5" s="436">
        <f t="shared" si="6"/>
        <v>17.248200000000001</v>
      </c>
      <c r="O5" s="436">
        <f t="shared" si="7"/>
        <v>2.1318000000000001</v>
      </c>
      <c r="P5" s="436">
        <f t="shared" si="8"/>
        <v>2.1317999999999997</v>
      </c>
      <c r="Q5" s="436"/>
      <c r="R5" s="437">
        <f>7*3.23+66*3.23</f>
        <v>235.79000000000002</v>
      </c>
      <c r="S5" s="412">
        <f>8*1.47</f>
        <v>11.76</v>
      </c>
      <c r="T5" s="412">
        <v>9.69</v>
      </c>
      <c r="U5" s="437">
        <v>1.98</v>
      </c>
      <c r="V5" s="412"/>
      <c r="W5" s="412"/>
      <c r="X5" s="412"/>
      <c r="Y5" s="513">
        <f>H12/2</f>
        <v>9.69</v>
      </c>
      <c r="Z5" s="412"/>
      <c r="AA5" s="412"/>
      <c r="AB5" s="412">
        <f>2*9.69</f>
        <v>19.38</v>
      </c>
      <c r="AC5" s="412">
        <f>2*1.47</f>
        <v>2.94</v>
      </c>
      <c r="AD5" s="412">
        <v>1.47</v>
      </c>
      <c r="AE5" s="412"/>
      <c r="AF5" s="412"/>
      <c r="AG5" s="438"/>
      <c r="AH5" s="438"/>
      <c r="AI5" s="438"/>
      <c r="AJ5" s="438"/>
      <c r="AK5" s="438"/>
      <c r="AL5" s="438"/>
      <c r="AM5" s="439">
        <f t="shared" si="0"/>
        <v>11.67</v>
      </c>
      <c r="AN5" s="440">
        <f t="shared" si="9"/>
        <v>281.03000000000003</v>
      </c>
      <c r="AO5" s="327"/>
    </row>
    <row r="6" spans="1:43" s="5" customFormat="1">
      <c r="A6" s="404">
        <f>'1-συμβολαια'!A6</f>
        <v>4602</v>
      </c>
      <c r="B6" s="407" t="str">
        <f>'1-συμβολαια'!C6</f>
        <v>κληρονομιάς ΑΠΟΔΟΧΗ</v>
      </c>
      <c r="C6" s="411">
        <f>'1-συμβολαια'!D6</f>
        <v>0</v>
      </c>
      <c r="D6" s="434">
        <f>'3-φύλλα2α'!D6</f>
        <v>2</v>
      </c>
      <c r="E6" s="434">
        <f>'3-φύλλα2α'!E6</f>
        <v>3</v>
      </c>
      <c r="F6" s="435">
        <v>2</v>
      </c>
      <c r="G6" s="435">
        <v>2</v>
      </c>
      <c r="H6" s="409">
        <f t="shared" si="10"/>
        <v>12.92</v>
      </c>
      <c r="I6" s="441">
        <f t="shared" si="1"/>
        <v>19.38</v>
      </c>
      <c r="J6" s="436">
        <f t="shared" si="2"/>
        <v>0.64600000000000002</v>
      </c>
      <c r="K6" s="436">
        <f t="shared" si="3"/>
        <v>0.64600000000000002</v>
      </c>
      <c r="L6" s="436">
        <f t="shared" si="4"/>
        <v>0.12920000000000001</v>
      </c>
      <c r="M6" s="436">
        <f t="shared" si="5"/>
        <v>11.498799999999999</v>
      </c>
      <c r="N6" s="436">
        <f t="shared" si="6"/>
        <v>17.248200000000001</v>
      </c>
      <c r="O6" s="436">
        <f t="shared" si="7"/>
        <v>1.4212</v>
      </c>
      <c r="P6" s="436">
        <f t="shared" si="8"/>
        <v>2.1317999999999997</v>
      </c>
      <c r="Q6" s="436"/>
      <c r="R6" s="437"/>
      <c r="S6" s="412"/>
      <c r="T6" s="412">
        <v>6.46</v>
      </c>
      <c r="U6" s="437">
        <v>1.98</v>
      </c>
      <c r="V6" s="412"/>
      <c r="W6" s="412"/>
      <c r="X6" s="412"/>
      <c r="Y6" s="412"/>
      <c r="Z6" s="412"/>
      <c r="AA6" s="412"/>
      <c r="AB6" s="412">
        <f>2*6.46</f>
        <v>12.92</v>
      </c>
      <c r="AC6" s="412">
        <v>2.94</v>
      </c>
      <c r="AD6" s="412"/>
      <c r="AE6" s="412"/>
      <c r="AF6" s="412"/>
      <c r="AG6" s="438"/>
      <c r="AH6" s="438">
        <v>6.25</v>
      </c>
      <c r="AI6" s="438">
        <v>0.5</v>
      </c>
      <c r="AJ6" s="438"/>
      <c r="AK6" s="438"/>
      <c r="AL6" s="438"/>
      <c r="AM6" s="439">
        <f t="shared" si="0"/>
        <v>2.48</v>
      </c>
      <c r="AN6" s="440">
        <f t="shared" si="9"/>
        <v>28.57</v>
      </c>
      <c r="AO6" s="327"/>
    </row>
    <row r="7" spans="1:43" s="5" customFormat="1">
      <c r="A7" s="404">
        <f>'1-συμβολαια'!A7</f>
        <v>0</v>
      </c>
      <c r="B7" s="407" t="str">
        <f>'1-συμβολαια'!C7</f>
        <v>ΧΡΗΣΙΚΤΗΣΙΑ αγροτεμαχίου = 19?? ΑΝΑΔΑΣΜΟΣ</v>
      </c>
      <c r="C7" s="375">
        <f>'1-συμβολαια'!D7</f>
        <v>1111</v>
      </c>
      <c r="D7" s="434">
        <f>'3-φύλλα2α'!D7</f>
        <v>2</v>
      </c>
      <c r="E7" s="434">
        <f>'3-φύλλα2α'!E7</f>
        <v>0</v>
      </c>
      <c r="F7" s="435"/>
      <c r="G7" s="504"/>
      <c r="H7" s="409">
        <f t="shared" si="10"/>
        <v>0</v>
      </c>
      <c r="I7" s="436">
        <f t="shared" si="1"/>
        <v>0</v>
      </c>
      <c r="J7" s="436">
        <f t="shared" si="2"/>
        <v>0</v>
      </c>
      <c r="K7" s="436">
        <f t="shared" si="3"/>
        <v>0</v>
      </c>
      <c r="L7" s="436">
        <f t="shared" si="4"/>
        <v>0</v>
      </c>
      <c r="M7" s="436">
        <f t="shared" si="5"/>
        <v>0</v>
      </c>
      <c r="N7" s="436">
        <f t="shared" si="6"/>
        <v>0</v>
      </c>
      <c r="O7" s="436">
        <f t="shared" si="7"/>
        <v>0</v>
      </c>
      <c r="P7" s="436">
        <f t="shared" si="8"/>
        <v>0</v>
      </c>
      <c r="Q7" s="436">
        <f t="shared" ref="Q7:Q56" si="11">O7-P7</f>
        <v>0</v>
      </c>
      <c r="R7" s="437"/>
      <c r="S7" s="412"/>
      <c r="T7" s="412"/>
      <c r="U7" s="437"/>
      <c r="V7" s="412"/>
      <c r="W7" s="412"/>
      <c r="X7" s="412"/>
      <c r="Y7" s="412"/>
      <c r="Z7" s="412"/>
      <c r="AA7" s="412"/>
      <c r="AB7" s="412"/>
      <c r="AC7" s="412"/>
      <c r="AD7" s="412"/>
      <c r="AE7" s="412"/>
      <c r="AF7" s="412"/>
      <c r="AG7" s="438"/>
      <c r="AH7" s="438"/>
      <c r="AI7" s="438"/>
      <c r="AJ7" s="438"/>
      <c r="AK7" s="438"/>
      <c r="AL7" s="438"/>
      <c r="AM7" s="439">
        <f t="shared" si="0"/>
        <v>0</v>
      </c>
      <c r="AN7" s="440">
        <f t="shared" si="9"/>
        <v>0</v>
      </c>
      <c r="AO7" s="327"/>
    </row>
    <row r="8" spans="1:43" s="5" customFormat="1">
      <c r="A8" s="397">
        <f>'1-συμβολαια'!A8</f>
        <v>4603</v>
      </c>
      <c r="B8" s="407" t="str">
        <f>'1-συμβολαια'!C8</f>
        <v>γονικής 11.618καπολα ΔΙΟΡΘΩΣΗ</v>
      </c>
      <c r="C8" s="411">
        <f>'1-συμβολαια'!D8</f>
        <v>0</v>
      </c>
      <c r="D8" s="434">
        <f>'3-φύλλα2α'!D8</f>
        <v>2</v>
      </c>
      <c r="E8" s="434">
        <f>'3-φύλλα2α'!E8</f>
        <v>2</v>
      </c>
      <c r="F8" s="435">
        <v>3</v>
      </c>
      <c r="G8" s="512">
        <v>2</v>
      </c>
      <c r="H8" s="409">
        <f t="shared" si="10"/>
        <v>19.38</v>
      </c>
      <c r="I8" s="516">
        <f t="shared" si="1"/>
        <v>12.92</v>
      </c>
      <c r="J8" s="436">
        <f t="shared" si="2"/>
        <v>0.96899999999999997</v>
      </c>
      <c r="K8" s="436">
        <f t="shared" si="3"/>
        <v>0.96899999999999997</v>
      </c>
      <c r="L8" s="436">
        <f t="shared" si="4"/>
        <v>0.1938</v>
      </c>
      <c r="M8" s="436">
        <f t="shared" si="5"/>
        <v>17.248199999999997</v>
      </c>
      <c r="N8" s="436">
        <f t="shared" si="6"/>
        <v>11.498799999999999</v>
      </c>
      <c r="O8" s="436">
        <f t="shared" si="7"/>
        <v>2.1318000000000001</v>
      </c>
      <c r="P8" s="436">
        <f t="shared" si="8"/>
        <v>1.4212</v>
      </c>
      <c r="Q8" s="436">
        <f t="shared" si="11"/>
        <v>0.71060000000000012</v>
      </c>
      <c r="R8" s="437"/>
      <c r="S8" s="412"/>
      <c r="T8" s="513">
        <f>H8/3</f>
        <v>6.46</v>
      </c>
      <c r="U8" s="437">
        <v>1.98</v>
      </c>
      <c r="V8" s="412">
        <v>6.46</v>
      </c>
      <c r="W8" s="412">
        <v>1.47</v>
      </c>
      <c r="X8" s="412"/>
      <c r="Y8" s="412"/>
      <c r="Z8" s="412"/>
      <c r="AA8" s="412"/>
      <c r="AB8" s="412">
        <f>3*6.46</f>
        <v>19.38</v>
      </c>
      <c r="AC8" s="412">
        <f>3*1.47</f>
        <v>4.41</v>
      </c>
      <c r="AD8" s="412">
        <v>1.47</v>
      </c>
      <c r="AE8" s="412"/>
      <c r="AF8" s="412"/>
      <c r="AG8" s="438"/>
      <c r="AH8" s="438">
        <v>6.25</v>
      </c>
      <c r="AI8" s="438">
        <v>0.5</v>
      </c>
      <c r="AJ8" s="438"/>
      <c r="AK8" s="438"/>
      <c r="AL8" s="438"/>
      <c r="AM8" s="439">
        <f t="shared" si="0"/>
        <v>2.48</v>
      </c>
      <c r="AN8" s="440">
        <f t="shared" si="9"/>
        <v>45.899999999999991</v>
      </c>
      <c r="AO8" s="327"/>
    </row>
    <row r="9" spans="1:43" s="5" customFormat="1">
      <c r="A9" s="397">
        <f>'1-συμβολαια'!A9</f>
        <v>4604</v>
      </c>
      <c r="B9" s="407" t="str">
        <f>'1-συμβολαια'!C9</f>
        <v>γονικής 11.619καπολα ΔΙΟΡΘΩΣΗ</v>
      </c>
      <c r="C9" s="411">
        <f>'1-συμβολαια'!D9</f>
        <v>0</v>
      </c>
      <c r="D9" s="434">
        <f>'3-φύλλα2α'!D9</f>
        <v>2</v>
      </c>
      <c r="E9" s="434">
        <f>'3-φύλλα2α'!E9</f>
        <v>3</v>
      </c>
      <c r="F9" s="435">
        <v>3</v>
      </c>
      <c r="G9" s="512">
        <v>2</v>
      </c>
      <c r="H9" s="409">
        <f t="shared" si="10"/>
        <v>19.38</v>
      </c>
      <c r="I9" s="516">
        <f t="shared" si="1"/>
        <v>19.38</v>
      </c>
      <c r="J9" s="436">
        <f t="shared" si="2"/>
        <v>0.96899999999999997</v>
      </c>
      <c r="K9" s="436">
        <f t="shared" si="3"/>
        <v>0.96899999999999997</v>
      </c>
      <c r="L9" s="436">
        <f t="shared" si="4"/>
        <v>0.1938</v>
      </c>
      <c r="M9" s="436">
        <f t="shared" si="5"/>
        <v>17.248199999999997</v>
      </c>
      <c r="N9" s="436">
        <f t="shared" si="6"/>
        <v>17.248200000000001</v>
      </c>
      <c r="O9" s="436">
        <f t="shared" si="7"/>
        <v>2.1318000000000001</v>
      </c>
      <c r="P9" s="436">
        <f t="shared" si="8"/>
        <v>2.1317999999999997</v>
      </c>
      <c r="Q9" s="436"/>
      <c r="R9" s="437"/>
      <c r="S9" s="412"/>
      <c r="T9" s="513">
        <f>H9/3</f>
        <v>6.46</v>
      </c>
      <c r="U9" s="437">
        <v>1.98</v>
      </c>
      <c r="V9" s="412">
        <v>6.46</v>
      </c>
      <c r="W9" s="412">
        <v>1.47</v>
      </c>
      <c r="X9" s="412"/>
      <c r="Y9" s="412"/>
      <c r="Z9" s="412"/>
      <c r="AA9" s="412"/>
      <c r="AB9" s="412">
        <f>3*6.46</f>
        <v>19.38</v>
      </c>
      <c r="AC9" s="412">
        <f>3*1.47</f>
        <v>4.41</v>
      </c>
      <c r="AD9" s="412">
        <v>1.47</v>
      </c>
      <c r="AE9" s="412"/>
      <c r="AF9" s="412"/>
      <c r="AG9" s="438"/>
      <c r="AH9" s="438">
        <v>6.25</v>
      </c>
      <c r="AI9" s="438">
        <v>0.5</v>
      </c>
      <c r="AJ9" s="438"/>
      <c r="AK9" s="438"/>
      <c r="AL9" s="438"/>
      <c r="AM9" s="439">
        <f t="shared" si="0"/>
        <v>2.48</v>
      </c>
      <c r="AN9" s="440">
        <f t="shared" si="9"/>
        <v>45.899999999999991</v>
      </c>
      <c r="AO9" s="327"/>
    </row>
    <row r="10" spans="1:43" s="5" customFormat="1">
      <c r="A10" s="397">
        <f>'1-συμβολαια'!A10</f>
        <v>4605</v>
      </c>
      <c r="B10" s="407" t="str">
        <f>'1-συμβολαια'!C10</f>
        <v>* γονικής 11.618καπολα επικαρπίας ΕΝΣΩΜΑΤΩΣΗ {= παραίτηση αδερφής δικαιώματος οίκησης</v>
      </c>
      <c r="C10" s="411">
        <f>'1-συμβολαια'!D10</f>
        <v>2222</v>
      </c>
      <c r="D10" s="434">
        <f>'3-φύλλα2α'!D10</f>
        <v>2</v>
      </c>
      <c r="E10" s="434">
        <f>'3-φύλλα2α'!E10</f>
        <v>3</v>
      </c>
      <c r="F10" s="435">
        <v>2</v>
      </c>
      <c r="G10" s="435">
        <v>2</v>
      </c>
      <c r="H10" s="409">
        <f t="shared" si="10"/>
        <v>12.92</v>
      </c>
      <c r="I10" s="441">
        <f t="shared" si="1"/>
        <v>19.38</v>
      </c>
      <c r="J10" s="436">
        <f t="shared" si="2"/>
        <v>0.64600000000000002</v>
      </c>
      <c r="K10" s="436">
        <f t="shared" si="3"/>
        <v>0.64600000000000002</v>
      </c>
      <c r="L10" s="436">
        <f t="shared" si="4"/>
        <v>0.12920000000000001</v>
      </c>
      <c r="M10" s="436">
        <f t="shared" si="5"/>
        <v>11.498799999999999</v>
      </c>
      <c r="N10" s="436">
        <f t="shared" si="6"/>
        <v>17.248200000000001</v>
      </c>
      <c r="O10" s="436">
        <f t="shared" si="7"/>
        <v>1.4212</v>
      </c>
      <c r="P10" s="436">
        <f t="shared" si="8"/>
        <v>2.1317999999999997</v>
      </c>
      <c r="Q10" s="436"/>
      <c r="R10" s="437"/>
      <c r="S10" s="412"/>
      <c r="T10" s="513">
        <v>6.46</v>
      </c>
      <c r="U10" s="437">
        <v>1.98</v>
      </c>
      <c r="V10" s="412">
        <v>6.46</v>
      </c>
      <c r="W10" s="412">
        <v>1.47</v>
      </c>
      <c r="X10" s="412"/>
      <c r="Y10" s="412"/>
      <c r="Z10" s="412"/>
      <c r="AA10" s="412"/>
      <c r="AB10" s="412">
        <f>2*6.46</f>
        <v>12.92</v>
      </c>
      <c r="AC10" s="412">
        <v>1.47</v>
      </c>
      <c r="AD10" s="412">
        <v>1.47</v>
      </c>
      <c r="AE10" s="412"/>
      <c r="AF10" s="412"/>
      <c r="AG10" s="438"/>
      <c r="AH10" s="438">
        <v>6.25</v>
      </c>
      <c r="AI10" s="438">
        <v>0.5</v>
      </c>
      <c r="AJ10" s="438"/>
      <c r="AK10" s="438"/>
      <c r="AL10" s="438"/>
      <c r="AM10" s="439">
        <f t="shared" si="0"/>
        <v>2.48</v>
      </c>
      <c r="AN10" s="440">
        <f t="shared" si="9"/>
        <v>36.5</v>
      </c>
      <c r="AO10" s="327"/>
    </row>
    <row r="11" spans="1:43" s="5" customFormat="1">
      <c r="A11" s="397">
        <f>'1-συμβολαια'!A11</f>
        <v>4606</v>
      </c>
      <c r="B11" s="407" t="str">
        <f>'1-συμβολαια'!C11</f>
        <v>πληρεξούσιο</v>
      </c>
      <c r="C11" s="411">
        <f>'1-συμβολαια'!D11</f>
        <v>0</v>
      </c>
      <c r="D11" s="434">
        <f>'3-φύλλα2α'!D11</f>
        <v>3</v>
      </c>
      <c r="E11" s="434">
        <f>'3-φύλλα2α'!E11</f>
        <v>3</v>
      </c>
      <c r="F11" s="435">
        <v>1</v>
      </c>
      <c r="G11" s="435">
        <v>1</v>
      </c>
      <c r="H11" s="409">
        <f t="shared" si="10"/>
        <v>9.69</v>
      </c>
      <c r="I11" s="436">
        <f t="shared" si="1"/>
        <v>9.69</v>
      </c>
      <c r="J11" s="436">
        <f t="shared" si="2"/>
        <v>0.48449999999999999</v>
      </c>
      <c r="K11" s="436">
        <f t="shared" si="3"/>
        <v>0.48449999999999999</v>
      </c>
      <c r="L11" s="436">
        <f t="shared" si="4"/>
        <v>9.69E-2</v>
      </c>
      <c r="M11" s="436">
        <f t="shared" si="5"/>
        <v>8.6240999999999985</v>
      </c>
      <c r="N11" s="436">
        <f t="shared" si="6"/>
        <v>8.6241000000000003</v>
      </c>
      <c r="O11" s="436">
        <f t="shared" si="7"/>
        <v>1.0659000000000001</v>
      </c>
      <c r="P11" s="436">
        <f t="shared" si="8"/>
        <v>1.0658999999999998</v>
      </c>
      <c r="Q11" s="436"/>
      <c r="R11" s="437"/>
      <c r="S11" s="412"/>
      <c r="T11" s="412"/>
      <c r="U11" s="437"/>
      <c r="V11" s="412"/>
      <c r="W11" s="412"/>
      <c r="X11" s="412"/>
      <c r="Y11" s="412"/>
      <c r="Z11" s="412"/>
      <c r="AA11" s="412"/>
      <c r="AB11" s="412"/>
      <c r="AC11" s="412"/>
      <c r="AD11" s="412"/>
      <c r="AE11" s="412"/>
      <c r="AF11" s="412"/>
      <c r="AG11" s="438"/>
      <c r="AH11" s="438"/>
      <c r="AI11" s="438"/>
      <c r="AJ11" s="438"/>
      <c r="AK11" s="438"/>
      <c r="AL11" s="438"/>
      <c r="AM11" s="439">
        <f t="shared" si="0"/>
        <v>0</v>
      </c>
      <c r="AN11" s="440">
        <f t="shared" si="9"/>
        <v>0</v>
      </c>
      <c r="AO11" s="327"/>
    </row>
    <row r="12" spans="1:43" s="5" customFormat="1">
      <c r="A12" s="397">
        <f>'1-συμβολαια'!A12</f>
        <v>4607</v>
      </c>
      <c r="B12" s="407" t="str">
        <f>'1-συμβολαια'!C12</f>
        <v>αγοραπωλησίας 3.919 ΔΙΟΡΘΩΣΗ</v>
      </c>
      <c r="C12" s="411">
        <f>'1-συμβολαια'!D12</f>
        <v>0</v>
      </c>
      <c r="D12" s="434">
        <f>'3-φύλλα2α'!D12</f>
        <v>3</v>
      </c>
      <c r="E12" s="434">
        <f>'3-φύλλα2α'!E12</f>
        <v>4</v>
      </c>
      <c r="F12" s="435">
        <v>2</v>
      </c>
      <c r="G12" s="435">
        <v>2</v>
      </c>
      <c r="H12" s="409">
        <f t="shared" si="10"/>
        <v>19.38</v>
      </c>
      <c r="I12" s="441">
        <f t="shared" si="1"/>
        <v>25.84</v>
      </c>
      <c r="J12" s="436">
        <f t="shared" si="2"/>
        <v>0.96899999999999997</v>
      </c>
      <c r="K12" s="436">
        <f t="shared" si="3"/>
        <v>0.96899999999999997</v>
      </c>
      <c r="L12" s="436">
        <f t="shared" si="4"/>
        <v>0.1938</v>
      </c>
      <c r="M12" s="436">
        <f t="shared" si="5"/>
        <v>17.248199999999997</v>
      </c>
      <c r="N12" s="436">
        <f t="shared" si="6"/>
        <v>22.997599999999998</v>
      </c>
      <c r="O12" s="436">
        <f t="shared" si="7"/>
        <v>2.1318000000000001</v>
      </c>
      <c r="P12" s="436">
        <f t="shared" si="8"/>
        <v>2.8424</v>
      </c>
      <c r="Q12" s="436"/>
      <c r="R12" s="437">
        <f>3.23*2+3.23*5</f>
        <v>22.61</v>
      </c>
      <c r="S12" s="412">
        <f>2*1.47</f>
        <v>2.94</v>
      </c>
      <c r="T12" s="412">
        <v>9.69</v>
      </c>
      <c r="U12" s="437">
        <v>1.98</v>
      </c>
      <c r="V12" s="412"/>
      <c r="W12" s="412"/>
      <c r="X12" s="412"/>
      <c r="Y12" s="412"/>
      <c r="Z12" s="412"/>
      <c r="AA12" s="412"/>
      <c r="AB12" s="412">
        <v>9.69</v>
      </c>
      <c r="AC12" s="412">
        <v>1.47</v>
      </c>
      <c r="AD12" s="412">
        <v>1.47</v>
      </c>
      <c r="AE12" s="412"/>
      <c r="AF12" s="412">
        <v>1.47</v>
      </c>
      <c r="AG12" s="438"/>
      <c r="AH12" s="438"/>
      <c r="AI12" s="438"/>
      <c r="AJ12" s="438"/>
      <c r="AK12" s="438"/>
      <c r="AL12" s="438"/>
      <c r="AM12" s="439">
        <f t="shared" si="0"/>
        <v>1.98</v>
      </c>
      <c r="AN12" s="440">
        <f t="shared" si="9"/>
        <v>49.339999999999996</v>
      </c>
      <c r="AO12" s="327"/>
    </row>
    <row r="13" spans="1:43" s="5" customFormat="1">
      <c r="A13" s="397">
        <f>'1-συμβολαια'!A13</f>
        <v>4608</v>
      </c>
      <c r="B13" s="407" t="str">
        <f>'1-συμβολαια'!C13</f>
        <v>αγοραπωλησία τίμημα = Δ.Ο.Υ. =</v>
      </c>
      <c r="C13" s="411">
        <f>'1-συμβολαια'!D13</f>
        <v>1572.77</v>
      </c>
      <c r="D13" s="434">
        <f>'3-φύλλα2α'!D13</f>
        <v>4</v>
      </c>
      <c r="E13" s="434">
        <f>'3-φύλλα2α'!E13</f>
        <v>5</v>
      </c>
      <c r="F13" s="329">
        <v>2</v>
      </c>
      <c r="G13" s="329">
        <v>2</v>
      </c>
      <c r="H13" s="409">
        <f t="shared" si="10"/>
        <v>25.84</v>
      </c>
      <c r="I13" s="441">
        <f t="shared" si="1"/>
        <v>32.299999999999997</v>
      </c>
      <c r="J13" s="436">
        <f t="shared" si="2"/>
        <v>1.292</v>
      </c>
      <c r="K13" s="436">
        <f t="shared" si="3"/>
        <v>1.292</v>
      </c>
      <c r="L13" s="436">
        <f t="shared" si="4"/>
        <v>0.25840000000000002</v>
      </c>
      <c r="M13" s="436">
        <f t="shared" si="5"/>
        <v>22.997599999999998</v>
      </c>
      <c r="N13" s="436">
        <f t="shared" si="6"/>
        <v>28.746999999999996</v>
      </c>
      <c r="O13" s="436">
        <f t="shared" si="7"/>
        <v>2.8424</v>
      </c>
      <c r="P13" s="436">
        <f t="shared" si="8"/>
        <v>3.5529999999999995</v>
      </c>
      <c r="Q13" s="436"/>
      <c r="R13" s="437"/>
      <c r="S13" s="412"/>
      <c r="T13" s="412">
        <v>12.92</v>
      </c>
      <c r="U13" s="437">
        <v>1.98</v>
      </c>
      <c r="V13" s="412">
        <v>12.92</v>
      </c>
      <c r="W13" s="412">
        <v>1.47</v>
      </c>
      <c r="X13" s="412"/>
      <c r="Y13" s="412"/>
      <c r="Z13" s="412"/>
      <c r="AA13" s="412"/>
      <c r="AB13" s="412">
        <f>2*12.92</f>
        <v>25.84</v>
      </c>
      <c r="AC13" s="412">
        <f>2*1.47</f>
        <v>2.94</v>
      </c>
      <c r="AD13" s="412"/>
      <c r="AE13" s="412"/>
      <c r="AF13" s="412">
        <v>1.47</v>
      </c>
      <c r="AG13" s="438"/>
      <c r="AH13" s="438">
        <v>6.25</v>
      </c>
      <c r="AI13" s="438">
        <v>0.5</v>
      </c>
      <c r="AJ13" s="438"/>
      <c r="AK13" s="438"/>
      <c r="AL13" s="438"/>
      <c r="AM13" s="439">
        <f t="shared" si="0"/>
        <v>2.48</v>
      </c>
      <c r="AN13" s="440">
        <f t="shared" si="9"/>
        <v>63.809999999999995</v>
      </c>
      <c r="AO13" s="327"/>
      <c r="AQ13" s="4"/>
    </row>
    <row r="14" spans="1:43" s="5" customFormat="1">
      <c r="A14" s="397">
        <f>'1-συμβολαια'!A14</f>
        <v>4609</v>
      </c>
      <c r="B14" s="407" t="str">
        <f>'1-συμβολαια'!C14</f>
        <v>αγοραπωλησία τίμημα = 6.057,27 Δ.Ο.Υ. =</v>
      </c>
      <c r="C14" s="411">
        <f>'1-συμβολαια'!D14</f>
        <v>18257.27</v>
      </c>
      <c r="D14" s="434">
        <f>'3-φύλλα2α'!D14</f>
        <v>4</v>
      </c>
      <c r="E14" s="434">
        <f>'3-φύλλα2α'!E14</f>
        <v>5</v>
      </c>
      <c r="F14" s="329">
        <v>2</v>
      </c>
      <c r="G14" s="329">
        <v>2</v>
      </c>
      <c r="H14" s="409">
        <f t="shared" si="10"/>
        <v>25.84</v>
      </c>
      <c r="I14" s="441">
        <f t="shared" si="1"/>
        <v>32.299999999999997</v>
      </c>
      <c r="J14" s="436">
        <f t="shared" si="2"/>
        <v>1.292</v>
      </c>
      <c r="K14" s="436">
        <f t="shared" si="3"/>
        <v>1.292</v>
      </c>
      <c r="L14" s="436">
        <f t="shared" si="4"/>
        <v>0.25840000000000002</v>
      </c>
      <c r="M14" s="436">
        <f t="shared" si="5"/>
        <v>22.997599999999998</v>
      </c>
      <c r="N14" s="436">
        <f t="shared" si="6"/>
        <v>28.746999999999996</v>
      </c>
      <c r="O14" s="436">
        <f t="shared" si="7"/>
        <v>2.8424</v>
      </c>
      <c r="P14" s="436">
        <f t="shared" si="8"/>
        <v>3.5529999999999995</v>
      </c>
      <c r="Q14" s="436"/>
      <c r="R14" s="437"/>
      <c r="S14" s="412"/>
      <c r="T14" s="513">
        <f>H14/2</f>
        <v>12.92</v>
      </c>
      <c r="U14" s="437">
        <v>1.98</v>
      </c>
      <c r="V14" s="412">
        <v>12.92</v>
      </c>
      <c r="W14" s="412">
        <v>1.47</v>
      </c>
      <c r="X14" s="416"/>
      <c r="Y14" s="412"/>
      <c r="Z14" s="416"/>
      <c r="AA14" s="412"/>
      <c r="AB14" s="513">
        <f>2*T14</f>
        <v>25.84</v>
      </c>
      <c r="AC14" s="412">
        <f>2*1.47</f>
        <v>2.94</v>
      </c>
      <c r="AD14" s="412"/>
      <c r="AE14" s="412"/>
      <c r="AF14" s="412">
        <v>1.47</v>
      </c>
      <c r="AG14" s="438"/>
      <c r="AH14" s="438">
        <v>6.25</v>
      </c>
      <c r="AI14" s="438">
        <v>0.5</v>
      </c>
      <c r="AJ14" s="438"/>
      <c r="AK14" s="438"/>
      <c r="AL14" s="438"/>
      <c r="AM14" s="439">
        <f t="shared" si="0"/>
        <v>2.48</v>
      </c>
      <c r="AN14" s="440">
        <f t="shared" si="9"/>
        <v>63.809999999999995</v>
      </c>
      <c r="AO14" s="327"/>
    </row>
    <row r="15" spans="1:43" s="5" customFormat="1">
      <c r="A15" s="397">
        <f>'1-συμβολαια'!A15</f>
        <v>4610</v>
      </c>
      <c r="B15" s="407" t="str">
        <f>'1-συμβολαια'!C15</f>
        <v>πληρεξούσιο</v>
      </c>
      <c r="C15" s="411">
        <f>'1-συμβολαια'!D15</f>
        <v>0</v>
      </c>
      <c r="D15" s="434">
        <f>'3-φύλλα2α'!D15</f>
        <v>2</v>
      </c>
      <c r="E15" s="434">
        <f>'3-φύλλα2α'!E15</f>
        <v>3</v>
      </c>
      <c r="F15" s="329">
        <v>1</v>
      </c>
      <c r="G15" s="329">
        <v>1</v>
      </c>
      <c r="H15" s="409">
        <f t="shared" si="10"/>
        <v>6.46</v>
      </c>
      <c r="I15" s="441">
        <f t="shared" si="1"/>
        <v>9.69</v>
      </c>
      <c r="J15" s="436">
        <f t="shared" si="2"/>
        <v>0.32300000000000001</v>
      </c>
      <c r="K15" s="436">
        <f t="shared" si="3"/>
        <v>0.32300000000000001</v>
      </c>
      <c r="L15" s="436">
        <f t="shared" si="4"/>
        <v>6.4600000000000005E-2</v>
      </c>
      <c r="M15" s="436">
        <f t="shared" si="5"/>
        <v>5.7493999999999996</v>
      </c>
      <c r="N15" s="436">
        <f t="shared" si="6"/>
        <v>8.6241000000000003</v>
      </c>
      <c r="O15" s="436">
        <f t="shared" si="7"/>
        <v>0.71060000000000001</v>
      </c>
      <c r="P15" s="436">
        <f t="shared" si="8"/>
        <v>1.0658999999999998</v>
      </c>
      <c r="Q15" s="436"/>
      <c r="R15" s="437"/>
      <c r="S15" s="412"/>
      <c r="T15" s="412"/>
      <c r="U15" s="437"/>
      <c r="V15" s="412"/>
      <c r="W15" s="412"/>
      <c r="X15" s="412"/>
      <c r="Y15" s="412"/>
      <c r="Z15" s="412"/>
      <c r="AA15" s="412"/>
      <c r="AB15" s="412"/>
      <c r="AC15" s="412"/>
      <c r="AD15" s="412"/>
      <c r="AE15" s="412"/>
      <c r="AF15" s="412"/>
      <c r="AG15" s="438"/>
      <c r="AH15" s="438"/>
      <c r="AI15" s="438"/>
      <c r="AJ15" s="438"/>
      <c r="AK15" s="438"/>
      <c r="AL15" s="438"/>
      <c r="AM15" s="439">
        <f t="shared" si="0"/>
        <v>0</v>
      </c>
      <c r="AN15" s="440">
        <f t="shared" si="9"/>
        <v>0</v>
      </c>
      <c r="AO15" s="327"/>
    </row>
    <row r="16" spans="1:43" s="5" customFormat="1">
      <c r="A16" s="404">
        <f>'1-συμβολαια'!A16</f>
        <v>4611</v>
      </c>
      <c r="B16" s="407" t="str">
        <f>'1-συμβολαια'!C16</f>
        <v>γονική</v>
      </c>
      <c r="C16" s="411">
        <f>'1-συμβολαια'!D16</f>
        <v>33521.660000000003</v>
      </c>
      <c r="D16" s="434">
        <f>'3-φύλλα2α'!D16</f>
        <v>6</v>
      </c>
      <c r="E16" s="434">
        <f>'3-φύλλα2α'!E16</f>
        <v>7</v>
      </c>
      <c r="F16" s="329">
        <v>2</v>
      </c>
      <c r="G16" s="329">
        <v>2</v>
      </c>
      <c r="H16" s="409">
        <f t="shared" si="10"/>
        <v>38.76</v>
      </c>
      <c r="I16" s="441">
        <f t="shared" si="1"/>
        <v>45.22</v>
      </c>
      <c r="J16" s="436">
        <f t="shared" si="2"/>
        <v>1.9379999999999999</v>
      </c>
      <c r="K16" s="436">
        <f t="shared" si="3"/>
        <v>1.9379999999999999</v>
      </c>
      <c r="L16" s="436">
        <f t="shared" si="4"/>
        <v>0.3876</v>
      </c>
      <c r="M16" s="436">
        <f t="shared" si="5"/>
        <v>34.496399999999994</v>
      </c>
      <c r="N16" s="436">
        <f t="shared" si="6"/>
        <v>40.245800000000003</v>
      </c>
      <c r="O16" s="436">
        <f t="shared" si="7"/>
        <v>4.2636000000000003</v>
      </c>
      <c r="P16" s="436">
        <f t="shared" si="8"/>
        <v>4.9741999999999997</v>
      </c>
      <c r="Q16" s="436"/>
      <c r="R16" s="437"/>
      <c r="S16" s="412"/>
      <c r="T16" s="513">
        <f>M16/2</f>
        <v>17.248199999999997</v>
      </c>
      <c r="U16" s="437">
        <v>1.98</v>
      </c>
      <c r="V16" s="412">
        <v>17.25</v>
      </c>
      <c r="W16" s="412">
        <v>1.47</v>
      </c>
      <c r="X16" s="416"/>
      <c r="Y16" s="412"/>
      <c r="Z16" s="412"/>
      <c r="AA16" s="412"/>
      <c r="AB16" s="412">
        <f>2*V16</f>
        <v>34.5</v>
      </c>
      <c r="AC16" s="412">
        <f>2*1.47</f>
        <v>2.94</v>
      </c>
      <c r="AD16" s="412"/>
      <c r="AE16" s="412"/>
      <c r="AF16" s="412"/>
      <c r="AG16" s="438"/>
      <c r="AH16" s="438">
        <v>6.25</v>
      </c>
      <c r="AI16" s="438">
        <v>0.5</v>
      </c>
      <c r="AJ16" s="438"/>
      <c r="AK16" s="438"/>
      <c r="AL16" s="438"/>
      <c r="AM16" s="439">
        <f t="shared" si="0"/>
        <v>2.48</v>
      </c>
      <c r="AN16" s="440">
        <f t="shared" si="9"/>
        <v>79.658199999999994</v>
      </c>
      <c r="AO16" s="327"/>
      <c r="AQ16" s="4"/>
    </row>
    <row r="17" spans="1:41" s="5" customFormat="1">
      <c r="A17" s="404">
        <f>'1-συμβολαια'!A17</f>
        <v>0</v>
      </c>
      <c r="B17" s="407" t="str">
        <f>'1-συμβολαια'!C17</f>
        <v>ΧΡΗΣΙΚΤΗΣΙΑ οικοπέδου = 1973 κυπαρισσίουΠαναγιώτη ΑΓΟΡΑΠΩΛΗΣΙΑ άτυπη</v>
      </c>
      <c r="C17" s="411">
        <f>'1-συμβολαια'!D17</f>
        <v>2222</v>
      </c>
      <c r="D17" s="434">
        <f>'3-φύλλα2α'!D17</f>
        <v>6</v>
      </c>
      <c r="E17" s="434">
        <f>'3-φύλλα2α'!E17</f>
        <v>0</v>
      </c>
      <c r="F17" s="329"/>
      <c r="G17" s="329"/>
      <c r="H17" s="409">
        <f t="shared" si="10"/>
        <v>0</v>
      </c>
      <c r="I17" s="436">
        <f t="shared" si="1"/>
        <v>0</v>
      </c>
      <c r="J17" s="436">
        <f t="shared" si="2"/>
        <v>0</v>
      </c>
      <c r="K17" s="436">
        <f t="shared" si="3"/>
        <v>0</v>
      </c>
      <c r="L17" s="436">
        <f t="shared" si="4"/>
        <v>0</v>
      </c>
      <c r="M17" s="436">
        <f t="shared" si="5"/>
        <v>0</v>
      </c>
      <c r="N17" s="436">
        <f t="shared" si="6"/>
        <v>0</v>
      </c>
      <c r="O17" s="436">
        <f t="shared" si="7"/>
        <v>0</v>
      </c>
      <c r="P17" s="436">
        <f t="shared" si="8"/>
        <v>0</v>
      </c>
      <c r="Q17" s="436"/>
      <c r="R17" s="437"/>
      <c r="S17" s="412"/>
      <c r="T17" s="412"/>
      <c r="U17" s="437"/>
      <c r="V17" s="412"/>
      <c r="W17" s="412"/>
      <c r="X17" s="412"/>
      <c r="Y17" s="412"/>
      <c r="Z17" s="412"/>
      <c r="AA17" s="412"/>
      <c r="AB17" s="412"/>
      <c r="AC17" s="412"/>
      <c r="AD17" s="412"/>
      <c r="AE17" s="412"/>
      <c r="AF17" s="412"/>
      <c r="AG17" s="438"/>
      <c r="AH17" s="438"/>
      <c r="AI17" s="438"/>
      <c r="AJ17" s="438"/>
      <c r="AK17" s="438"/>
      <c r="AL17" s="438"/>
      <c r="AM17" s="439">
        <f t="shared" si="0"/>
        <v>0</v>
      </c>
      <c r="AN17" s="440">
        <f t="shared" si="9"/>
        <v>0</v>
      </c>
      <c r="AO17" s="327"/>
    </row>
    <row r="18" spans="1:41" s="5" customFormat="1">
      <c r="A18" s="404">
        <f>'1-συμβολαια'!A18</f>
        <v>0</v>
      </c>
      <c r="B18" s="407" t="str">
        <f>'1-συμβολαια'!C18</f>
        <v>οριζόντιος ΣΥΣΤΑΣΗ</v>
      </c>
      <c r="C18" s="411">
        <f>'1-συμβολαια'!D18</f>
        <v>0</v>
      </c>
      <c r="D18" s="434">
        <f>'3-φύλλα2α'!D18</f>
        <v>6</v>
      </c>
      <c r="E18" s="434">
        <f>'3-φύλλα2α'!E18</f>
        <v>0</v>
      </c>
      <c r="F18" s="329"/>
      <c r="G18" s="329"/>
      <c r="H18" s="409">
        <f t="shared" si="10"/>
        <v>0</v>
      </c>
      <c r="I18" s="436">
        <f t="shared" si="1"/>
        <v>0</v>
      </c>
      <c r="J18" s="436">
        <f t="shared" si="2"/>
        <v>0</v>
      </c>
      <c r="K18" s="436">
        <f t="shared" si="3"/>
        <v>0</v>
      </c>
      <c r="L18" s="436">
        <f t="shared" si="4"/>
        <v>0</v>
      </c>
      <c r="M18" s="436">
        <f t="shared" si="5"/>
        <v>0</v>
      </c>
      <c r="N18" s="436">
        <f t="shared" si="6"/>
        <v>0</v>
      </c>
      <c r="O18" s="436">
        <f t="shared" si="7"/>
        <v>0</v>
      </c>
      <c r="P18" s="436">
        <f t="shared" si="8"/>
        <v>0</v>
      </c>
      <c r="Q18" s="436"/>
      <c r="R18" s="437"/>
      <c r="S18" s="412"/>
      <c r="T18" s="412"/>
      <c r="U18" s="437"/>
      <c r="V18" s="412"/>
      <c r="W18" s="412"/>
      <c r="X18" s="412"/>
      <c r="Y18" s="412"/>
      <c r="Z18" s="412"/>
      <c r="AA18" s="412"/>
      <c r="AB18" s="412"/>
      <c r="AC18" s="412"/>
      <c r="AD18" s="412"/>
      <c r="AE18" s="412"/>
      <c r="AF18" s="412"/>
      <c r="AG18" s="438"/>
      <c r="AH18" s="438"/>
      <c r="AI18" s="438"/>
      <c r="AJ18" s="438"/>
      <c r="AK18" s="438"/>
      <c r="AL18" s="438"/>
      <c r="AM18" s="439">
        <f t="shared" si="0"/>
        <v>0</v>
      </c>
      <c r="AN18" s="440">
        <f t="shared" si="9"/>
        <v>0</v>
      </c>
      <c r="AO18" s="327"/>
    </row>
    <row r="19" spans="1:41" s="5" customFormat="1">
      <c r="A19" s="397">
        <f>'1-συμβολαια'!A19</f>
        <v>4612</v>
      </c>
      <c r="B19" s="407" t="str">
        <f>'1-συμβολαια'!C19</f>
        <v>κληρονομιάς ΑΠΟΔΟΧΗ</v>
      </c>
      <c r="C19" s="411">
        <f>'1-συμβολαια'!D19</f>
        <v>0</v>
      </c>
      <c r="D19" s="434">
        <f>'3-φύλλα2α'!D19</f>
        <v>3</v>
      </c>
      <c r="E19" s="434">
        <f>'3-φύλλα2α'!E19</f>
        <v>4</v>
      </c>
      <c r="F19" s="329">
        <v>3</v>
      </c>
      <c r="G19" s="329">
        <v>3</v>
      </c>
      <c r="H19" s="409">
        <f t="shared" si="10"/>
        <v>29.07</v>
      </c>
      <c r="I19" s="436">
        <f t="shared" si="1"/>
        <v>38.76</v>
      </c>
      <c r="J19" s="436">
        <f t="shared" si="2"/>
        <v>1.4535</v>
      </c>
      <c r="K19" s="436">
        <f t="shared" si="3"/>
        <v>1.4535</v>
      </c>
      <c r="L19" s="436">
        <f t="shared" si="4"/>
        <v>0.29070000000000001</v>
      </c>
      <c r="M19" s="436">
        <f t="shared" si="5"/>
        <v>25.872299999999999</v>
      </c>
      <c r="N19" s="436">
        <f t="shared" si="6"/>
        <v>34.496400000000001</v>
      </c>
      <c r="O19" s="436">
        <f t="shared" si="7"/>
        <v>3.1977000000000002</v>
      </c>
      <c r="P19" s="436">
        <f t="shared" si="8"/>
        <v>4.2635999999999994</v>
      </c>
      <c r="Q19" s="436"/>
      <c r="R19" s="437"/>
      <c r="S19" s="412"/>
      <c r="T19" s="513">
        <f>H19/3</f>
        <v>9.69</v>
      </c>
      <c r="U19" s="437">
        <v>1.98</v>
      </c>
      <c r="V19" s="412">
        <v>9.69</v>
      </c>
      <c r="W19" s="412">
        <v>1.47</v>
      </c>
      <c r="X19" s="416"/>
      <c r="Y19" s="412"/>
      <c r="Z19" s="412"/>
      <c r="AA19" s="412"/>
      <c r="AB19" s="412">
        <f>V19*2</f>
        <v>19.38</v>
      </c>
      <c r="AC19" s="412">
        <f>2*1.47</f>
        <v>2.94</v>
      </c>
      <c r="AD19" s="412"/>
      <c r="AE19" s="412"/>
      <c r="AF19" s="412"/>
      <c r="AG19" s="438"/>
      <c r="AH19" s="438">
        <v>6.25</v>
      </c>
      <c r="AI19" s="438">
        <v>0.5</v>
      </c>
      <c r="AJ19" s="438"/>
      <c r="AK19" s="438"/>
      <c r="AL19" s="438"/>
      <c r="AM19" s="439">
        <f t="shared" si="0"/>
        <v>2.48</v>
      </c>
      <c r="AN19" s="440">
        <f t="shared" si="9"/>
        <v>49.419999999999995</v>
      </c>
      <c r="AO19" s="327"/>
    </row>
    <row r="20" spans="1:41" s="5" customFormat="1">
      <c r="A20" s="397">
        <f>'1-συμβολαια'!A20</f>
        <v>4613</v>
      </c>
      <c r="B20" s="407" t="str">
        <f>'1-συμβολαια'!C20</f>
        <v>γονική</v>
      </c>
      <c r="C20" s="411">
        <f>'1-συμβολαια'!D20</f>
        <v>6213.36</v>
      </c>
      <c r="D20" s="434">
        <f>'3-φύλλα2α'!D20</f>
        <v>5</v>
      </c>
      <c r="E20" s="434">
        <f>'3-φύλλα2α'!E20</f>
        <v>5</v>
      </c>
      <c r="F20" s="329">
        <v>2</v>
      </c>
      <c r="G20" s="329">
        <v>2</v>
      </c>
      <c r="H20" s="409">
        <f t="shared" si="10"/>
        <v>32.299999999999997</v>
      </c>
      <c r="I20" s="436">
        <f t="shared" si="1"/>
        <v>32.299999999999997</v>
      </c>
      <c r="J20" s="436">
        <f t="shared" si="2"/>
        <v>1.615</v>
      </c>
      <c r="K20" s="436">
        <f t="shared" si="3"/>
        <v>1.615</v>
      </c>
      <c r="L20" s="436">
        <f t="shared" si="4"/>
        <v>0.32299999999999995</v>
      </c>
      <c r="M20" s="436">
        <f t="shared" si="5"/>
        <v>28.746999999999996</v>
      </c>
      <c r="N20" s="436">
        <f t="shared" si="6"/>
        <v>28.746999999999996</v>
      </c>
      <c r="O20" s="436">
        <f t="shared" si="7"/>
        <v>3.5529999999999999</v>
      </c>
      <c r="P20" s="436">
        <f t="shared" si="8"/>
        <v>3.5529999999999995</v>
      </c>
      <c r="Q20" s="436"/>
      <c r="R20" s="437">
        <v>9.69</v>
      </c>
      <c r="S20" s="412">
        <v>1.47</v>
      </c>
      <c r="T20" s="513">
        <f>H20/2</f>
        <v>16.149999999999999</v>
      </c>
      <c r="U20" s="437">
        <v>1.98</v>
      </c>
      <c r="V20" s="412">
        <v>16.149999999999999</v>
      </c>
      <c r="W20" s="412">
        <v>1.47</v>
      </c>
      <c r="X20" s="416"/>
      <c r="Y20" s="416"/>
      <c r="Z20" s="416"/>
      <c r="AA20" s="412"/>
      <c r="AB20" s="513">
        <f>T20*2</f>
        <v>32.299999999999997</v>
      </c>
      <c r="AC20" s="412">
        <f>2*1.47</f>
        <v>2.94</v>
      </c>
      <c r="AD20" s="412">
        <v>1.47</v>
      </c>
      <c r="AE20" s="412">
        <f>2*1.47</f>
        <v>2.94</v>
      </c>
      <c r="AF20" s="412">
        <f>2*1.47</f>
        <v>2.94</v>
      </c>
      <c r="AG20" s="438"/>
      <c r="AH20" s="438">
        <v>6.25</v>
      </c>
      <c r="AI20" s="438">
        <v>0.5</v>
      </c>
      <c r="AJ20" s="438"/>
      <c r="AK20" s="438"/>
      <c r="AL20" s="438"/>
      <c r="AM20" s="439">
        <f t="shared" si="0"/>
        <v>2.48</v>
      </c>
      <c r="AN20" s="440">
        <f t="shared" si="9"/>
        <v>93.769999999999982</v>
      </c>
      <c r="AO20" s="327"/>
    </row>
    <row r="21" spans="1:41" s="5" customFormat="1">
      <c r="A21" s="397">
        <f>'1-συμβολαια'!A21</f>
        <v>4614</v>
      </c>
      <c r="B21" s="407" t="str">
        <f>'1-συμβολαια'!C21</f>
        <v>διαθήκη</v>
      </c>
      <c r="C21" s="411">
        <f>'1-συμβολαια'!D21</f>
        <v>0</v>
      </c>
      <c r="D21" s="434"/>
      <c r="E21" s="434"/>
      <c r="F21" s="329"/>
      <c r="G21" s="329"/>
      <c r="H21" s="409"/>
      <c r="I21" s="436"/>
      <c r="J21" s="436"/>
      <c r="K21" s="436"/>
      <c r="L21" s="436"/>
      <c r="M21" s="436"/>
      <c r="N21" s="436"/>
      <c r="O21" s="436"/>
      <c r="P21" s="436"/>
      <c r="Q21" s="436"/>
      <c r="R21" s="437"/>
      <c r="S21" s="412"/>
      <c r="T21" s="412"/>
      <c r="U21" s="437"/>
      <c r="V21" s="412"/>
      <c r="W21" s="412"/>
      <c r="X21" s="412"/>
      <c r="Y21" s="412"/>
      <c r="Z21" s="412"/>
      <c r="AA21" s="412"/>
      <c r="AB21" s="412"/>
      <c r="AC21" s="412"/>
      <c r="AD21" s="412"/>
      <c r="AE21" s="412"/>
      <c r="AF21" s="412"/>
      <c r="AG21" s="438"/>
      <c r="AH21" s="438"/>
      <c r="AI21" s="438"/>
      <c r="AJ21" s="438"/>
      <c r="AK21" s="438"/>
      <c r="AL21" s="438"/>
      <c r="AM21" s="439"/>
      <c r="AN21" s="440"/>
      <c r="AO21" s="327"/>
    </row>
    <row r="22" spans="1:41" s="5" customFormat="1">
      <c r="A22" s="404">
        <f>'1-συμβολαια'!A22</f>
        <v>4615</v>
      </c>
      <c r="B22" s="407" t="str">
        <f>'1-συμβολαια'!C22</f>
        <v>δωρεά</v>
      </c>
      <c r="C22" s="411">
        <f>'1-συμβολαια'!D22</f>
        <v>16035.1</v>
      </c>
      <c r="D22" s="434">
        <f>'3-φύλλα2α'!D22</f>
        <v>4</v>
      </c>
      <c r="E22" s="434">
        <f>'3-φύλλα2α'!E22</f>
        <v>5</v>
      </c>
      <c r="F22" s="329">
        <v>4</v>
      </c>
      <c r="G22" s="329">
        <v>4</v>
      </c>
      <c r="H22" s="409">
        <f t="shared" si="10"/>
        <v>51.68</v>
      </c>
      <c r="I22" s="441">
        <f t="shared" si="1"/>
        <v>64.599999999999994</v>
      </c>
      <c r="J22" s="436">
        <f t="shared" si="2"/>
        <v>2.5840000000000001</v>
      </c>
      <c r="K22" s="436">
        <f t="shared" si="3"/>
        <v>2.5840000000000001</v>
      </c>
      <c r="L22" s="436">
        <f t="shared" si="4"/>
        <v>0.51680000000000004</v>
      </c>
      <c r="M22" s="436">
        <f t="shared" si="5"/>
        <v>45.995199999999997</v>
      </c>
      <c r="N22" s="436">
        <f t="shared" si="6"/>
        <v>57.493999999999993</v>
      </c>
      <c r="O22" s="436">
        <f t="shared" si="7"/>
        <v>5.6848000000000001</v>
      </c>
      <c r="P22" s="436">
        <f t="shared" si="8"/>
        <v>7.105999999999999</v>
      </c>
      <c r="Q22" s="436"/>
      <c r="R22" s="437"/>
      <c r="S22" s="412"/>
      <c r="T22" s="513">
        <f>H22/4</f>
        <v>12.92</v>
      </c>
      <c r="U22" s="437">
        <v>1.98</v>
      </c>
      <c r="V22" s="412">
        <v>12.92</v>
      </c>
      <c r="W22" s="412">
        <v>1.47</v>
      </c>
      <c r="X22" s="416"/>
      <c r="Y22" s="412"/>
      <c r="Z22" s="412"/>
      <c r="AA22" s="412"/>
      <c r="AB22" s="513">
        <f>2*T22</f>
        <v>25.84</v>
      </c>
      <c r="AC22" s="412">
        <f>2*1.47</f>
        <v>2.94</v>
      </c>
      <c r="AD22" s="412"/>
      <c r="AE22" s="412"/>
      <c r="AF22" s="412"/>
      <c r="AG22" s="438"/>
      <c r="AH22" s="438">
        <f>2*6.25</f>
        <v>12.5</v>
      </c>
      <c r="AI22" s="438">
        <v>1</v>
      </c>
      <c r="AJ22" s="438"/>
      <c r="AK22" s="438"/>
      <c r="AL22" s="438"/>
      <c r="AM22" s="439">
        <f t="shared" si="0"/>
        <v>2.98</v>
      </c>
      <c r="AN22" s="440">
        <f t="shared" si="9"/>
        <v>68.59</v>
      </c>
      <c r="AO22" s="327"/>
    </row>
    <row r="23" spans="1:41" s="5" customFormat="1">
      <c r="A23" s="404">
        <f>'1-συμβολαια'!A23</f>
        <v>0</v>
      </c>
      <c r="B23" s="407" t="str">
        <f>'1-συμβολαια'!C23</f>
        <v>ΧΡΗΣΙΚΤΗΣΙΑ οικοπέδου &amp; οικίας = 1935 πατρός ΔΩΡΕΑ άτυπη</v>
      </c>
      <c r="C23" s="411">
        <f>'1-συμβολαια'!D23</f>
        <v>6666</v>
      </c>
      <c r="D23" s="434">
        <f>'3-φύλλα2α'!D23</f>
        <v>4</v>
      </c>
      <c r="E23" s="434">
        <f>'3-φύλλα2α'!E23</f>
        <v>0</v>
      </c>
      <c r="F23" s="329"/>
      <c r="G23" s="329"/>
      <c r="H23" s="409"/>
      <c r="I23" s="436"/>
      <c r="J23" s="436"/>
      <c r="K23" s="436"/>
      <c r="L23" s="436"/>
      <c r="M23" s="436"/>
      <c r="N23" s="436"/>
      <c r="O23" s="436"/>
      <c r="P23" s="436"/>
      <c r="Q23" s="436"/>
      <c r="R23" s="437"/>
      <c r="S23" s="412"/>
      <c r="T23" s="412"/>
      <c r="U23" s="437"/>
      <c r="V23" s="412"/>
      <c r="W23" s="412"/>
      <c r="X23" s="412"/>
      <c r="Y23" s="412"/>
      <c r="Z23" s="412"/>
      <c r="AA23" s="412"/>
      <c r="AB23" s="412"/>
      <c r="AC23" s="412"/>
      <c r="AD23" s="412"/>
      <c r="AE23" s="412"/>
      <c r="AF23" s="412"/>
      <c r="AG23" s="438"/>
      <c r="AH23" s="438"/>
      <c r="AI23" s="438"/>
      <c r="AJ23" s="438"/>
      <c r="AK23" s="438"/>
      <c r="AL23" s="438"/>
      <c r="AM23" s="439"/>
      <c r="AN23" s="440"/>
      <c r="AO23" s="327"/>
    </row>
    <row r="24" spans="1:41" s="5" customFormat="1">
      <c r="A24" s="538">
        <f>'1-συμβολαια'!A24</f>
        <v>4616</v>
      </c>
      <c r="B24" s="407" t="str">
        <f>'1-συμβολαια'!C24</f>
        <v>δωρεά</v>
      </c>
      <c r="C24" s="411">
        <f>'1-συμβολαια'!D24</f>
        <v>9933.0499999999993</v>
      </c>
      <c r="D24" s="434">
        <f>'3-φύλλα2α'!D24</f>
        <v>5</v>
      </c>
      <c r="E24" s="434">
        <f>'3-φύλλα2α'!E24</f>
        <v>6</v>
      </c>
      <c r="F24" s="329">
        <v>2</v>
      </c>
      <c r="G24" s="329">
        <v>2</v>
      </c>
      <c r="H24" s="409">
        <f t="shared" si="10"/>
        <v>32.299999999999997</v>
      </c>
      <c r="I24" s="441">
        <f t="shared" si="1"/>
        <v>38.76</v>
      </c>
      <c r="J24" s="436">
        <f t="shared" si="2"/>
        <v>1.615</v>
      </c>
      <c r="K24" s="436">
        <f t="shared" si="3"/>
        <v>1.615</v>
      </c>
      <c r="L24" s="436">
        <f t="shared" si="4"/>
        <v>0.32299999999999995</v>
      </c>
      <c r="M24" s="436">
        <f t="shared" si="5"/>
        <v>28.746999999999996</v>
      </c>
      <c r="N24" s="436">
        <f t="shared" si="6"/>
        <v>34.496400000000001</v>
      </c>
      <c r="O24" s="436">
        <f t="shared" si="7"/>
        <v>3.5529999999999999</v>
      </c>
      <c r="P24" s="436">
        <f t="shared" si="8"/>
        <v>4.2635999999999994</v>
      </c>
      <c r="Q24" s="436"/>
      <c r="R24" s="437"/>
      <c r="S24" s="412"/>
      <c r="T24" s="513">
        <f>H24/2</f>
        <v>16.149999999999999</v>
      </c>
      <c r="U24" s="437">
        <v>1.98</v>
      </c>
      <c r="V24" s="412">
        <v>16.149999999999999</v>
      </c>
      <c r="W24" s="412">
        <v>1.47</v>
      </c>
      <c r="X24" s="412"/>
      <c r="Y24" s="412"/>
      <c r="Z24" s="412"/>
      <c r="AA24" s="412"/>
      <c r="AB24" s="412">
        <f>2*V24</f>
        <v>32.299999999999997</v>
      </c>
      <c r="AC24" s="412">
        <f>2*1.47</f>
        <v>2.94</v>
      </c>
      <c r="AD24" s="412"/>
      <c r="AE24" s="412"/>
      <c r="AF24" s="412"/>
      <c r="AG24" s="438"/>
      <c r="AH24" s="438">
        <v>6.25</v>
      </c>
      <c r="AI24" s="438">
        <v>0.5</v>
      </c>
      <c r="AJ24" s="438"/>
      <c r="AK24" s="438"/>
      <c r="AL24" s="438"/>
      <c r="AM24" s="439">
        <f t="shared" si="0"/>
        <v>2.48</v>
      </c>
      <c r="AN24" s="440">
        <f t="shared" si="9"/>
        <v>75.259999999999991</v>
      </c>
      <c r="AO24" s="327"/>
    </row>
    <row r="25" spans="1:41" s="5" customFormat="1">
      <c r="A25" s="538">
        <f>'1-συμβολαια'!A25</f>
        <v>0</v>
      </c>
      <c r="B25" s="407" t="str">
        <f>'1-συμβολαια'!C25</f>
        <v>ΧΡΗΣΙΚΤΗΣΙΑ αγροτεμαχίου = 1925 πατρός ΔΩΡΕΑ άτυπη</v>
      </c>
      <c r="C25" s="411">
        <f>'1-συμβολαια'!D25</f>
        <v>1111</v>
      </c>
      <c r="D25" s="434">
        <f>'3-φύλλα2α'!D25</f>
        <v>5</v>
      </c>
      <c r="E25" s="434">
        <f>'3-φύλλα2α'!E25</f>
        <v>0</v>
      </c>
      <c r="F25" s="329"/>
      <c r="G25" s="329"/>
      <c r="H25" s="409">
        <f t="shared" si="10"/>
        <v>0</v>
      </c>
      <c r="I25" s="436">
        <f t="shared" si="1"/>
        <v>0</v>
      </c>
      <c r="J25" s="436">
        <f t="shared" si="2"/>
        <v>0</v>
      </c>
      <c r="K25" s="436">
        <f t="shared" si="3"/>
        <v>0</v>
      </c>
      <c r="L25" s="436">
        <f t="shared" si="4"/>
        <v>0</v>
      </c>
      <c r="M25" s="436">
        <f t="shared" si="5"/>
        <v>0</v>
      </c>
      <c r="N25" s="436">
        <f t="shared" si="6"/>
        <v>0</v>
      </c>
      <c r="O25" s="436">
        <f t="shared" si="7"/>
        <v>0</v>
      </c>
      <c r="P25" s="436">
        <f t="shared" si="8"/>
        <v>0</v>
      </c>
      <c r="Q25" s="436"/>
      <c r="R25" s="437"/>
      <c r="S25" s="412"/>
      <c r="T25" s="412"/>
      <c r="U25" s="437"/>
      <c r="V25" s="412"/>
      <c r="W25" s="412"/>
      <c r="X25" s="412"/>
      <c r="Y25" s="412"/>
      <c r="Z25" s="412"/>
      <c r="AA25" s="412"/>
      <c r="AB25" s="412"/>
      <c r="AC25" s="412"/>
      <c r="AD25" s="412"/>
      <c r="AE25" s="412"/>
      <c r="AF25" s="412"/>
      <c r="AG25" s="438"/>
      <c r="AH25" s="438"/>
      <c r="AI25" s="438"/>
      <c r="AJ25" s="438"/>
      <c r="AK25" s="438"/>
      <c r="AL25" s="438"/>
      <c r="AM25" s="439"/>
      <c r="AN25" s="440"/>
      <c r="AO25" s="327"/>
    </row>
    <row r="26" spans="1:41" s="5" customFormat="1">
      <c r="A26" s="538">
        <f>'1-συμβολαια'!A26</f>
        <v>0</v>
      </c>
      <c r="B26" s="407" t="str">
        <f>'1-συμβολαια'!C26</f>
        <v>ΧΡΗΣΙΚΤΗΣΙΑ αγροτεμαχίου (νυν οικόπεδο) = 1975 ΑΝΑΔΑΣΜΟΣ</v>
      </c>
      <c r="C26" s="411">
        <f>'1-συμβολαια'!D26</f>
        <v>3333</v>
      </c>
      <c r="D26" s="434">
        <f>'3-φύλλα2α'!D26</f>
        <v>5</v>
      </c>
      <c r="E26" s="434">
        <f>'3-φύλλα2α'!E26</f>
        <v>0</v>
      </c>
      <c r="F26" s="329"/>
      <c r="G26" s="329"/>
      <c r="H26" s="409">
        <f t="shared" si="10"/>
        <v>0</v>
      </c>
      <c r="I26" s="436">
        <f t="shared" si="1"/>
        <v>0</v>
      </c>
      <c r="J26" s="436">
        <f t="shared" si="2"/>
        <v>0</v>
      </c>
      <c r="K26" s="436">
        <f t="shared" si="3"/>
        <v>0</v>
      </c>
      <c r="L26" s="436">
        <f t="shared" si="4"/>
        <v>0</v>
      </c>
      <c r="M26" s="436">
        <f t="shared" si="5"/>
        <v>0</v>
      </c>
      <c r="N26" s="436">
        <f t="shared" si="6"/>
        <v>0</v>
      </c>
      <c r="O26" s="436">
        <f t="shared" si="7"/>
        <v>0</v>
      </c>
      <c r="P26" s="436">
        <f t="shared" si="8"/>
        <v>0</v>
      </c>
      <c r="Q26" s="436"/>
      <c r="R26" s="437"/>
      <c r="S26" s="412"/>
      <c r="T26" s="412"/>
      <c r="U26" s="437"/>
      <c r="V26" s="412"/>
      <c r="W26" s="412"/>
      <c r="X26" s="412"/>
      <c r="Y26" s="412"/>
      <c r="Z26" s="412"/>
      <c r="AA26" s="412"/>
      <c r="AB26" s="412"/>
      <c r="AC26" s="412"/>
      <c r="AD26" s="412"/>
      <c r="AE26" s="412"/>
      <c r="AF26" s="412"/>
      <c r="AG26" s="438"/>
      <c r="AH26" s="438"/>
      <c r="AI26" s="438"/>
      <c r="AJ26" s="438"/>
      <c r="AK26" s="438"/>
      <c r="AL26" s="438"/>
      <c r="AM26" s="439"/>
      <c r="AN26" s="440"/>
      <c r="AO26" s="327"/>
    </row>
    <row r="27" spans="1:41" s="5" customFormat="1">
      <c r="A27" s="404">
        <f>'1-συμβολαια'!A27</f>
        <v>4617</v>
      </c>
      <c r="B27" s="407" t="str">
        <f>'1-συμβολαια'!C27</f>
        <v>προσύμφωνο μεταβιβάσεως ποσοστών οικοπέδου</v>
      </c>
      <c r="C27" s="411">
        <f>'1-συμβολαια'!D27</f>
        <v>0</v>
      </c>
      <c r="D27" s="434">
        <f>'3-φύλλα2α'!D27</f>
        <v>10</v>
      </c>
      <c r="E27" s="434">
        <f>'3-φύλλα2α'!E27</f>
        <v>10</v>
      </c>
      <c r="F27" s="329">
        <v>2</v>
      </c>
      <c r="G27" s="549"/>
      <c r="H27" s="409">
        <f t="shared" si="10"/>
        <v>64.599999999999994</v>
      </c>
      <c r="I27" s="550">
        <f t="shared" si="1"/>
        <v>0</v>
      </c>
      <c r="J27" s="436">
        <f t="shared" si="2"/>
        <v>3.23</v>
      </c>
      <c r="K27" s="436">
        <f t="shared" si="3"/>
        <v>3.23</v>
      </c>
      <c r="L27" s="436">
        <f t="shared" si="4"/>
        <v>0.64599999999999991</v>
      </c>
      <c r="M27" s="436">
        <f t="shared" si="5"/>
        <v>57.493999999999993</v>
      </c>
      <c r="N27" s="436">
        <f t="shared" si="6"/>
        <v>0</v>
      </c>
      <c r="O27" s="436">
        <f t="shared" si="7"/>
        <v>7.1059999999999999</v>
      </c>
      <c r="P27" s="436">
        <f t="shared" si="8"/>
        <v>0</v>
      </c>
      <c r="Q27" s="436">
        <f t="shared" si="11"/>
        <v>7.1059999999999999</v>
      </c>
      <c r="R27" s="437">
        <v>6.46</v>
      </c>
      <c r="S27" s="412">
        <v>1.47</v>
      </c>
      <c r="T27" s="412"/>
      <c r="U27" s="437"/>
      <c r="V27" s="412"/>
      <c r="W27" s="412"/>
      <c r="X27" s="412"/>
      <c r="Y27" s="412"/>
      <c r="Z27" s="412"/>
      <c r="AA27" s="412"/>
      <c r="AB27" s="513">
        <f>2*R27</f>
        <v>12.92</v>
      </c>
      <c r="AC27" s="412">
        <f>2*1.47</f>
        <v>2.94</v>
      </c>
      <c r="AD27" s="412"/>
      <c r="AE27" s="412"/>
      <c r="AF27" s="412"/>
      <c r="AG27" s="438"/>
      <c r="AH27" s="438"/>
      <c r="AI27" s="438"/>
      <c r="AJ27" s="438"/>
      <c r="AK27" s="438"/>
      <c r="AL27" s="438"/>
      <c r="AM27" s="439">
        <f t="shared" si="0"/>
        <v>0</v>
      </c>
      <c r="AN27" s="440">
        <f t="shared" si="9"/>
        <v>23.790000000000003</v>
      </c>
      <c r="AO27" s="327"/>
    </row>
    <row r="28" spans="1:41" s="5" customFormat="1">
      <c r="A28" s="404">
        <f>'1-συμβολαια'!A28</f>
        <v>0</v>
      </c>
      <c r="B28" s="407" t="str">
        <f>'1-συμβολαια'!C28</f>
        <v>εργολαβικό</v>
      </c>
      <c r="C28" s="411">
        <f>'1-συμβολαια'!D28</f>
        <v>200</v>
      </c>
      <c r="D28" s="434">
        <f>'3-φύλλα2α'!D28</f>
        <v>10</v>
      </c>
      <c r="E28" s="434">
        <f>'3-φύλλα2α'!E28</f>
        <v>0</v>
      </c>
      <c r="F28" s="329"/>
      <c r="G28" s="329"/>
      <c r="H28" s="409">
        <f t="shared" si="10"/>
        <v>0</v>
      </c>
      <c r="I28" s="436">
        <f t="shared" si="1"/>
        <v>0</v>
      </c>
      <c r="J28" s="436">
        <f t="shared" si="2"/>
        <v>0</v>
      </c>
      <c r="K28" s="436">
        <f t="shared" si="3"/>
        <v>0</v>
      </c>
      <c r="L28" s="436">
        <f t="shared" si="4"/>
        <v>0</v>
      </c>
      <c r="M28" s="436">
        <f t="shared" si="5"/>
        <v>0</v>
      </c>
      <c r="N28" s="436">
        <f t="shared" si="6"/>
        <v>0</v>
      </c>
      <c r="O28" s="436">
        <f t="shared" si="7"/>
        <v>0</v>
      </c>
      <c r="P28" s="436">
        <f t="shared" si="8"/>
        <v>0</v>
      </c>
      <c r="Q28" s="436"/>
      <c r="R28" s="437"/>
      <c r="S28" s="412"/>
      <c r="T28" s="412"/>
      <c r="U28" s="437"/>
      <c r="V28" s="412"/>
      <c r="W28" s="412"/>
      <c r="X28" s="412"/>
      <c r="Y28" s="412"/>
      <c r="Z28" s="412"/>
      <c r="AA28" s="412"/>
      <c r="AB28" s="412"/>
      <c r="AC28" s="412"/>
      <c r="AD28" s="412"/>
      <c r="AE28" s="412"/>
      <c r="AF28" s="412"/>
      <c r="AG28" s="438"/>
      <c r="AH28" s="438"/>
      <c r="AI28" s="438"/>
      <c r="AJ28" s="438"/>
      <c r="AK28" s="438"/>
      <c r="AL28" s="438"/>
      <c r="AM28" s="439"/>
      <c r="AN28" s="440"/>
      <c r="AO28" s="327"/>
    </row>
    <row r="29" spans="1:41" s="5" customFormat="1">
      <c r="A29" s="397">
        <f>'1-συμβολαια'!A29</f>
        <v>4618</v>
      </c>
      <c r="B29" s="407" t="str">
        <f>'1-συμβολαια'!C29</f>
        <v>πληρεξούσιο</v>
      </c>
      <c r="C29" s="411">
        <f>'1-συμβολαια'!D29</f>
        <v>0</v>
      </c>
      <c r="D29" s="434">
        <f>'3-φύλλα2α'!D29</f>
        <v>2</v>
      </c>
      <c r="E29" s="434">
        <f>'3-φύλλα2α'!E29</f>
        <v>2</v>
      </c>
      <c r="F29" s="329">
        <v>1</v>
      </c>
      <c r="G29" s="329">
        <v>1</v>
      </c>
      <c r="H29" s="409">
        <f t="shared" si="10"/>
        <v>6.46</v>
      </c>
      <c r="I29" s="436">
        <f t="shared" si="1"/>
        <v>6.46</v>
      </c>
      <c r="J29" s="436">
        <f t="shared" si="2"/>
        <v>0.32300000000000001</v>
      </c>
      <c r="K29" s="436">
        <f t="shared" si="3"/>
        <v>0.32300000000000001</v>
      </c>
      <c r="L29" s="436">
        <f t="shared" si="4"/>
        <v>6.4600000000000005E-2</v>
      </c>
      <c r="M29" s="436">
        <f t="shared" si="5"/>
        <v>5.7493999999999996</v>
      </c>
      <c r="N29" s="436">
        <f t="shared" si="6"/>
        <v>5.7493999999999996</v>
      </c>
      <c r="O29" s="436">
        <f t="shared" si="7"/>
        <v>0.71060000000000001</v>
      </c>
      <c r="P29" s="436">
        <f t="shared" si="8"/>
        <v>0.71060000000000001</v>
      </c>
      <c r="Q29" s="436"/>
      <c r="R29" s="437"/>
      <c r="S29" s="412"/>
      <c r="T29" s="412"/>
      <c r="U29" s="437"/>
      <c r="V29" s="412"/>
      <c r="W29" s="412"/>
      <c r="X29" s="412"/>
      <c r="Y29" s="412"/>
      <c r="Z29" s="412">
        <v>6.46</v>
      </c>
      <c r="AA29" s="412">
        <v>4.92</v>
      </c>
      <c r="AB29" s="412"/>
      <c r="AC29" s="412"/>
      <c r="AD29" s="412"/>
      <c r="AE29" s="412"/>
      <c r="AF29" s="412"/>
      <c r="AG29" s="438"/>
      <c r="AH29" s="438"/>
      <c r="AI29" s="438"/>
      <c r="AJ29" s="438"/>
      <c r="AK29" s="438"/>
      <c r="AL29" s="438"/>
      <c r="AM29" s="439">
        <f t="shared" si="0"/>
        <v>4.92</v>
      </c>
      <c r="AN29" s="440">
        <f t="shared" si="9"/>
        <v>6.46</v>
      </c>
      <c r="AO29" s="327"/>
    </row>
    <row r="30" spans="1:41" s="5" customFormat="1">
      <c r="A30" s="404">
        <f>'1-συμβολαια'!A30</f>
        <v>4619</v>
      </c>
      <c r="B30" s="407" t="str">
        <f>'1-συμβολαια'!C30</f>
        <v>αγοραπωλησίας ΠΡΟΣΥΜΦΩΝΟ τίμημα = αρραβών =</v>
      </c>
      <c r="C30" s="411">
        <f>'1-συμβολαια'!D30</f>
        <v>1800</v>
      </c>
      <c r="D30" s="434">
        <f>'3-φύλλα2α'!D30</f>
        <v>3</v>
      </c>
      <c r="E30" s="434">
        <f>'3-φύλλα2α'!E30</f>
        <v>3</v>
      </c>
      <c r="F30" s="329">
        <v>2</v>
      </c>
      <c r="G30" s="549">
        <v>1</v>
      </c>
      <c r="H30" s="409">
        <f t="shared" si="10"/>
        <v>19.38</v>
      </c>
      <c r="I30" s="550">
        <f t="shared" si="1"/>
        <v>9.69</v>
      </c>
      <c r="J30" s="436">
        <f t="shared" si="2"/>
        <v>0.96899999999999997</v>
      </c>
      <c r="K30" s="436">
        <f t="shared" si="3"/>
        <v>0.96899999999999997</v>
      </c>
      <c r="L30" s="436">
        <f t="shared" si="4"/>
        <v>0.1938</v>
      </c>
      <c r="M30" s="436">
        <f t="shared" si="5"/>
        <v>17.248199999999997</v>
      </c>
      <c r="N30" s="436">
        <f t="shared" si="6"/>
        <v>8.6241000000000003</v>
      </c>
      <c r="O30" s="436">
        <f t="shared" si="7"/>
        <v>2.1318000000000001</v>
      </c>
      <c r="P30" s="436">
        <f t="shared" si="8"/>
        <v>1.0658999999999998</v>
      </c>
      <c r="Q30" s="436">
        <f t="shared" si="11"/>
        <v>1.0659000000000003</v>
      </c>
      <c r="R30" s="437"/>
      <c r="S30" s="412"/>
      <c r="T30" s="412">
        <v>9.69</v>
      </c>
      <c r="U30" s="437">
        <v>1.98</v>
      </c>
      <c r="V30" s="412"/>
      <c r="W30" s="412"/>
      <c r="X30" s="412"/>
      <c r="Y30" s="412"/>
      <c r="Z30" s="412"/>
      <c r="AA30" s="412"/>
      <c r="AB30" s="412">
        <f>T30*2</f>
        <v>19.38</v>
      </c>
      <c r="AC30" s="412">
        <f>2*1.47</f>
        <v>2.94</v>
      </c>
      <c r="AD30" s="412"/>
      <c r="AE30" s="412"/>
      <c r="AF30" s="412"/>
      <c r="AG30" s="438"/>
      <c r="AH30" s="438"/>
      <c r="AI30" s="438"/>
      <c r="AJ30" s="438"/>
      <c r="AK30" s="438"/>
      <c r="AL30" s="438"/>
      <c r="AM30" s="439">
        <f t="shared" si="0"/>
        <v>1.98</v>
      </c>
      <c r="AN30" s="440">
        <f t="shared" si="9"/>
        <v>32.01</v>
      </c>
      <c r="AO30" s="327"/>
    </row>
    <row r="31" spans="1:41" s="5" customFormat="1">
      <c r="A31" s="404">
        <f>'1-συμβολαια'!A31</f>
        <v>0</v>
      </c>
      <c r="B31" s="407" t="str">
        <f>'1-συμβολαια'!C31</f>
        <v>ΧΡΗΣΙΚΤΗΣΙΑ αγροτεμαχίου = 1975 πατρός ΔΩΡΕΑ άτυπη</v>
      </c>
      <c r="C31" s="411">
        <f>'1-συμβολαια'!D31</f>
        <v>1111</v>
      </c>
      <c r="D31" s="434">
        <f>'3-φύλλα2α'!D31</f>
        <v>3</v>
      </c>
      <c r="E31" s="434">
        <f>'3-φύλλα2α'!E31</f>
        <v>3</v>
      </c>
      <c r="F31" s="329"/>
      <c r="G31" s="329"/>
      <c r="H31" s="409">
        <f t="shared" si="10"/>
        <v>0</v>
      </c>
      <c r="I31" s="436">
        <f t="shared" si="1"/>
        <v>0</v>
      </c>
      <c r="J31" s="436">
        <f t="shared" si="2"/>
        <v>0</v>
      </c>
      <c r="K31" s="436">
        <f t="shared" si="3"/>
        <v>0</v>
      </c>
      <c r="L31" s="436">
        <f t="shared" si="4"/>
        <v>0</v>
      </c>
      <c r="M31" s="436">
        <f t="shared" si="5"/>
        <v>0</v>
      </c>
      <c r="N31" s="436">
        <f t="shared" si="6"/>
        <v>0</v>
      </c>
      <c r="O31" s="436">
        <f t="shared" si="7"/>
        <v>0</v>
      </c>
      <c r="P31" s="436">
        <f t="shared" si="8"/>
        <v>0</v>
      </c>
      <c r="Q31" s="436"/>
      <c r="R31" s="437"/>
      <c r="S31" s="412"/>
      <c r="T31" s="412"/>
      <c r="U31" s="437"/>
      <c r="V31" s="412"/>
      <c r="W31" s="412"/>
      <c r="X31" s="412"/>
      <c r="Y31" s="412"/>
      <c r="Z31" s="412"/>
      <c r="AA31" s="412"/>
      <c r="AB31" s="412"/>
      <c r="AC31" s="412"/>
      <c r="AD31" s="412"/>
      <c r="AE31" s="412"/>
      <c r="AF31" s="412"/>
      <c r="AG31" s="438"/>
      <c r="AH31" s="438"/>
      <c r="AI31" s="438"/>
      <c r="AJ31" s="438"/>
      <c r="AK31" s="438"/>
      <c r="AL31" s="438"/>
      <c r="AM31" s="439"/>
      <c r="AN31" s="440"/>
      <c r="AO31" s="327"/>
    </row>
    <row r="32" spans="1:41" s="5" customFormat="1">
      <c r="A32" s="551">
        <f>'1-συμβολαια'!A32</f>
        <v>4620</v>
      </c>
      <c r="B32" s="407" t="str">
        <f>'1-συμβολαια'!C32</f>
        <v>γονική</v>
      </c>
      <c r="C32" s="411">
        <f>'1-συμβολαια'!D32</f>
        <v>6285.73</v>
      </c>
      <c r="D32" s="434">
        <f>'3-φύλλα2α'!D32</f>
        <v>6</v>
      </c>
      <c r="E32" s="434">
        <f>'3-φύλλα2α'!E32</f>
        <v>7</v>
      </c>
      <c r="F32" s="329">
        <v>2</v>
      </c>
      <c r="G32" s="329">
        <v>2</v>
      </c>
      <c r="H32" s="409">
        <f t="shared" si="10"/>
        <v>38.76</v>
      </c>
      <c r="I32" s="441">
        <f t="shared" si="1"/>
        <v>45.22</v>
      </c>
      <c r="J32" s="436">
        <f t="shared" si="2"/>
        <v>1.9379999999999999</v>
      </c>
      <c r="K32" s="436">
        <f t="shared" si="3"/>
        <v>1.9379999999999999</v>
      </c>
      <c r="L32" s="436">
        <f t="shared" si="4"/>
        <v>0.3876</v>
      </c>
      <c r="M32" s="436">
        <f t="shared" si="5"/>
        <v>34.496399999999994</v>
      </c>
      <c r="N32" s="436">
        <f t="shared" si="6"/>
        <v>40.245800000000003</v>
      </c>
      <c r="O32" s="436">
        <f t="shared" si="7"/>
        <v>4.2636000000000003</v>
      </c>
      <c r="P32" s="436">
        <f t="shared" si="8"/>
        <v>4.9741999999999997</v>
      </c>
      <c r="Q32" s="436"/>
      <c r="R32" s="437"/>
      <c r="S32" s="412"/>
      <c r="T32" s="513">
        <f>H32/2</f>
        <v>19.38</v>
      </c>
      <c r="U32" s="437">
        <v>1.98</v>
      </c>
      <c r="V32" s="412">
        <v>19.38</v>
      </c>
      <c r="W32" s="412">
        <v>1.47</v>
      </c>
      <c r="X32" s="412"/>
      <c r="Y32" s="412"/>
      <c r="Z32" s="412"/>
      <c r="AA32" s="412"/>
      <c r="AB32" s="513">
        <f>2*T32</f>
        <v>38.76</v>
      </c>
      <c r="AC32" s="412">
        <f>2*1.47</f>
        <v>2.94</v>
      </c>
      <c r="AD32" s="412"/>
      <c r="AE32" s="412"/>
      <c r="AF32" s="412"/>
      <c r="AG32" s="438"/>
      <c r="AH32" s="438">
        <v>6.25</v>
      </c>
      <c r="AI32" s="438">
        <v>0.5</v>
      </c>
      <c r="AJ32" s="438"/>
      <c r="AK32" s="438"/>
      <c r="AL32" s="438"/>
      <c r="AM32" s="439">
        <f t="shared" si="0"/>
        <v>2.48</v>
      </c>
      <c r="AN32" s="440">
        <f t="shared" si="9"/>
        <v>88.179999999999993</v>
      </c>
      <c r="AO32" s="327"/>
    </row>
    <row r="33" spans="1:41" s="5" customFormat="1">
      <c r="A33" s="538">
        <f>'1-συμβολαια'!A33</f>
        <v>0</v>
      </c>
      <c r="B33" s="407" t="str">
        <f>'1-συμβολαια'!C33</f>
        <v>κάθετος ΣΥΣΤΑΣΗ</v>
      </c>
      <c r="C33" s="411">
        <f>'1-συμβολαια'!D33</f>
        <v>0</v>
      </c>
      <c r="D33" s="434">
        <f>'3-φύλλα2α'!D33</f>
        <v>6</v>
      </c>
      <c r="E33" s="434">
        <f>'3-φύλλα2α'!E33</f>
        <v>0</v>
      </c>
      <c r="F33" s="329"/>
      <c r="G33" s="329"/>
      <c r="H33" s="409">
        <f t="shared" si="10"/>
        <v>0</v>
      </c>
      <c r="I33" s="436">
        <f t="shared" si="1"/>
        <v>0</v>
      </c>
      <c r="J33" s="436">
        <f t="shared" si="2"/>
        <v>0</v>
      </c>
      <c r="K33" s="436">
        <f t="shared" si="3"/>
        <v>0</v>
      </c>
      <c r="L33" s="436">
        <f t="shared" si="4"/>
        <v>0</v>
      </c>
      <c r="M33" s="436">
        <f t="shared" si="5"/>
        <v>0</v>
      </c>
      <c r="N33" s="436">
        <f t="shared" si="6"/>
        <v>0</v>
      </c>
      <c r="O33" s="436">
        <f t="shared" si="7"/>
        <v>0</v>
      </c>
      <c r="P33" s="436">
        <f t="shared" si="8"/>
        <v>0</v>
      </c>
      <c r="Q33" s="436"/>
      <c r="R33" s="437"/>
      <c r="S33" s="412"/>
      <c r="T33" s="412"/>
      <c r="U33" s="437"/>
      <c r="V33" s="412"/>
      <c r="W33" s="412"/>
      <c r="X33" s="412"/>
      <c r="Y33" s="412"/>
      <c r="Z33" s="412"/>
      <c r="AA33" s="412"/>
      <c r="AB33" s="412"/>
      <c r="AC33" s="412"/>
      <c r="AD33" s="412"/>
      <c r="AE33" s="412"/>
      <c r="AF33" s="412"/>
      <c r="AG33" s="438"/>
      <c r="AH33" s="438">
        <v>6.25</v>
      </c>
      <c r="AI33" s="438">
        <v>0.5</v>
      </c>
      <c r="AJ33" s="438"/>
      <c r="AK33" s="438"/>
      <c r="AL33" s="438"/>
      <c r="AM33" s="439">
        <f t="shared" si="0"/>
        <v>0.5</v>
      </c>
      <c r="AN33" s="440">
        <f t="shared" si="9"/>
        <v>6.25</v>
      </c>
      <c r="AO33" s="327"/>
    </row>
    <row r="34" spans="1:41" s="5" customFormat="1">
      <c r="A34" s="538">
        <f>'1-συμβολαια'!A34</f>
        <v>0</v>
      </c>
      <c r="B34" s="407" t="str">
        <f>'1-συμβολαια'!C34</f>
        <v>ΧΡΗΣΙΚΤΗΣΙΑ αγροτεμαχίου (νυν οικόπεδο) = 19?? ΑΝΑΔΑΣΜΟΣ</v>
      </c>
      <c r="C34" s="411">
        <f>'1-συμβολαια'!D34</f>
        <v>3333</v>
      </c>
      <c r="D34" s="434">
        <f>'3-φύλλα2α'!D34</f>
        <v>6</v>
      </c>
      <c r="E34" s="434">
        <f>'3-φύλλα2α'!E34</f>
        <v>0</v>
      </c>
      <c r="F34" s="329"/>
      <c r="G34" s="329"/>
      <c r="H34" s="409">
        <f t="shared" si="10"/>
        <v>0</v>
      </c>
      <c r="I34" s="436">
        <f t="shared" si="1"/>
        <v>0</v>
      </c>
      <c r="J34" s="436">
        <f t="shared" si="2"/>
        <v>0</v>
      </c>
      <c r="K34" s="436">
        <f t="shared" si="3"/>
        <v>0</v>
      </c>
      <c r="L34" s="436">
        <f t="shared" si="4"/>
        <v>0</v>
      </c>
      <c r="M34" s="436">
        <f t="shared" si="5"/>
        <v>0</v>
      </c>
      <c r="N34" s="436">
        <f t="shared" si="6"/>
        <v>0</v>
      </c>
      <c r="O34" s="436">
        <f t="shared" si="7"/>
        <v>0</v>
      </c>
      <c r="P34" s="436">
        <f t="shared" si="8"/>
        <v>0</v>
      </c>
      <c r="Q34" s="436"/>
      <c r="R34" s="437"/>
      <c r="S34" s="412"/>
      <c r="T34" s="412"/>
      <c r="U34" s="437"/>
      <c r="V34" s="412"/>
      <c r="W34" s="412"/>
      <c r="X34" s="412"/>
      <c r="Y34" s="412"/>
      <c r="Z34" s="412"/>
      <c r="AA34" s="412"/>
      <c r="AB34" s="412"/>
      <c r="AC34" s="412"/>
      <c r="AD34" s="412"/>
      <c r="AE34" s="412"/>
      <c r="AF34" s="412"/>
      <c r="AG34" s="438"/>
      <c r="AH34" s="438"/>
      <c r="AI34" s="438"/>
      <c r="AJ34" s="438"/>
      <c r="AK34" s="438"/>
      <c r="AL34" s="438"/>
      <c r="AM34" s="439">
        <f t="shared" si="0"/>
        <v>0</v>
      </c>
      <c r="AN34" s="440">
        <f t="shared" si="9"/>
        <v>0</v>
      </c>
      <c r="AO34" s="327"/>
    </row>
    <row r="35" spans="1:41" s="5" customFormat="1">
      <c r="A35" s="551">
        <f>'1-συμβολαια'!A35</f>
        <v>4621</v>
      </c>
      <c r="B35" s="407" t="str">
        <f>'1-συμβολαια'!C35</f>
        <v>γονική</v>
      </c>
      <c r="C35" s="411">
        <f>'1-συμβολαια'!D35</f>
        <v>30928.65</v>
      </c>
      <c r="D35" s="434">
        <f>'3-φύλλα2α'!D35</f>
        <v>5</v>
      </c>
      <c r="E35" s="434">
        <f>'3-φύλλα2α'!E35</f>
        <v>6</v>
      </c>
      <c r="F35" s="329">
        <v>2</v>
      </c>
      <c r="G35" s="329">
        <v>2</v>
      </c>
      <c r="H35" s="409">
        <f t="shared" si="10"/>
        <v>32.299999999999997</v>
      </c>
      <c r="I35" s="441">
        <f t="shared" si="1"/>
        <v>38.76</v>
      </c>
      <c r="J35" s="436">
        <f t="shared" si="2"/>
        <v>1.615</v>
      </c>
      <c r="K35" s="436">
        <f t="shared" si="3"/>
        <v>1.615</v>
      </c>
      <c r="L35" s="436">
        <f t="shared" si="4"/>
        <v>0.32299999999999995</v>
      </c>
      <c r="M35" s="436">
        <f t="shared" si="5"/>
        <v>28.746999999999996</v>
      </c>
      <c r="N35" s="436">
        <f t="shared" si="6"/>
        <v>34.496400000000001</v>
      </c>
      <c r="O35" s="436">
        <f t="shared" si="7"/>
        <v>3.5529999999999999</v>
      </c>
      <c r="P35" s="436">
        <f t="shared" si="8"/>
        <v>4.2635999999999994</v>
      </c>
      <c r="Q35" s="436"/>
      <c r="R35" s="437"/>
      <c r="S35" s="412"/>
      <c r="T35" s="513">
        <f>H35/2</f>
        <v>16.149999999999999</v>
      </c>
      <c r="U35" s="437">
        <v>1.98</v>
      </c>
      <c r="V35" s="412">
        <v>16.149999999999999</v>
      </c>
      <c r="W35" s="412">
        <v>1.47</v>
      </c>
      <c r="X35" s="412"/>
      <c r="Y35" s="412"/>
      <c r="Z35" s="412"/>
      <c r="AA35" s="412"/>
      <c r="AB35" s="513">
        <f>2*T35</f>
        <v>32.299999999999997</v>
      </c>
      <c r="AC35" s="412">
        <v>1.47</v>
      </c>
      <c r="AD35" s="412"/>
      <c r="AE35" s="412"/>
      <c r="AF35" s="412"/>
      <c r="AG35" s="438"/>
      <c r="AH35" s="438">
        <v>6.25</v>
      </c>
      <c r="AI35" s="438">
        <v>0.5</v>
      </c>
      <c r="AJ35" s="438"/>
      <c r="AK35" s="438"/>
      <c r="AL35" s="438"/>
      <c r="AM35" s="439">
        <f t="shared" si="0"/>
        <v>2.48</v>
      </c>
      <c r="AN35" s="440">
        <f t="shared" si="9"/>
        <v>73.789999999999992</v>
      </c>
      <c r="AO35" s="327"/>
    </row>
    <row r="36" spans="1:41" s="5" customFormat="1">
      <c r="A36" s="404">
        <f>'1-συμβολαια'!A36</f>
        <v>0</v>
      </c>
      <c r="B36" s="407" t="str">
        <f>'1-συμβολαια'!C36</f>
        <v>οριζόντιος ΣΥΣΤΑΣΗ</v>
      </c>
      <c r="C36" s="411">
        <f>'1-συμβολαια'!D36</f>
        <v>0</v>
      </c>
      <c r="D36" s="434">
        <f>'3-φύλλα2α'!D36</f>
        <v>5</v>
      </c>
      <c r="E36" s="434">
        <f>'3-φύλλα2α'!E36</f>
        <v>0</v>
      </c>
      <c r="F36" s="329"/>
      <c r="G36" s="329"/>
      <c r="H36" s="409">
        <f t="shared" si="10"/>
        <v>0</v>
      </c>
      <c r="I36" s="436">
        <f t="shared" si="1"/>
        <v>0</v>
      </c>
      <c r="J36" s="436">
        <f t="shared" si="2"/>
        <v>0</v>
      </c>
      <c r="K36" s="436">
        <f t="shared" si="3"/>
        <v>0</v>
      </c>
      <c r="L36" s="436">
        <f t="shared" si="4"/>
        <v>0</v>
      </c>
      <c r="M36" s="436">
        <f t="shared" si="5"/>
        <v>0</v>
      </c>
      <c r="N36" s="436">
        <f t="shared" si="6"/>
        <v>0</v>
      </c>
      <c r="O36" s="436">
        <f t="shared" si="7"/>
        <v>0</v>
      </c>
      <c r="P36" s="436">
        <f t="shared" si="8"/>
        <v>0</v>
      </c>
      <c r="Q36" s="436"/>
      <c r="R36" s="437"/>
      <c r="S36" s="412"/>
      <c r="T36" s="412"/>
      <c r="U36" s="437"/>
      <c r="V36" s="412"/>
      <c r="W36" s="412"/>
      <c r="X36" s="412"/>
      <c r="Y36" s="412"/>
      <c r="Z36" s="412"/>
      <c r="AA36" s="412"/>
      <c r="AB36" s="412"/>
      <c r="AC36" s="412"/>
      <c r="AD36" s="412"/>
      <c r="AE36" s="412"/>
      <c r="AF36" s="412"/>
      <c r="AG36" s="438"/>
      <c r="AH36" s="438">
        <v>6.25</v>
      </c>
      <c r="AI36" s="438">
        <v>0.5</v>
      </c>
      <c r="AJ36" s="438"/>
      <c r="AK36" s="438"/>
      <c r="AL36" s="438"/>
      <c r="AM36" s="439">
        <f t="shared" si="0"/>
        <v>0.5</v>
      </c>
      <c r="AN36" s="440">
        <f t="shared" si="9"/>
        <v>6.25</v>
      </c>
      <c r="AO36" s="327"/>
    </row>
    <row r="37" spans="1:41" s="5" customFormat="1">
      <c r="A37" s="397">
        <f>'1-συμβολαια'!A37</f>
        <v>4622</v>
      </c>
      <c r="B37" s="407" t="str">
        <f>'1-συμβολαια'!C37</f>
        <v>πληρεξούσιο</v>
      </c>
      <c r="C37" s="411">
        <f>'1-συμβολαια'!D37</f>
        <v>0</v>
      </c>
      <c r="D37" s="434">
        <f>'3-φύλλα2α'!D37</f>
        <v>2</v>
      </c>
      <c r="E37" s="434">
        <f>'3-φύλλα2α'!E37</f>
        <v>2</v>
      </c>
      <c r="F37" s="329">
        <v>1</v>
      </c>
      <c r="G37" s="329">
        <v>1</v>
      </c>
      <c r="H37" s="409">
        <f t="shared" si="10"/>
        <v>6.46</v>
      </c>
      <c r="I37" s="436">
        <f t="shared" si="1"/>
        <v>6.46</v>
      </c>
      <c r="J37" s="436">
        <f t="shared" si="2"/>
        <v>0.32300000000000001</v>
      </c>
      <c r="K37" s="436">
        <f t="shared" si="3"/>
        <v>0.32300000000000001</v>
      </c>
      <c r="L37" s="436">
        <f t="shared" si="4"/>
        <v>6.4600000000000005E-2</v>
      </c>
      <c r="M37" s="436">
        <f t="shared" si="5"/>
        <v>5.7493999999999996</v>
      </c>
      <c r="N37" s="436">
        <f t="shared" si="6"/>
        <v>5.7493999999999996</v>
      </c>
      <c r="O37" s="436">
        <f t="shared" si="7"/>
        <v>0.71060000000000001</v>
      </c>
      <c r="P37" s="436">
        <f t="shared" si="8"/>
        <v>0.71060000000000001</v>
      </c>
      <c r="Q37" s="436"/>
      <c r="R37" s="437"/>
      <c r="S37" s="412"/>
      <c r="T37" s="412"/>
      <c r="U37" s="437"/>
      <c r="V37" s="412"/>
      <c r="W37" s="412"/>
      <c r="X37" s="412"/>
      <c r="Y37" s="412"/>
      <c r="Z37" s="412"/>
      <c r="AA37" s="412"/>
      <c r="AB37" s="412"/>
      <c r="AC37" s="412"/>
      <c r="AD37" s="412"/>
      <c r="AE37" s="412"/>
      <c r="AF37" s="412"/>
      <c r="AG37" s="438"/>
      <c r="AH37" s="438"/>
      <c r="AI37" s="438"/>
      <c r="AJ37" s="438"/>
      <c r="AK37" s="438"/>
      <c r="AL37" s="438"/>
      <c r="AM37" s="439">
        <f t="shared" si="0"/>
        <v>0</v>
      </c>
      <c r="AN37" s="440">
        <f t="shared" si="9"/>
        <v>0</v>
      </c>
      <c r="AO37" s="327"/>
    </row>
    <row r="38" spans="1:41" s="5" customFormat="1">
      <c r="A38" s="397">
        <f>'1-συμβολαια'!A38</f>
        <v>4623</v>
      </c>
      <c r="B38" s="407" t="str">
        <f>'1-συμβολαια'!C38</f>
        <v>πληρεξούσιο</v>
      </c>
      <c r="C38" s="411">
        <f>'1-συμβολαια'!D38</f>
        <v>0</v>
      </c>
      <c r="D38" s="434">
        <f>'3-φύλλα2α'!D38</f>
        <v>3</v>
      </c>
      <c r="E38" s="434">
        <f>'3-φύλλα2α'!E38</f>
        <v>4</v>
      </c>
      <c r="F38" s="329">
        <v>1</v>
      </c>
      <c r="G38" s="329">
        <v>1</v>
      </c>
      <c r="H38" s="409">
        <f t="shared" si="10"/>
        <v>9.69</v>
      </c>
      <c r="I38" s="441">
        <f t="shared" si="1"/>
        <v>12.92</v>
      </c>
      <c r="J38" s="436">
        <f t="shared" si="2"/>
        <v>0.48449999999999999</v>
      </c>
      <c r="K38" s="436">
        <f t="shared" si="3"/>
        <v>0.48449999999999999</v>
      </c>
      <c r="L38" s="436">
        <f t="shared" si="4"/>
        <v>9.69E-2</v>
      </c>
      <c r="M38" s="436">
        <f t="shared" si="5"/>
        <v>8.6240999999999985</v>
      </c>
      <c r="N38" s="436">
        <f t="shared" si="6"/>
        <v>11.498799999999999</v>
      </c>
      <c r="O38" s="436">
        <f t="shared" si="7"/>
        <v>1.0659000000000001</v>
      </c>
      <c r="P38" s="436">
        <f t="shared" si="8"/>
        <v>1.4212</v>
      </c>
      <c r="Q38" s="436"/>
      <c r="R38" s="437"/>
      <c r="S38" s="412"/>
      <c r="T38" s="412"/>
      <c r="U38" s="437"/>
      <c r="V38" s="412"/>
      <c r="W38" s="412"/>
      <c r="X38" s="412"/>
      <c r="Y38" s="412"/>
      <c r="Z38" s="412"/>
      <c r="AA38" s="412"/>
      <c r="AB38" s="412"/>
      <c r="AC38" s="412"/>
      <c r="AD38" s="412"/>
      <c r="AE38" s="412"/>
      <c r="AF38" s="412"/>
      <c r="AG38" s="438"/>
      <c r="AH38" s="438"/>
      <c r="AI38" s="438"/>
      <c r="AJ38" s="438"/>
      <c r="AK38" s="438"/>
      <c r="AL38" s="438"/>
      <c r="AM38" s="439">
        <f t="shared" si="0"/>
        <v>0</v>
      </c>
      <c r="AN38" s="440">
        <f t="shared" si="9"/>
        <v>0</v>
      </c>
      <c r="AO38" s="327"/>
    </row>
    <row r="39" spans="1:41" s="5" customFormat="1">
      <c r="A39" s="404">
        <f>'1-συμβολαια'!A39</f>
        <v>4624</v>
      </c>
      <c r="B39" s="407" t="str">
        <f>'1-συμβολαια'!C39</f>
        <v>*γονική ΨΙΛΗΣ ΚΥΡΙΟΤΗΤΑΣ</v>
      </c>
      <c r="C39" s="411">
        <f>'1-συμβολαια'!D39</f>
        <v>11558.2</v>
      </c>
      <c r="D39" s="434">
        <f>'3-φύλλα2α'!D39</f>
        <v>5</v>
      </c>
      <c r="E39" s="434">
        <f>'3-φύλλα2α'!E39</f>
        <v>6</v>
      </c>
      <c r="F39" s="329">
        <v>2</v>
      </c>
      <c r="G39" s="329">
        <v>2</v>
      </c>
      <c r="H39" s="409">
        <f t="shared" si="10"/>
        <v>32.299999999999997</v>
      </c>
      <c r="I39" s="441">
        <f t="shared" si="1"/>
        <v>38.76</v>
      </c>
      <c r="J39" s="436">
        <f t="shared" si="2"/>
        <v>1.615</v>
      </c>
      <c r="K39" s="436">
        <f t="shared" si="3"/>
        <v>1.615</v>
      </c>
      <c r="L39" s="436">
        <f t="shared" si="4"/>
        <v>0.32299999999999995</v>
      </c>
      <c r="M39" s="436">
        <f t="shared" si="5"/>
        <v>28.746999999999996</v>
      </c>
      <c r="N39" s="436">
        <f t="shared" si="6"/>
        <v>34.496400000000001</v>
      </c>
      <c r="O39" s="436">
        <f t="shared" si="7"/>
        <v>3.5529999999999999</v>
      </c>
      <c r="P39" s="436">
        <f t="shared" si="8"/>
        <v>4.2635999999999994</v>
      </c>
      <c r="Q39" s="436">
        <f t="shared" si="11"/>
        <v>-0.71059999999999945</v>
      </c>
      <c r="R39" s="437"/>
      <c r="S39" s="412"/>
      <c r="T39" s="513">
        <f>H39/2</f>
        <v>16.149999999999999</v>
      </c>
      <c r="U39" s="437">
        <v>1.98</v>
      </c>
      <c r="V39" s="412">
        <v>16.149999999999999</v>
      </c>
      <c r="W39" s="412">
        <v>1.47</v>
      </c>
      <c r="X39" s="412"/>
      <c r="Y39" s="412"/>
      <c r="Z39" s="412"/>
      <c r="AA39" s="412"/>
      <c r="AB39" s="412">
        <f>2*16.15</f>
        <v>32.299999999999997</v>
      </c>
      <c r="AC39" s="412">
        <f>2*1.47</f>
        <v>2.94</v>
      </c>
      <c r="AD39" s="412"/>
      <c r="AE39" s="412"/>
      <c r="AF39" s="412"/>
      <c r="AG39" s="438"/>
      <c r="AH39" s="438">
        <v>6.25</v>
      </c>
      <c r="AI39" s="438">
        <v>0.5</v>
      </c>
      <c r="AJ39" s="438"/>
      <c r="AK39" s="438"/>
      <c r="AL39" s="438"/>
      <c r="AM39" s="439">
        <f t="shared" si="0"/>
        <v>2.48</v>
      </c>
      <c r="AN39" s="440">
        <f t="shared" si="9"/>
        <v>75.259999999999991</v>
      </c>
      <c r="AO39" s="327"/>
    </row>
    <row r="40" spans="1:41" s="5" customFormat="1">
      <c r="A40" s="404">
        <f>'1-συμβολαια'!A40</f>
        <v>0</v>
      </c>
      <c r="B40" s="407" t="str">
        <f>'1-συμβολαια'!C40</f>
        <v>ΧΡΗΣΙΚΤΗΣΙΑ οικοπέδου = 1949 πατρός ΔΩΡΕΑ άτυπη</v>
      </c>
      <c r="C40" s="411">
        <f>'1-συμβολαια'!D40</f>
        <v>4444</v>
      </c>
      <c r="D40" s="434">
        <f>'3-φύλλα2α'!D40</f>
        <v>5</v>
      </c>
      <c r="E40" s="434">
        <f>'3-φύλλα2α'!E40</f>
        <v>0</v>
      </c>
      <c r="F40" s="329"/>
      <c r="G40" s="329"/>
      <c r="H40" s="409">
        <f t="shared" si="10"/>
        <v>0</v>
      </c>
      <c r="I40" s="436">
        <f t="shared" si="1"/>
        <v>0</v>
      </c>
      <c r="J40" s="436">
        <f t="shared" si="2"/>
        <v>0</v>
      </c>
      <c r="K40" s="436">
        <f t="shared" si="3"/>
        <v>0</v>
      </c>
      <c r="L40" s="436">
        <f t="shared" si="4"/>
        <v>0</v>
      </c>
      <c r="M40" s="436">
        <f t="shared" si="5"/>
        <v>0</v>
      </c>
      <c r="N40" s="436">
        <f t="shared" si="6"/>
        <v>0</v>
      </c>
      <c r="O40" s="436">
        <f t="shared" si="7"/>
        <v>0</v>
      </c>
      <c r="P40" s="436">
        <f t="shared" si="8"/>
        <v>0</v>
      </c>
      <c r="Q40" s="436">
        <f t="shared" si="11"/>
        <v>0</v>
      </c>
      <c r="R40" s="437"/>
      <c r="S40" s="412"/>
      <c r="T40" s="412"/>
      <c r="U40" s="437"/>
      <c r="V40" s="412"/>
      <c r="W40" s="412"/>
      <c r="X40" s="412"/>
      <c r="Y40" s="412"/>
      <c r="Z40" s="412"/>
      <c r="AA40" s="412"/>
      <c r="AB40" s="412"/>
      <c r="AC40" s="412"/>
      <c r="AD40" s="412"/>
      <c r="AE40" s="412"/>
      <c r="AF40" s="412"/>
      <c r="AG40" s="438"/>
      <c r="AH40" s="438"/>
      <c r="AI40" s="438"/>
      <c r="AJ40" s="438"/>
      <c r="AK40" s="438"/>
      <c r="AL40" s="438"/>
      <c r="AM40" s="439">
        <f t="shared" si="0"/>
        <v>0</v>
      </c>
      <c r="AN40" s="440">
        <f t="shared" si="9"/>
        <v>0</v>
      </c>
      <c r="AO40" s="327"/>
    </row>
    <row r="41" spans="1:41" s="5" customFormat="1">
      <c r="A41" s="404">
        <f>'1-συμβολαια'!A41</f>
        <v>0</v>
      </c>
      <c r="B41" s="407" t="str">
        <f>'1-συμβολαια'!C41</f>
        <v>ΧΡΗΣΙΚΤΗΣΙΑ αγροτεμαχίων = 1963 αγοραπωλησίας ΒΑΣΕΙ προσυμφώνου ΜΗ εκτελεσθέντος</v>
      </c>
      <c r="C41" s="411">
        <f>'1-συμβολαια'!D41</f>
        <v>1111</v>
      </c>
      <c r="D41" s="434">
        <f>'3-φύλλα2α'!D41</f>
        <v>5</v>
      </c>
      <c r="E41" s="434">
        <f>'3-φύλλα2α'!E41</f>
        <v>0</v>
      </c>
      <c r="F41" s="329"/>
      <c r="G41" s="329"/>
      <c r="H41" s="409">
        <f t="shared" si="10"/>
        <v>0</v>
      </c>
      <c r="I41" s="436">
        <f t="shared" si="1"/>
        <v>0</v>
      </c>
      <c r="J41" s="436">
        <f t="shared" si="2"/>
        <v>0</v>
      </c>
      <c r="K41" s="436">
        <f t="shared" si="3"/>
        <v>0</v>
      </c>
      <c r="L41" s="436">
        <f t="shared" si="4"/>
        <v>0</v>
      </c>
      <c r="M41" s="436">
        <f t="shared" si="5"/>
        <v>0</v>
      </c>
      <c r="N41" s="436">
        <f t="shared" si="6"/>
        <v>0</v>
      </c>
      <c r="O41" s="436">
        <f t="shared" si="7"/>
        <v>0</v>
      </c>
      <c r="P41" s="436">
        <f t="shared" si="8"/>
        <v>0</v>
      </c>
      <c r="Q41" s="436">
        <f t="shared" si="11"/>
        <v>0</v>
      </c>
      <c r="R41" s="437"/>
      <c r="S41" s="412"/>
      <c r="T41" s="412"/>
      <c r="U41" s="437"/>
      <c r="V41" s="412"/>
      <c r="W41" s="412"/>
      <c r="X41" s="412"/>
      <c r="Y41" s="412"/>
      <c r="Z41" s="412"/>
      <c r="AA41" s="412"/>
      <c r="AB41" s="412"/>
      <c r="AC41" s="412"/>
      <c r="AD41" s="412"/>
      <c r="AE41" s="412"/>
      <c r="AF41" s="412"/>
      <c r="AG41" s="438"/>
      <c r="AH41" s="438"/>
      <c r="AI41" s="438"/>
      <c r="AJ41" s="438"/>
      <c r="AK41" s="438"/>
      <c r="AL41" s="438"/>
      <c r="AM41" s="439">
        <f t="shared" si="0"/>
        <v>0</v>
      </c>
      <c r="AN41" s="440">
        <f t="shared" si="9"/>
        <v>0</v>
      </c>
      <c r="AO41" s="327"/>
    </row>
    <row r="42" spans="1:41" s="5" customFormat="1">
      <c r="A42" s="538">
        <f>'1-συμβολαια'!A42</f>
        <v>4625</v>
      </c>
      <c r="B42" s="407" t="str">
        <f>'1-συμβολαια'!C42</f>
        <v>*γονική ΨΙΛΗΣ ΚΥΡΙΟΤΗΤΑΣ</v>
      </c>
      <c r="C42" s="411">
        <f>'1-συμβολαια'!D42</f>
        <v>3061.77</v>
      </c>
      <c r="D42" s="434">
        <f>'3-φύλλα2α'!D42</f>
        <v>4</v>
      </c>
      <c r="E42" s="434">
        <f>'3-φύλλα2α'!E42</f>
        <v>5</v>
      </c>
      <c r="F42" s="329">
        <v>2</v>
      </c>
      <c r="G42" s="329">
        <v>2</v>
      </c>
      <c r="H42" s="409">
        <f t="shared" si="10"/>
        <v>25.84</v>
      </c>
      <c r="I42" s="441">
        <f t="shared" si="1"/>
        <v>32.299999999999997</v>
      </c>
      <c r="J42" s="436">
        <f t="shared" si="2"/>
        <v>1.292</v>
      </c>
      <c r="K42" s="436">
        <f t="shared" si="3"/>
        <v>1.292</v>
      </c>
      <c r="L42" s="436">
        <f t="shared" si="4"/>
        <v>0.25840000000000002</v>
      </c>
      <c r="M42" s="436">
        <f t="shared" si="5"/>
        <v>22.997599999999998</v>
      </c>
      <c r="N42" s="436">
        <f t="shared" si="6"/>
        <v>28.746999999999996</v>
      </c>
      <c r="O42" s="436">
        <f t="shared" si="7"/>
        <v>2.8424</v>
      </c>
      <c r="P42" s="436">
        <f t="shared" si="8"/>
        <v>3.5529999999999995</v>
      </c>
      <c r="Q42" s="436">
        <f t="shared" si="11"/>
        <v>-0.71059999999999945</v>
      </c>
      <c r="R42" s="437"/>
      <c r="S42" s="412"/>
      <c r="T42" s="513">
        <f>H42/2</f>
        <v>12.92</v>
      </c>
      <c r="U42" s="437">
        <v>1.98</v>
      </c>
      <c r="V42" s="412">
        <v>12.92</v>
      </c>
      <c r="W42" s="412">
        <v>1.47</v>
      </c>
      <c r="X42" s="412"/>
      <c r="Y42" s="412"/>
      <c r="Z42" s="412"/>
      <c r="AA42" s="412"/>
      <c r="AB42" s="513">
        <f>T42*2</f>
        <v>25.84</v>
      </c>
      <c r="AC42" s="412">
        <f>2*1.47</f>
        <v>2.94</v>
      </c>
      <c r="AD42" s="412"/>
      <c r="AE42" s="412"/>
      <c r="AF42" s="412"/>
      <c r="AG42" s="438"/>
      <c r="AH42" s="438">
        <v>6.25</v>
      </c>
      <c r="AI42" s="438">
        <v>0.5</v>
      </c>
      <c r="AJ42" s="438"/>
      <c r="AK42" s="438"/>
      <c r="AL42" s="438"/>
      <c r="AM42" s="439">
        <f t="shared" si="0"/>
        <v>2.48</v>
      </c>
      <c r="AN42" s="440">
        <f t="shared" si="9"/>
        <v>62.339999999999996</v>
      </c>
      <c r="AO42" s="327"/>
    </row>
    <row r="43" spans="1:41" s="5" customFormat="1">
      <c r="A43" s="538">
        <f>'1-συμβολαια'!A43</f>
        <v>0</v>
      </c>
      <c r="B43" s="407" t="str">
        <f>'1-συμβολαια'!C43</f>
        <v>ΧΡΗΣΙΚΤΗΣΙΑ αγροτεμαχίου = 19?? πατρός ΔΩΡΕΑ άτυπη</v>
      </c>
      <c r="C43" s="411">
        <f>'1-συμβολαια'!D43</f>
        <v>1111</v>
      </c>
      <c r="D43" s="434">
        <f>'3-φύλλα2α'!D43</f>
        <v>4</v>
      </c>
      <c r="E43" s="434">
        <f>'3-φύλλα2α'!E43</f>
        <v>0</v>
      </c>
      <c r="F43" s="329"/>
      <c r="G43" s="329"/>
      <c r="H43" s="409">
        <f t="shared" si="10"/>
        <v>0</v>
      </c>
      <c r="I43" s="436">
        <f t="shared" si="1"/>
        <v>0</v>
      </c>
      <c r="J43" s="436">
        <f t="shared" si="2"/>
        <v>0</v>
      </c>
      <c r="K43" s="436">
        <f t="shared" si="3"/>
        <v>0</v>
      </c>
      <c r="L43" s="436">
        <f t="shared" si="4"/>
        <v>0</v>
      </c>
      <c r="M43" s="436">
        <f t="shared" si="5"/>
        <v>0</v>
      </c>
      <c r="N43" s="436">
        <f t="shared" si="6"/>
        <v>0</v>
      </c>
      <c r="O43" s="436">
        <f t="shared" si="7"/>
        <v>0</v>
      </c>
      <c r="P43" s="436">
        <f t="shared" si="8"/>
        <v>0</v>
      </c>
      <c r="Q43" s="436">
        <f t="shared" si="11"/>
        <v>0</v>
      </c>
      <c r="R43" s="437"/>
      <c r="S43" s="412"/>
      <c r="T43" s="412"/>
      <c r="U43" s="437"/>
      <c r="V43" s="412"/>
      <c r="W43" s="412"/>
      <c r="X43" s="412"/>
      <c r="Y43" s="412"/>
      <c r="Z43" s="412"/>
      <c r="AA43" s="412"/>
      <c r="AB43" s="412"/>
      <c r="AC43" s="412"/>
      <c r="AD43" s="412"/>
      <c r="AE43" s="412"/>
      <c r="AF43" s="412"/>
      <c r="AG43" s="438"/>
      <c r="AH43" s="438"/>
      <c r="AI43" s="438"/>
      <c r="AJ43" s="438"/>
      <c r="AK43" s="438"/>
      <c r="AL43" s="438"/>
      <c r="AM43" s="439">
        <f t="shared" si="0"/>
        <v>0</v>
      </c>
      <c r="AN43" s="440">
        <f t="shared" si="9"/>
        <v>0</v>
      </c>
      <c r="AO43" s="327"/>
    </row>
    <row r="44" spans="1:41" s="5" customFormat="1">
      <c r="A44" s="404">
        <f>'1-συμβολαια'!A44</f>
        <v>4626</v>
      </c>
      <c r="B44" s="407" t="str">
        <f>'1-συμβολαια'!C44</f>
        <v>*γονική ΨΙΛΗΣ ΚΥΡΙΟΤΗΤΑΣ</v>
      </c>
      <c r="C44" s="411">
        <f>'1-συμβολαια'!D44</f>
        <v>5079.72</v>
      </c>
      <c r="D44" s="434">
        <f>'3-φύλλα2α'!D44</f>
        <v>5</v>
      </c>
      <c r="E44" s="434">
        <f>'3-φύλλα2α'!E44</f>
        <v>6</v>
      </c>
      <c r="F44" s="329">
        <v>2</v>
      </c>
      <c r="G44" s="329">
        <v>2</v>
      </c>
      <c r="H44" s="409">
        <f t="shared" si="10"/>
        <v>32.299999999999997</v>
      </c>
      <c r="I44" s="441">
        <f t="shared" si="1"/>
        <v>38.76</v>
      </c>
      <c r="J44" s="436">
        <f t="shared" si="2"/>
        <v>1.615</v>
      </c>
      <c r="K44" s="436">
        <f t="shared" si="3"/>
        <v>1.615</v>
      </c>
      <c r="L44" s="436">
        <f t="shared" si="4"/>
        <v>0.32299999999999995</v>
      </c>
      <c r="M44" s="436">
        <f t="shared" si="5"/>
        <v>28.746999999999996</v>
      </c>
      <c r="N44" s="436">
        <f t="shared" si="6"/>
        <v>34.496400000000001</v>
      </c>
      <c r="O44" s="436">
        <f t="shared" si="7"/>
        <v>3.5529999999999999</v>
      </c>
      <c r="P44" s="436">
        <f t="shared" si="8"/>
        <v>4.2635999999999994</v>
      </c>
      <c r="Q44" s="436">
        <f t="shared" si="11"/>
        <v>-0.71059999999999945</v>
      </c>
      <c r="R44" s="437"/>
      <c r="S44" s="412"/>
      <c r="T44" s="513">
        <f>H44/2</f>
        <v>16.149999999999999</v>
      </c>
      <c r="U44" s="437">
        <v>1.98</v>
      </c>
      <c r="V44" s="412">
        <v>16.149999999999999</v>
      </c>
      <c r="W44" s="412">
        <v>1.47</v>
      </c>
      <c r="X44" s="412"/>
      <c r="Y44" s="412"/>
      <c r="Z44" s="412"/>
      <c r="AA44" s="412"/>
      <c r="AB44" s="513">
        <f>2*T44</f>
        <v>32.299999999999997</v>
      </c>
      <c r="AC44" s="412">
        <f>2*1.47</f>
        <v>2.94</v>
      </c>
      <c r="AD44" s="412"/>
      <c r="AE44" s="412"/>
      <c r="AF44" s="412"/>
      <c r="AG44" s="438"/>
      <c r="AH44" s="438">
        <v>6.25</v>
      </c>
      <c r="AI44" s="438">
        <v>0.5</v>
      </c>
      <c r="AJ44" s="438"/>
      <c r="AK44" s="438"/>
      <c r="AL44" s="438"/>
      <c r="AM44" s="439">
        <f t="shared" si="0"/>
        <v>2.48</v>
      </c>
      <c r="AN44" s="440">
        <f t="shared" si="9"/>
        <v>75.259999999999991</v>
      </c>
      <c r="AO44" s="327"/>
    </row>
    <row r="45" spans="1:41" s="5" customFormat="1">
      <c r="A45" s="404">
        <f>'1-συμβολαια'!A45</f>
        <v>0</v>
      </c>
      <c r="B45" s="407" t="str">
        <f>'1-συμβολαια'!C45</f>
        <v>ΧΡΗΣΙΚΤΗΣΙΑ αγροτεμαχίου = 1979 ΑΝΑΔΑΣΜΟΣ</v>
      </c>
      <c r="C45" s="411">
        <f>'1-συμβολαια'!D45</f>
        <v>1111</v>
      </c>
      <c r="D45" s="434">
        <f>'3-φύλλα2α'!D45</f>
        <v>5</v>
      </c>
      <c r="E45" s="434">
        <f>'3-φύλλα2α'!E45</f>
        <v>0</v>
      </c>
      <c r="F45" s="329"/>
      <c r="G45" s="329"/>
      <c r="H45" s="409">
        <f t="shared" si="10"/>
        <v>0</v>
      </c>
      <c r="I45" s="436">
        <f t="shared" si="1"/>
        <v>0</v>
      </c>
      <c r="J45" s="436">
        <f t="shared" si="2"/>
        <v>0</v>
      </c>
      <c r="K45" s="436">
        <f t="shared" si="3"/>
        <v>0</v>
      </c>
      <c r="L45" s="436">
        <f t="shared" si="4"/>
        <v>0</v>
      </c>
      <c r="M45" s="436">
        <f t="shared" si="5"/>
        <v>0</v>
      </c>
      <c r="N45" s="436">
        <f t="shared" si="6"/>
        <v>0</v>
      </c>
      <c r="O45" s="436">
        <f t="shared" si="7"/>
        <v>0</v>
      </c>
      <c r="P45" s="436">
        <f t="shared" si="8"/>
        <v>0</v>
      </c>
      <c r="Q45" s="436">
        <f t="shared" si="11"/>
        <v>0</v>
      </c>
      <c r="R45" s="437"/>
      <c r="S45" s="412"/>
      <c r="T45" s="412"/>
      <c r="U45" s="437"/>
      <c r="V45" s="412"/>
      <c r="W45" s="412"/>
      <c r="X45" s="412"/>
      <c r="Y45" s="412"/>
      <c r="Z45" s="412"/>
      <c r="AA45" s="412"/>
      <c r="AB45" s="412"/>
      <c r="AC45" s="412"/>
      <c r="AD45" s="412"/>
      <c r="AE45" s="412"/>
      <c r="AF45" s="412"/>
      <c r="AG45" s="438"/>
      <c r="AH45" s="438"/>
      <c r="AI45" s="438"/>
      <c r="AJ45" s="438"/>
      <c r="AK45" s="438"/>
      <c r="AL45" s="438"/>
      <c r="AM45" s="439">
        <f t="shared" si="0"/>
        <v>0</v>
      </c>
      <c r="AN45" s="440">
        <f t="shared" si="9"/>
        <v>0</v>
      </c>
      <c r="AO45" s="327"/>
    </row>
    <row r="46" spans="1:41" s="5" customFormat="1">
      <c r="A46" s="404">
        <f>'1-συμβολαια'!A46</f>
        <v>0</v>
      </c>
      <c r="B46" s="407" t="str">
        <f>'1-συμβολαια'!C46</f>
        <v>ΧΡΗΣΙΚΤΗΣΙΑ αγροτεμαχίων = 1957 τακοΑναστασιο ΑΓΟΡΑΠΩΛΗΣΙΑ άτυπη</v>
      </c>
      <c r="C46" s="411">
        <f>'1-συμβολαια'!D46</f>
        <v>1111</v>
      </c>
      <c r="D46" s="434">
        <f>'3-φύλλα2α'!D46</f>
        <v>5</v>
      </c>
      <c r="E46" s="434">
        <f>'3-φύλλα2α'!E46</f>
        <v>0</v>
      </c>
      <c r="F46" s="329"/>
      <c r="G46" s="329"/>
      <c r="H46" s="409">
        <f t="shared" si="10"/>
        <v>0</v>
      </c>
      <c r="I46" s="436">
        <f t="shared" si="1"/>
        <v>0</v>
      </c>
      <c r="J46" s="436">
        <f t="shared" si="2"/>
        <v>0</v>
      </c>
      <c r="K46" s="436">
        <f t="shared" si="3"/>
        <v>0</v>
      </c>
      <c r="L46" s="436">
        <f t="shared" si="4"/>
        <v>0</v>
      </c>
      <c r="M46" s="436">
        <f t="shared" si="5"/>
        <v>0</v>
      </c>
      <c r="N46" s="436">
        <f t="shared" si="6"/>
        <v>0</v>
      </c>
      <c r="O46" s="436">
        <f t="shared" si="7"/>
        <v>0</v>
      </c>
      <c r="P46" s="436">
        <f t="shared" si="8"/>
        <v>0</v>
      </c>
      <c r="Q46" s="436">
        <f t="shared" si="11"/>
        <v>0</v>
      </c>
      <c r="R46" s="437"/>
      <c r="S46" s="412"/>
      <c r="T46" s="412"/>
      <c r="U46" s="437"/>
      <c r="V46" s="412"/>
      <c r="W46" s="412"/>
      <c r="X46" s="412"/>
      <c r="Y46" s="412"/>
      <c r="Z46" s="412"/>
      <c r="AA46" s="412"/>
      <c r="AB46" s="412"/>
      <c r="AC46" s="412"/>
      <c r="AD46" s="412"/>
      <c r="AE46" s="412"/>
      <c r="AF46" s="412"/>
      <c r="AG46" s="438"/>
      <c r="AH46" s="438"/>
      <c r="AI46" s="438"/>
      <c r="AJ46" s="438"/>
      <c r="AK46" s="438"/>
      <c r="AL46" s="438"/>
      <c r="AM46" s="439">
        <f t="shared" si="0"/>
        <v>0</v>
      </c>
      <c r="AN46" s="440">
        <f t="shared" si="9"/>
        <v>0</v>
      </c>
      <c r="AO46" s="327"/>
    </row>
    <row r="47" spans="1:41" s="5" customFormat="1">
      <c r="A47" s="538">
        <f>'1-συμβολαια'!A47</f>
        <v>4627</v>
      </c>
      <c r="B47" s="407" t="str">
        <f>'1-συμβολαια'!C47</f>
        <v>*δωρεά ΑΙΤΙΑ θανάτου</v>
      </c>
      <c r="C47" s="411">
        <f>'1-συμβολαια'!D47</f>
        <v>0</v>
      </c>
      <c r="D47" s="434">
        <f>'3-φύλλα2α'!D47</f>
        <v>2</v>
      </c>
      <c r="E47" s="434">
        <f>'3-φύλλα2α'!E47</f>
        <v>2</v>
      </c>
      <c r="F47" s="329">
        <v>2</v>
      </c>
      <c r="G47" s="549"/>
      <c r="H47" s="409">
        <f t="shared" si="10"/>
        <v>12.92</v>
      </c>
      <c r="I47" s="550">
        <f t="shared" si="1"/>
        <v>0</v>
      </c>
      <c r="J47" s="436">
        <f t="shared" si="2"/>
        <v>0.64600000000000002</v>
      </c>
      <c r="K47" s="436">
        <f t="shared" si="3"/>
        <v>0.64600000000000002</v>
      </c>
      <c r="L47" s="436">
        <f t="shared" si="4"/>
        <v>0.12920000000000001</v>
      </c>
      <c r="M47" s="436">
        <f t="shared" si="5"/>
        <v>11.498799999999999</v>
      </c>
      <c r="N47" s="436">
        <f t="shared" si="6"/>
        <v>0</v>
      </c>
      <c r="O47" s="436">
        <f t="shared" si="7"/>
        <v>1.4212</v>
      </c>
      <c r="P47" s="436">
        <f t="shared" si="8"/>
        <v>0</v>
      </c>
      <c r="Q47" s="436">
        <f t="shared" si="11"/>
        <v>1.4212</v>
      </c>
      <c r="R47" s="437">
        <f>5*3.23</f>
        <v>16.149999999999999</v>
      </c>
      <c r="S47" s="412">
        <v>1.47</v>
      </c>
      <c r="T47" s="513">
        <f>H47/2</f>
        <v>6.46</v>
      </c>
      <c r="U47" s="437">
        <v>1.98</v>
      </c>
      <c r="V47" s="412">
        <v>6.46</v>
      </c>
      <c r="W47" s="412">
        <v>1.47</v>
      </c>
      <c r="X47" s="412"/>
      <c r="Y47" s="412"/>
      <c r="Z47" s="412"/>
      <c r="AA47" s="412"/>
      <c r="AB47" s="513">
        <f>2*T47</f>
        <v>12.92</v>
      </c>
      <c r="AC47" s="412">
        <v>1.47</v>
      </c>
      <c r="AD47" s="412">
        <v>1.47</v>
      </c>
      <c r="AE47" s="412">
        <f>2*3.23</f>
        <v>6.46</v>
      </c>
      <c r="AF47" s="412">
        <v>1.47</v>
      </c>
      <c r="AG47" s="438"/>
      <c r="AH47" s="438">
        <v>6.25</v>
      </c>
      <c r="AI47" s="438">
        <v>0.5</v>
      </c>
      <c r="AJ47" s="438"/>
      <c r="AK47" s="438"/>
      <c r="AL47" s="438"/>
      <c r="AM47" s="439">
        <f t="shared" si="0"/>
        <v>2.48</v>
      </c>
      <c r="AN47" s="440">
        <f t="shared" si="9"/>
        <v>62.05</v>
      </c>
      <c r="AO47" s="327"/>
    </row>
    <row r="48" spans="1:41" s="5" customFormat="1">
      <c r="A48" s="538">
        <f>'1-συμβολαια'!A48</f>
        <v>0</v>
      </c>
      <c r="B48" s="407" t="str">
        <f>'1-συμβολαια'!C48</f>
        <v>ΧΡΗΣΙΚΤΗΣΙΑ αγροτεμαχίου [νυν οικόπεδο ΜΕ οικοδομή] ] = 1970 ΑΝΑΔΑΣΜΟΣ</v>
      </c>
      <c r="C48" s="411">
        <f>'1-συμβολαια'!D48</f>
        <v>1111</v>
      </c>
      <c r="D48" s="434">
        <f>'3-φύλλα2α'!D48</f>
        <v>2</v>
      </c>
      <c r="E48" s="434">
        <f>'3-φύλλα2α'!E48</f>
        <v>0</v>
      </c>
      <c r="F48" s="329"/>
      <c r="G48" s="329"/>
      <c r="H48" s="409">
        <f t="shared" si="10"/>
        <v>0</v>
      </c>
      <c r="I48" s="436">
        <f t="shared" si="1"/>
        <v>0</v>
      </c>
      <c r="J48" s="436">
        <f t="shared" si="2"/>
        <v>0</v>
      </c>
      <c r="K48" s="436">
        <f t="shared" si="3"/>
        <v>0</v>
      </c>
      <c r="L48" s="436">
        <f t="shared" si="4"/>
        <v>0</v>
      </c>
      <c r="M48" s="436">
        <f t="shared" si="5"/>
        <v>0</v>
      </c>
      <c r="N48" s="436">
        <f t="shared" si="6"/>
        <v>0</v>
      </c>
      <c r="O48" s="436">
        <f t="shared" si="7"/>
        <v>0</v>
      </c>
      <c r="P48" s="436">
        <f t="shared" si="8"/>
        <v>0</v>
      </c>
      <c r="Q48" s="436">
        <f t="shared" si="11"/>
        <v>0</v>
      </c>
      <c r="R48" s="437"/>
      <c r="S48" s="412"/>
      <c r="T48" s="412"/>
      <c r="U48" s="437"/>
      <c r="V48" s="412"/>
      <c r="W48" s="412"/>
      <c r="X48" s="412"/>
      <c r="Y48" s="412"/>
      <c r="Z48" s="412"/>
      <c r="AA48" s="412"/>
      <c r="AB48" s="412"/>
      <c r="AC48" s="412"/>
      <c r="AD48" s="412"/>
      <c r="AE48" s="412"/>
      <c r="AF48" s="412"/>
      <c r="AG48" s="438"/>
      <c r="AH48" s="438"/>
      <c r="AI48" s="438"/>
      <c r="AJ48" s="438"/>
      <c r="AK48" s="438"/>
      <c r="AL48" s="438"/>
      <c r="AM48" s="439">
        <f t="shared" si="0"/>
        <v>0</v>
      </c>
      <c r="AN48" s="440">
        <f t="shared" si="9"/>
        <v>0</v>
      </c>
      <c r="AO48" s="327"/>
    </row>
    <row r="49" spans="1:41" s="5" customFormat="1">
      <c r="A49" s="538">
        <f>'1-συμβολαια'!A49</f>
        <v>0</v>
      </c>
      <c r="B49" s="407" t="str">
        <f>'1-συμβολαια'!C49</f>
        <v>*γονικής 1262  ΕΠΙΚΑΡΠΙΑ …  ΔΩΡΕΑ αιτία θανάτου</v>
      </c>
      <c r="C49" s="411">
        <f>'1-συμβολαια'!D49</f>
        <v>8888</v>
      </c>
      <c r="D49" s="434">
        <f>'3-φύλλα2α'!D49</f>
        <v>2</v>
      </c>
      <c r="E49" s="434">
        <f>'3-φύλλα2α'!E49</f>
        <v>0</v>
      </c>
      <c r="F49" s="329"/>
      <c r="G49" s="329"/>
      <c r="H49" s="409">
        <f t="shared" si="10"/>
        <v>0</v>
      </c>
      <c r="I49" s="436">
        <f t="shared" si="1"/>
        <v>0</v>
      </c>
      <c r="J49" s="436">
        <f t="shared" si="2"/>
        <v>0</v>
      </c>
      <c r="K49" s="436">
        <f t="shared" si="3"/>
        <v>0</v>
      </c>
      <c r="L49" s="436">
        <f t="shared" si="4"/>
        <v>0</v>
      </c>
      <c r="M49" s="436">
        <f t="shared" si="5"/>
        <v>0</v>
      </c>
      <c r="N49" s="436">
        <f t="shared" si="6"/>
        <v>0</v>
      </c>
      <c r="O49" s="436">
        <f t="shared" si="7"/>
        <v>0</v>
      </c>
      <c r="P49" s="436">
        <f t="shared" si="8"/>
        <v>0</v>
      </c>
      <c r="Q49" s="436">
        <f t="shared" si="11"/>
        <v>0</v>
      </c>
      <c r="R49" s="437">
        <f>5*3.23</f>
        <v>16.149999999999999</v>
      </c>
      <c r="S49" s="412">
        <v>1.47</v>
      </c>
      <c r="T49" s="412">
        <v>6.46</v>
      </c>
      <c r="U49" s="437">
        <v>1.98</v>
      </c>
      <c r="V49" s="412">
        <v>6.46</v>
      </c>
      <c r="W49" s="412">
        <v>1.47</v>
      </c>
      <c r="X49" s="412"/>
      <c r="Y49" s="412"/>
      <c r="Z49" s="412"/>
      <c r="AA49" s="412"/>
      <c r="AB49" s="513">
        <f>2*T49</f>
        <v>12.92</v>
      </c>
      <c r="AC49" s="412">
        <v>1.47</v>
      </c>
      <c r="AD49" s="412">
        <v>1.47</v>
      </c>
      <c r="AE49" s="412">
        <f>2*3.23</f>
        <v>6.46</v>
      </c>
      <c r="AF49" s="412">
        <v>1.47</v>
      </c>
      <c r="AG49" s="438"/>
      <c r="AH49" s="438">
        <v>6.25</v>
      </c>
      <c r="AI49" s="438">
        <v>0.5</v>
      </c>
      <c r="AJ49" s="438"/>
      <c r="AK49" s="438"/>
      <c r="AL49" s="438"/>
      <c r="AM49" s="439">
        <f t="shared" si="0"/>
        <v>2.48</v>
      </c>
      <c r="AN49" s="440">
        <f t="shared" si="9"/>
        <v>62.05</v>
      </c>
      <c r="AO49" s="327"/>
    </row>
    <row r="50" spans="1:41" s="5" customFormat="1">
      <c r="A50" s="397">
        <f>'1-συμβολαια'!A50</f>
        <v>4628</v>
      </c>
      <c r="B50" s="407" t="str">
        <f>'1-συμβολαια'!C50</f>
        <v>πληρεξούσιο</v>
      </c>
      <c r="C50" s="411">
        <f>'1-συμβολαια'!D50</f>
        <v>0</v>
      </c>
      <c r="D50" s="434">
        <f>'3-φύλλα2α'!D50</f>
        <v>2</v>
      </c>
      <c r="E50" s="434">
        <f>'3-φύλλα2α'!E50</f>
        <v>2</v>
      </c>
      <c r="F50" s="329">
        <v>1</v>
      </c>
      <c r="G50" s="329">
        <v>1</v>
      </c>
      <c r="H50" s="409">
        <f t="shared" si="10"/>
        <v>6.46</v>
      </c>
      <c r="I50" s="436">
        <f t="shared" si="1"/>
        <v>6.46</v>
      </c>
      <c r="J50" s="436">
        <f t="shared" si="2"/>
        <v>0.32300000000000001</v>
      </c>
      <c r="K50" s="436">
        <f t="shared" si="3"/>
        <v>0.32300000000000001</v>
      </c>
      <c r="L50" s="436">
        <f t="shared" si="4"/>
        <v>6.4600000000000005E-2</v>
      </c>
      <c r="M50" s="436">
        <f t="shared" si="5"/>
        <v>5.7493999999999996</v>
      </c>
      <c r="N50" s="436">
        <f t="shared" si="6"/>
        <v>5.7493999999999996</v>
      </c>
      <c r="O50" s="436">
        <f t="shared" si="7"/>
        <v>0.71060000000000001</v>
      </c>
      <c r="P50" s="436">
        <f t="shared" si="8"/>
        <v>0.71060000000000001</v>
      </c>
      <c r="Q50" s="436">
        <f t="shared" si="11"/>
        <v>0</v>
      </c>
      <c r="R50" s="437"/>
      <c r="S50" s="412"/>
      <c r="T50" s="412"/>
      <c r="U50" s="437"/>
      <c r="V50" s="412"/>
      <c r="W50" s="412"/>
      <c r="X50" s="412"/>
      <c r="Y50" s="412"/>
      <c r="Z50" s="412"/>
      <c r="AA50" s="412"/>
      <c r="AB50" s="412"/>
      <c r="AC50" s="412"/>
      <c r="AD50" s="412"/>
      <c r="AE50" s="412"/>
      <c r="AF50" s="412"/>
      <c r="AG50" s="438"/>
      <c r="AH50" s="438"/>
      <c r="AI50" s="438"/>
      <c r="AJ50" s="438"/>
      <c r="AK50" s="438"/>
      <c r="AL50" s="438"/>
      <c r="AM50" s="439">
        <f t="shared" si="0"/>
        <v>0</v>
      </c>
      <c r="AN50" s="440">
        <f t="shared" si="9"/>
        <v>0</v>
      </c>
      <c r="AO50" s="327"/>
    </row>
    <row r="51" spans="1:41" s="5" customFormat="1">
      <c r="A51" s="404">
        <f>'1-συμβολαια'!A51</f>
        <v>4629</v>
      </c>
      <c r="B51" s="407" t="str">
        <f>'1-συμβολαια'!C51</f>
        <v>κληρονομιάς ΑΠΟΔΟΧΗ</v>
      </c>
      <c r="C51" s="411">
        <f>'1-συμβολαια'!D51</f>
        <v>0</v>
      </c>
      <c r="D51" s="434">
        <f>'3-φύλλα2α'!D51</f>
        <v>4</v>
      </c>
      <c r="E51" s="434">
        <f>'3-φύλλα2α'!E51</f>
        <v>4</v>
      </c>
      <c r="F51" s="329">
        <v>3</v>
      </c>
      <c r="G51" s="329">
        <v>3</v>
      </c>
      <c r="H51" s="409">
        <f t="shared" si="10"/>
        <v>38.76</v>
      </c>
      <c r="I51" s="436">
        <f t="shared" si="1"/>
        <v>38.76</v>
      </c>
      <c r="J51" s="436">
        <f t="shared" si="2"/>
        <v>1.9379999999999999</v>
      </c>
      <c r="K51" s="436">
        <f t="shared" si="3"/>
        <v>1.9379999999999999</v>
      </c>
      <c r="L51" s="436">
        <f t="shared" si="4"/>
        <v>0.3876</v>
      </c>
      <c r="M51" s="436">
        <f t="shared" si="5"/>
        <v>34.496399999999994</v>
      </c>
      <c r="N51" s="436">
        <f t="shared" si="6"/>
        <v>34.496400000000001</v>
      </c>
      <c r="O51" s="436">
        <f t="shared" si="7"/>
        <v>4.2636000000000003</v>
      </c>
      <c r="P51" s="436">
        <f t="shared" si="8"/>
        <v>4.2635999999999994</v>
      </c>
      <c r="Q51" s="436">
        <f t="shared" si="11"/>
        <v>0</v>
      </c>
      <c r="R51" s="437">
        <v>32.299999999999997</v>
      </c>
      <c r="S51" s="412">
        <f>2*1.47</f>
        <v>2.94</v>
      </c>
      <c r="T51" s="513">
        <f>H51/3</f>
        <v>12.92</v>
      </c>
      <c r="U51" s="437">
        <v>1.98</v>
      </c>
      <c r="V51" s="412">
        <v>12.92</v>
      </c>
      <c r="W51" s="412">
        <v>1.47</v>
      </c>
      <c r="X51" s="412"/>
      <c r="Y51" s="412"/>
      <c r="Z51" s="412"/>
      <c r="AA51" s="412"/>
      <c r="AB51" s="513">
        <f>3*T51</f>
        <v>38.76</v>
      </c>
      <c r="AC51" s="412">
        <f>3*1.47</f>
        <v>4.41</v>
      </c>
      <c r="AD51" s="412">
        <f>2*1.47</f>
        <v>2.94</v>
      </c>
      <c r="AE51" s="412">
        <v>6.46</v>
      </c>
      <c r="AF51" s="412">
        <v>1.47</v>
      </c>
      <c r="AG51" s="438"/>
      <c r="AH51" s="438">
        <f>2*6.25</f>
        <v>12.5</v>
      </c>
      <c r="AI51" s="438">
        <v>1</v>
      </c>
      <c r="AJ51" s="438"/>
      <c r="AK51" s="438"/>
      <c r="AL51" s="438"/>
      <c r="AM51" s="439">
        <f t="shared" si="0"/>
        <v>2.98</v>
      </c>
      <c r="AN51" s="440">
        <f t="shared" si="9"/>
        <v>129.08999999999997</v>
      </c>
      <c r="AO51" s="327"/>
    </row>
    <row r="52" spans="1:41" s="5" customFormat="1">
      <c r="A52" s="404">
        <f>'1-συμβολαια'!A52</f>
        <v>0</v>
      </c>
      <c r="B52" s="407" t="str">
        <f>'1-συμβολαια'!C52</f>
        <v>ΧΡΗΣΙΚΤΗΣΙΑ αγροτεμαχίου = 1980 πατρός ΚΛΗΡΟΝΟΜΙΑ άτυπη</v>
      </c>
      <c r="C52" s="411">
        <f>'1-συμβολαια'!D52</f>
        <v>1111</v>
      </c>
      <c r="D52" s="434">
        <f>'3-φύλλα2α'!D52</f>
        <v>4</v>
      </c>
      <c r="E52" s="434">
        <f>'3-φύλλα2α'!E52</f>
        <v>0</v>
      </c>
      <c r="F52" s="329"/>
      <c r="G52" s="329"/>
      <c r="H52" s="409">
        <f t="shared" si="10"/>
        <v>0</v>
      </c>
      <c r="I52" s="436">
        <f t="shared" si="1"/>
        <v>0</v>
      </c>
      <c r="J52" s="436">
        <f t="shared" si="2"/>
        <v>0</v>
      </c>
      <c r="K52" s="436">
        <f t="shared" si="3"/>
        <v>0</v>
      </c>
      <c r="L52" s="436">
        <f t="shared" si="4"/>
        <v>0</v>
      </c>
      <c r="M52" s="436">
        <f t="shared" si="5"/>
        <v>0</v>
      </c>
      <c r="N52" s="436">
        <f t="shared" si="6"/>
        <v>0</v>
      </c>
      <c r="O52" s="436">
        <f t="shared" si="7"/>
        <v>0</v>
      </c>
      <c r="P52" s="436">
        <f t="shared" si="8"/>
        <v>0</v>
      </c>
      <c r="Q52" s="436">
        <f t="shared" si="11"/>
        <v>0</v>
      </c>
      <c r="R52" s="437"/>
      <c r="S52" s="412"/>
      <c r="T52" s="412"/>
      <c r="U52" s="437"/>
      <c r="V52" s="412"/>
      <c r="W52" s="412"/>
      <c r="X52" s="412"/>
      <c r="Y52" s="412"/>
      <c r="Z52" s="412"/>
      <c r="AA52" s="412"/>
      <c r="AB52" s="412"/>
      <c r="AC52" s="412"/>
      <c r="AD52" s="412"/>
      <c r="AE52" s="412"/>
      <c r="AF52" s="412"/>
      <c r="AG52" s="438"/>
      <c r="AH52" s="438"/>
      <c r="AI52" s="438"/>
      <c r="AJ52" s="438"/>
      <c r="AK52" s="438"/>
      <c r="AL52" s="438"/>
      <c r="AM52" s="439">
        <f t="shared" si="0"/>
        <v>0</v>
      </c>
      <c r="AN52" s="440">
        <f t="shared" si="9"/>
        <v>0</v>
      </c>
      <c r="AO52" s="327"/>
    </row>
    <row r="53" spans="1:41" s="5" customFormat="1">
      <c r="A53" s="404">
        <f>'1-συμβολαια'!A53</f>
        <v>0</v>
      </c>
      <c r="B53" s="407" t="str">
        <f>'1-συμβολαια'!C53</f>
        <v>ΧΡΗΣΙΚΤΗΣΙΑ αγροτεμαχίου = 1980 ΔΙΑΝΟΜΗ άτυπη</v>
      </c>
      <c r="C53" s="411">
        <f>'1-συμβολαια'!D53</f>
        <v>11</v>
      </c>
      <c r="D53" s="434">
        <f>'3-φύλλα2α'!D53</f>
        <v>4</v>
      </c>
      <c r="E53" s="434">
        <f>'3-φύλλα2α'!E53</f>
        <v>0</v>
      </c>
      <c r="F53" s="329"/>
      <c r="G53" s="329"/>
      <c r="H53" s="409">
        <f t="shared" si="10"/>
        <v>0</v>
      </c>
      <c r="I53" s="436">
        <f t="shared" si="1"/>
        <v>0</v>
      </c>
      <c r="J53" s="436">
        <f t="shared" si="2"/>
        <v>0</v>
      </c>
      <c r="K53" s="436">
        <f t="shared" si="3"/>
        <v>0</v>
      </c>
      <c r="L53" s="436">
        <f t="shared" si="4"/>
        <v>0</v>
      </c>
      <c r="M53" s="436">
        <f t="shared" si="5"/>
        <v>0</v>
      </c>
      <c r="N53" s="436">
        <f t="shared" si="6"/>
        <v>0</v>
      </c>
      <c r="O53" s="436">
        <f t="shared" si="7"/>
        <v>0</v>
      </c>
      <c r="P53" s="436">
        <f t="shared" si="8"/>
        <v>0</v>
      </c>
      <c r="Q53" s="436">
        <f t="shared" si="11"/>
        <v>0</v>
      </c>
      <c r="R53" s="437"/>
      <c r="S53" s="412"/>
      <c r="T53" s="412"/>
      <c r="U53" s="437"/>
      <c r="V53" s="412"/>
      <c r="W53" s="412"/>
      <c r="X53" s="412"/>
      <c r="Y53" s="412"/>
      <c r="Z53" s="412"/>
      <c r="AA53" s="412"/>
      <c r="AB53" s="412"/>
      <c r="AC53" s="412"/>
      <c r="AD53" s="412"/>
      <c r="AE53" s="412"/>
      <c r="AF53" s="412"/>
      <c r="AG53" s="438"/>
      <c r="AH53" s="438"/>
      <c r="AI53" s="438"/>
      <c r="AJ53" s="438"/>
      <c r="AK53" s="438"/>
      <c r="AL53" s="438"/>
      <c r="AM53" s="439">
        <f t="shared" si="0"/>
        <v>0</v>
      </c>
      <c r="AN53" s="440">
        <f t="shared" si="9"/>
        <v>0</v>
      </c>
      <c r="AO53" s="327"/>
    </row>
    <row r="54" spans="1:41" s="5" customFormat="1">
      <c r="A54" s="538">
        <f>'1-συμβολαια'!A54</f>
        <v>4630</v>
      </c>
      <c r="B54" s="407" t="str">
        <f>'1-συμβολαια'!C54</f>
        <v xml:space="preserve">αγοραπωλησίας ΠΡΟΣΥΜΦΩΝΟ τίμημα = αρραβών = </v>
      </c>
      <c r="C54" s="411">
        <f>'1-συμβολαια'!D54</f>
        <v>8804.1</v>
      </c>
      <c r="D54" s="434">
        <f>'3-φύλλα2α'!D54</f>
        <v>3</v>
      </c>
      <c r="E54" s="434">
        <f>'3-φύλλα2α'!E54</f>
        <v>4</v>
      </c>
      <c r="F54" s="329">
        <v>2</v>
      </c>
      <c r="G54" s="329">
        <v>2</v>
      </c>
      <c r="H54" s="409">
        <f t="shared" si="10"/>
        <v>19.38</v>
      </c>
      <c r="I54" s="436">
        <f t="shared" si="1"/>
        <v>25.84</v>
      </c>
      <c r="J54" s="436">
        <f t="shared" si="2"/>
        <v>0.96899999999999997</v>
      </c>
      <c r="K54" s="436">
        <f t="shared" si="3"/>
        <v>0.96899999999999997</v>
      </c>
      <c r="L54" s="436">
        <f t="shared" si="4"/>
        <v>0.1938</v>
      </c>
      <c r="M54" s="436">
        <f t="shared" si="5"/>
        <v>17.248199999999997</v>
      </c>
      <c r="N54" s="436">
        <f t="shared" si="6"/>
        <v>22.997599999999998</v>
      </c>
      <c r="O54" s="436">
        <f t="shared" si="7"/>
        <v>2.1318000000000001</v>
      </c>
      <c r="P54" s="436">
        <f t="shared" si="8"/>
        <v>2.8424</v>
      </c>
      <c r="Q54" s="436">
        <f t="shared" si="11"/>
        <v>-0.7105999999999999</v>
      </c>
      <c r="R54" s="437"/>
      <c r="S54" s="412"/>
      <c r="T54" s="513"/>
      <c r="U54" s="437"/>
      <c r="V54" s="412"/>
      <c r="W54" s="412"/>
      <c r="X54" s="412"/>
      <c r="Y54" s="412"/>
      <c r="Z54" s="412"/>
      <c r="AA54" s="412"/>
      <c r="AB54" s="412"/>
      <c r="AC54" s="412"/>
      <c r="AD54" s="412"/>
      <c r="AE54" s="412"/>
      <c r="AF54" s="412"/>
      <c r="AG54" s="438"/>
      <c r="AH54" s="438"/>
      <c r="AI54" s="438"/>
      <c r="AJ54" s="438"/>
      <c r="AK54" s="438"/>
      <c r="AL54" s="438"/>
      <c r="AM54" s="439">
        <f t="shared" si="0"/>
        <v>0</v>
      </c>
      <c r="AN54" s="440">
        <f t="shared" si="9"/>
        <v>0</v>
      </c>
      <c r="AO54" s="327"/>
    </row>
    <row r="55" spans="1:41" s="5" customFormat="1">
      <c r="A55" s="538">
        <f>'1-συμβολαια'!A55</f>
        <v>0</v>
      </c>
      <c r="B55" s="407" t="str">
        <f>'1-συμβολαια'!C55</f>
        <v>ΧΡΗΣΙΚΤΗΣΙΑ αγροτεμαχίου = 1970 συζύγου ΔΩΡΕΑ άτυπη</v>
      </c>
      <c r="C55" s="411">
        <f>'1-συμβολαια'!D55</f>
        <v>5555</v>
      </c>
      <c r="D55" s="434">
        <f>'3-φύλλα2α'!D55</f>
        <v>3</v>
      </c>
      <c r="E55" s="434">
        <f>'3-φύλλα2α'!E55</f>
        <v>0</v>
      </c>
      <c r="F55" s="329"/>
      <c r="G55" s="329"/>
      <c r="H55" s="409">
        <f t="shared" si="10"/>
        <v>0</v>
      </c>
      <c r="I55" s="436">
        <f t="shared" si="1"/>
        <v>0</v>
      </c>
      <c r="J55" s="436">
        <f t="shared" si="2"/>
        <v>0</v>
      </c>
      <c r="K55" s="436">
        <f t="shared" si="3"/>
        <v>0</v>
      </c>
      <c r="L55" s="436">
        <f t="shared" si="4"/>
        <v>0</v>
      </c>
      <c r="M55" s="436">
        <f t="shared" si="5"/>
        <v>0</v>
      </c>
      <c r="N55" s="436">
        <f t="shared" si="6"/>
        <v>0</v>
      </c>
      <c r="O55" s="436">
        <f t="shared" si="7"/>
        <v>0</v>
      </c>
      <c r="P55" s="436">
        <f t="shared" si="8"/>
        <v>0</v>
      </c>
      <c r="Q55" s="436">
        <f t="shared" si="11"/>
        <v>0</v>
      </c>
      <c r="R55" s="437"/>
      <c r="S55" s="412"/>
      <c r="T55" s="412"/>
      <c r="U55" s="437"/>
      <c r="V55" s="412"/>
      <c r="W55" s="412"/>
      <c r="X55" s="412"/>
      <c r="Y55" s="412"/>
      <c r="Z55" s="412"/>
      <c r="AA55" s="412"/>
      <c r="AB55" s="412"/>
      <c r="AC55" s="412"/>
      <c r="AD55" s="412"/>
      <c r="AE55" s="412"/>
      <c r="AF55" s="412"/>
      <c r="AG55" s="438"/>
      <c r="AH55" s="438"/>
      <c r="AI55" s="438"/>
      <c r="AJ55" s="438"/>
      <c r="AK55" s="438"/>
      <c r="AL55" s="438"/>
      <c r="AM55" s="439">
        <f t="shared" si="0"/>
        <v>0</v>
      </c>
      <c r="AN55" s="440">
        <f t="shared" si="9"/>
        <v>0</v>
      </c>
      <c r="AO55" s="327"/>
    </row>
    <row r="56" spans="1:41" s="5" customFormat="1">
      <c r="A56" s="397">
        <f>'1-συμβολαια'!A56</f>
        <v>4631</v>
      </c>
      <c r="B56" s="407" t="str">
        <f>'1-συμβολαια'!C56</f>
        <v>αγοραπωλησίας 4.191 ΕΞΟΦΛΗΣΗ</v>
      </c>
      <c r="C56" s="411">
        <f>'1-συμβολαια'!D56</f>
        <v>0</v>
      </c>
      <c r="D56" s="434">
        <f>'3-φύλλα2α'!D56</f>
        <v>2</v>
      </c>
      <c r="E56" s="434">
        <f>'3-φύλλα2α'!E56</f>
        <v>3</v>
      </c>
      <c r="F56" s="329"/>
      <c r="G56" s="329"/>
      <c r="H56" s="409">
        <f t="shared" si="10"/>
        <v>0</v>
      </c>
      <c r="I56" s="436">
        <f t="shared" si="1"/>
        <v>0</v>
      </c>
      <c r="J56" s="436">
        <f t="shared" si="2"/>
        <v>0</v>
      </c>
      <c r="K56" s="436">
        <f t="shared" si="3"/>
        <v>0</v>
      </c>
      <c r="L56" s="436">
        <f t="shared" si="4"/>
        <v>0</v>
      </c>
      <c r="M56" s="436">
        <f t="shared" si="5"/>
        <v>0</v>
      </c>
      <c r="N56" s="436">
        <f t="shared" si="6"/>
        <v>0</v>
      </c>
      <c r="O56" s="436">
        <f t="shared" si="7"/>
        <v>0</v>
      </c>
      <c r="P56" s="436">
        <f t="shared" si="8"/>
        <v>0</v>
      </c>
      <c r="Q56" s="436">
        <f t="shared" si="11"/>
        <v>0</v>
      </c>
      <c r="R56" s="437">
        <f>2*3.23</f>
        <v>6.46</v>
      </c>
      <c r="S56" s="412">
        <v>1.47</v>
      </c>
      <c r="T56" s="412"/>
      <c r="U56" s="437"/>
      <c r="V56" s="412"/>
      <c r="W56" s="412"/>
      <c r="X56" s="412"/>
      <c r="Y56" s="412"/>
      <c r="Z56" s="412"/>
      <c r="AA56" s="412"/>
      <c r="AB56" s="412"/>
      <c r="AC56" s="412"/>
      <c r="AD56" s="412"/>
      <c r="AE56" s="412"/>
      <c r="AF56" s="412"/>
      <c r="AG56" s="438"/>
      <c r="AH56" s="438"/>
      <c r="AI56" s="438"/>
      <c r="AJ56" s="438"/>
      <c r="AK56" s="438"/>
      <c r="AL56" s="438"/>
      <c r="AM56" s="439">
        <f t="shared" si="0"/>
        <v>0</v>
      </c>
      <c r="AN56" s="440">
        <f t="shared" si="9"/>
        <v>7.93</v>
      </c>
      <c r="AO56" s="327"/>
    </row>
    <row r="57" spans="1:41" s="5" customFormat="1">
      <c r="A57" s="397"/>
      <c r="B57" s="407"/>
      <c r="C57" s="411"/>
      <c r="D57" s="434"/>
      <c r="E57" s="434"/>
      <c r="F57" s="329"/>
      <c r="G57" s="329"/>
      <c r="H57" s="409"/>
      <c r="I57" s="436"/>
      <c r="J57" s="436"/>
      <c r="K57" s="436"/>
      <c r="L57" s="436"/>
      <c r="M57" s="436"/>
      <c r="N57" s="436"/>
      <c r="O57" s="436"/>
      <c r="P57" s="436"/>
      <c r="Q57" s="436"/>
      <c r="R57" s="437"/>
      <c r="S57" s="412"/>
      <c r="T57" s="412"/>
      <c r="U57" s="437"/>
      <c r="V57" s="412"/>
      <c r="W57" s="412"/>
      <c r="X57" s="412"/>
      <c r="Y57" s="412"/>
      <c r="Z57" s="412"/>
      <c r="AA57" s="412"/>
      <c r="AB57" s="412"/>
      <c r="AC57" s="412"/>
      <c r="AD57" s="412"/>
      <c r="AE57" s="412"/>
      <c r="AF57" s="412"/>
      <c r="AG57" s="438"/>
      <c r="AH57" s="438"/>
      <c r="AI57" s="438"/>
      <c r="AJ57" s="438"/>
      <c r="AK57" s="438"/>
      <c r="AL57" s="438"/>
      <c r="AM57" s="439"/>
      <c r="AN57" s="440"/>
      <c r="AO57" s="327"/>
    </row>
    <row r="58" spans="1:41" s="5" customFormat="1">
      <c r="A58" s="397"/>
      <c r="B58" s="407"/>
      <c r="C58" s="411"/>
      <c r="D58" s="434"/>
      <c r="E58" s="434"/>
      <c r="F58" s="329"/>
      <c r="G58" s="329"/>
      <c r="H58" s="409"/>
      <c r="I58" s="436"/>
      <c r="J58" s="436"/>
      <c r="K58" s="436"/>
      <c r="L58" s="436"/>
      <c r="M58" s="436"/>
      <c r="N58" s="436"/>
      <c r="O58" s="436"/>
      <c r="P58" s="436"/>
      <c r="Q58" s="436"/>
      <c r="R58" s="437"/>
      <c r="S58" s="412"/>
      <c r="T58" s="412"/>
      <c r="U58" s="437"/>
      <c r="V58" s="412"/>
      <c r="W58" s="412"/>
      <c r="X58" s="412"/>
      <c r="Y58" s="412"/>
      <c r="Z58" s="412"/>
      <c r="AA58" s="412"/>
      <c r="AB58" s="412"/>
      <c r="AC58" s="412"/>
      <c r="AD58" s="412"/>
      <c r="AE58" s="412"/>
      <c r="AF58" s="412"/>
      <c r="AG58" s="438"/>
      <c r="AH58" s="438"/>
      <c r="AI58" s="438"/>
      <c r="AJ58" s="438"/>
      <c r="AK58" s="438"/>
      <c r="AL58" s="438"/>
      <c r="AM58" s="439"/>
      <c r="AN58" s="440"/>
      <c r="AO58" s="327"/>
    </row>
    <row r="59" spans="1:41">
      <c r="A59" s="595" t="s">
        <v>47</v>
      </c>
      <c r="B59" s="596"/>
      <c r="C59" s="596"/>
      <c r="D59" s="596"/>
      <c r="E59" s="596"/>
      <c r="F59" s="596"/>
      <c r="G59" s="657"/>
      <c r="H59" s="41">
        <f t="shared" ref="H59:AF59" si="12">SUM(H3:H58)</f>
        <v>726.75</v>
      </c>
      <c r="I59" s="41">
        <f t="shared" si="12"/>
        <v>752.58999999999992</v>
      </c>
      <c r="J59" s="41">
        <f t="shared" si="12"/>
        <v>36.337500000000006</v>
      </c>
      <c r="K59" s="41">
        <f t="shared" si="12"/>
        <v>36.337500000000006</v>
      </c>
      <c r="L59" s="41">
        <f t="shared" si="12"/>
        <v>7.2675000000000027</v>
      </c>
      <c r="M59" s="41">
        <f t="shared" si="12"/>
        <v>646.80749999999989</v>
      </c>
      <c r="N59" s="41">
        <f t="shared" si="12"/>
        <v>669.80509999999992</v>
      </c>
      <c r="O59" s="41">
        <f t="shared" si="12"/>
        <v>79.942499999999981</v>
      </c>
      <c r="P59" s="41">
        <f t="shared" si="12"/>
        <v>82.784899999999979</v>
      </c>
      <c r="Q59" s="41">
        <f t="shared" si="12"/>
        <v>7.4613000000000032</v>
      </c>
      <c r="R59" s="41">
        <f t="shared" si="12"/>
        <v>345.60999999999996</v>
      </c>
      <c r="S59" s="41">
        <f t="shared" si="12"/>
        <v>24.989999999999995</v>
      </c>
      <c r="T59" s="41">
        <f t="shared" si="12"/>
        <v>272.41820000000001</v>
      </c>
      <c r="U59" s="41">
        <f t="shared" si="12"/>
        <v>45.539999999999985</v>
      </c>
      <c r="V59" s="41">
        <f t="shared" si="12"/>
        <v>236.89</v>
      </c>
      <c r="W59" s="41">
        <f t="shared" si="12"/>
        <v>27.929999999999993</v>
      </c>
      <c r="X59" s="41">
        <f t="shared" si="12"/>
        <v>0</v>
      </c>
      <c r="Y59" s="41">
        <f t="shared" si="12"/>
        <v>9.69</v>
      </c>
      <c r="Z59" s="41">
        <f t="shared" si="12"/>
        <v>6.46</v>
      </c>
      <c r="AA59" s="41">
        <f t="shared" si="12"/>
        <v>4.92</v>
      </c>
      <c r="AB59" s="41">
        <f t="shared" si="12"/>
        <v>573.91</v>
      </c>
      <c r="AC59" s="41">
        <f t="shared" si="12"/>
        <v>67.619999999999976</v>
      </c>
      <c r="AD59" s="41">
        <f t="shared" si="12"/>
        <v>14.700000000000001</v>
      </c>
      <c r="AE59" s="41">
        <f t="shared" si="12"/>
        <v>22.32</v>
      </c>
      <c r="AF59" s="41">
        <f t="shared" si="12"/>
        <v>13.230000000000002</v>
      </c>
      <c r="AG59" s="322"/>
      <c r="AH59" s="41">
        <f>SUM(AH3:AH58)</f>
        <v>150</v>
      </c>
      <c r="AI59" s="41">
        <f>SUM(AI3:AI58)</f>
        <v>12</v>
      </c>
      <c r="AJ59" s="41"/>
      <c r="AK59" s="41"/>
      <c r="AL59" s="41">
        <f>SUM(AL3:AL58)</f>
        <v>0</v>
      </c>
      <c r="AM59" s="41">
        <f>SUM(AM3:AM58)</f>
        <v>72.149999999999991</v>
      </c>
      <c r="AN59" s="41">
        <f>SUM(AN3:AN58)</f>
        <v>1756.0781999999997</v>
      </c>
    </row>
    <row r="61" spans="1:41">
      <c r="R61" s="191" t="s">
        <v>488</v>
      </c>
      <c r="S61" s="192"/>
      <c r="T61" s="192"/>
      <c r="U61" s="192"/>
      <c r="V61" s="192"/>
      <c r="W61" s="192"/>
      <c r="X61" s="193"/>
      <c r="Y61" s="193"/>
      <c r="Z61" s="193"/>
      <c r="AA61" s="193"/>
      <c r="AB61" s="193"/>
      <c r="AC61" s="193"/>
      <c r="AD61" s="193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</row>
    <row r="62" spans="1:41" ht="15.75">
      <c r="B62" s="371" t="s">
        <v>513</v>
      </c>
      <c r="C62" s="372"/>
      <c r="D62" s="372"/>
      <c r="E62" s="372"/>
      <c r="R62" s="494"/>
      <c r="S62" s="194" t="s">
        <v>248</v>
      </c>
      <c r="T62" s="193"/>
      <c r="U62" s="193"/>
      <c r="V62" s="193"/>
      <c r="W62" s="193"/>
      <c r="X62" s="193"/>
      <c r="Y62" s="193"/>
      <c r="Z62" s="193"/>
      <c r="AA62" s="193"/>
      <c r="AB62" s="193"/>
      <c r="AC62" s="193"/>
      <c r="AD62" s="193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</row>
    <row r="63" spans="1:41">
      <c r="R63" s="494"/>
      <c r="S63" s="193"/>
      <c r="T63" s="191" t="s">
        <v>249</v>
      </c>
      <c r="U63" s="193"/>
      <c r="V63" s="193"/>
      <c r="W63" s="193"/>
      <c r="X63" s="193"/>
      <c r="Y63" s="193"/>
      <c r="Z63" s="193"/>
      <c r="AA63" s="193"/>
      <c r="AB63" s="193"/>
      <c r="AC63" s="193"/>
      <c r="AD63" s="193"/>
      <c r="AE63" s="104"/>
      <c r="AF63" s="104"/>
      <c r="AG63" s="104"/>
      <c r="AH63" s="104"/>
      <c r="AI63" s="104"/>
      <c r="AJ63" s="104"/>
      <c r="AK63" s="104"/>
      <c r="AL63" s="104"/>
      <c r="AM63" s="104"/>
      <c r="AN63" s="104"/>
    </row>
    <row r="64" spans="1:41">
      <c r="R64" s="494"/>
      <c r="S64" s="193"/>
      <c r="T64" s="193"/>
      <c r="U64" s="194" t="s">
        <v>250</v>
      </c>
      <c r="V64" s="193"/>
      <c r="W64" s="193"/>
      <c r="X64" s="193"/>
      <c r="Y64" s="193"/>
      <c r="Z64" s="193"/>
      <c r="AA64" s="193"/>
      <c r="AB64" s="193"/>
      <c r="AC64" s="193"/>
      <c r="AD64" s="193"/>
      <c r="AE64" s="104"/>
      <c r="AF64" s="104"/>
      <c r="AG64" s="104"/>
      <c r="AH64" s="104"/>
      <c r="AI64" s="104"/>
      <c r="AJ64" s="104"/>
      <c r="AK64" s="104"/>
      <c r="AL64" s="104"/>
      <c r="AM64" s="104"/>
      <c r="AN64" s="104"/>
    </row>
    <row r="65" spans="2:41">
      <c r="R65" s="494"/>
      <c r="S65" s="193"/>
      <c r="T65" s="193"/>
      <c r="U65" s="193"/>
      <c r="V65" s="191" t="s">
        <v>286</v>
      </c>
      <c r="W65" s="193"/>
      <c r="X65" s="193"/>
      <c r="Y65" s="193"/>
      <c r="Z65" s="193"/>
      <c r="AA65" s="193"/>
      <c r="AB65" s="193"/>
      <c r="AC65" s="193"/>
      <c r="AD65" s="193"/>
      <c r="AE65" s="193"/>
      <c r="AF65" s="193"/>
      <c r="AG65" s="193"/>
      <c r="AH65" s="193"/>
      <c r="AI65" s="193"/>
      <c r="AJ65" s="193"/>
      <c r="AK65" s="193"/>
      <c r="AL65" s="193"/>
      <c r="AM65" s="104"/>
      <c r="AN65" s="104"/>
    </row>
    <row r="66" spans="2:41">
      <c r="R66" s="494"/>
      <c r="S66" s="193"/>
      <c r="T66" s="193"/>
      <c r="U66" s="193"/>
      <c r="V66" s="193"/>
      <c r="W66" s="194" t="s">
        <v>251</v>
      </c>
      <c r="X66" s="193"/>
      <c r="Y66" s="193"/>
      <c r="Z66" s="193"/>
      <c r="AA66" s="193"/>
      <c r="AB66" s="193"/>
      <c r="AC66" s="193"/>
      <c r="AD66" s="193"/>
      <c r="AE66" s="193"/>
      <c r="AF66" s="193"/>
      <c r="AG66" s="193"/>
      <c r="AH66" s="193"/>
      <c r="AI66" s="193"/>
      <c r="AJ66" s="193"/>
      <c r="AK66" s="193"/>
      <c r="AL66" s="193"/>
      <c r="AM66" s="104"/>
      <c r="AN66" s="104"/>
    </row>
    <row r="67" spans="2:41">
      <c r="R67" s="494"/>
      <c r="S67" s="193"/>
      <c r="T67" s="193"/>
      <c r="U67" s="193"/>
      <c r="V67" s="193"/>
      <c r="W67" s="193"/>
      <c r="X67" s="191" t="s">
        <v>252</v>
      </c>
      <c r="Y67" s="191"/>
      <c r="Z67" s="193"/>
      <c r="AA67" s="193"/>
      <c r="AB67" s="193"/>
      <c r="AC67" s="193"/>
      <c r="AD67" s="193"/>
      <c r="AE67" s="193"/>
      <c r="AF67" s="193"/>
      <c r="AG67" s="193"/>
      <c r="AH67" s="193"/>
      <c r="AI67" s="193"/>
      <c r="AJ67" s="193"/>
      <c r="AK67" s="193"/>
      <c r="AL67" s="193"/>
      <c r="AM67" s="104"/>
      <c r="AN67" s="104"/>
    </row>
    <row r="68" spans="2:41">
      <c r="R68" s="494"/>
      <c r="S68" s="193"/>
      <c r="T68" s="193"/>
      <c r="U68" s="193"/>
      <c r="V68" s="193"/>
      <c r="W68" s="193"/>
      <c r="X68" s="193"/>
      <c r="Y68" s="194" t="s">
        <v>287</v>
      </c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04"/>
      <c r="AN68" s="104"/>
    </row>
    <row r="69" spans="2:41">
      <c r="B69" s="158"/>
      <c r="R69" s="494"/>
      <c r="S69" s="193"/>
      <c r="T69" s="193"/>
      <c r="U69" s="193"/>
      <c r="V69" s="193"/>
      <c r="W69" s="193"/>
      <c r="X69" s="193"/>
      <c r="Y69" s="193"/>
      <c r="Z69" s="191" t="s">
        <v>253</v>
      </c>
      <c r="AA69" s="194"/>
      <c r="AB69" s="193"/>
      <c r="AC69" s="193"/>
      <c r="AD69" s="193"/>
      <c r="AE69" s="193"/>
      <c r="AF69" s="193"/>
      <c r="AG69" s="193"/>
      <c r="AH69" s="193"/>
      <c r="AI69" s="193"/>
      <c r="AJ69" s="193"/>
      <c r="AK69" s="193"/>
      <c r="AL69" s="193"/>
      <c r="AM69" s="104"/>
      <c r="AN69" s="104"/>
      <c r="AO69" s="190"/>
    </row>
    <row r="70" spans="2:41">
      <c r="B70" s="159"/>
      <c r="R70" s="494"/>
      <c r="S70" s="193"/>
      <c r="T70" s="193"/>
      <c r="U70" s="193"/>
      <c r="V70" s="193"/>
      <c r="W70" s="193"/>
      <c r="X70" s="193"/>
      <c r="Y70" s="193"/>
      <c r="Z70" s="194"/>
      <c r="AA70" s="194" t="s">
        <v>288</v>
      </c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04"/>
      <c r="AN70" s="104"/>
      <c r="AO70" s="190"/>
    </row>
    <row r="71" spans="2:41">
      <c r="R71" s="494"/>
      <c r="S71" s="193"/>
      <c r="T71" s="193"/>
      <c r="U71" s="193"/>
      <c r="V71" s="193"/>
      <c r="W71" s="193"/>
      <c r="X71" s="193"/>
      <c r="Y71" s="193"/>
      <c r="Z71" s="193"/>
      <c r="AA71" s="193"/>
      <c r="AB71" s="191" t="s">
        <v>254</v>
      </c>
      <c r="AC71" s="193"/>
      <c r="AD71" s="193"/>
      <c r="AE71" s="193"/>
      <c r="AF71" s="193"/>
      <c r="AG71" s="193"/>
      <c r="AH71" s="193"/>
      <c r="AI71" s="193"/>
      <c r="AJ71" s="193"/>
      <c r="AK71" s="193"/>
      <c r="AL71" s="193"/>
      <c r="AM71" s="104"/>
      <c r="AN71" s="194"/>
    </row>
    <row r="72" spans="2:41">
      <c r="R72" s="494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4" t="s">
        <v>255</v>
      </c>
      <c r="AD72" s="193"/>
      <c r="AE72" s="193"/>
      <c r="AF72" s="193"/>
      <c r="AG72" s="193"/>
      <c r="AH72" s="193"/>
      <c r="AI72" s="193"/>
      <c r="AJ72" s="193"/>
      <c r="AK72" s="193"/>
      <c r="AL72" s="193"/>
      <c r="AM72" s="104"/>
      <c r="AN72" s="104"/>
    </row>
    <row r="73" spans="2:41">
      <c r="R73" s="494"/>
      <c r="S73" s="193"/>
      <c r="T73" s="193"/>
      <c r="U73" s="193"/>
      <c r="V73" s="193"/>
      <c r="W73" s="193"/>
      <c r="X73" s="193"/>
      <c r="Y73" s="193"/>
      <c r="Z73" s="193"/>
      <c r="AA73" s="193"/>
      <c r="AB73" s="193"/>
      <c r="AC73" s="193"/>
      <c r="AD73" s="191" t="s">
        <v>305</v>
      </c>
      <c r="AE73" s="195"/>
      <c r="AF73" s="195"/>
      <c r="AG73" s="195"/>
      <c r="AH73" s="195"/>
      <c r="AI73" s="195"/>
      <c r="AJ73" s="195"/>
      <c r="AK73" s="195"/>
      <c r="AL73" s="195"/>
      <c r="AM73" s="194"/>
    </row>
    <row r="74" spans="2:41">
      <c r="R74" s="495"/>
      <c r="S74" s="104"/>
      <c r="T74" s="104"/>
      <c r="U74" s="104"/>
      <c r="V74" s="193"/>
      <c r="W74" s="193"/>
      <c r="X74" s="193"/>
      <c r="Y74" s="193"/>
      <c r="Z74" s="193"/>
      <c r="AA74" s="193"/>
      <c r="AB74" s="193"/>
      <c r="AC74" s="193"/>
      <c r="AD74" s="193"/>
      <c r="AE74" s="191" t="s">
        <v>306</v>
      </c>
      <c r="AF74" s="194"/>
      <c r="AG74" s="194"/>
      <c r="AH74" s="194"/>
      <c r="AI74" s="194"/>
      <c r="AJ74" s="194"/>
      <c r="AK74" s="194"/>
      <c r="AL74" s="194"/>
      <c r="AM74" s="104"/>
    </row>
    <row r="75" spans="2:41">
      <c r="R75" s="2"/>
      <c r="S75" s="2"/>
      <c r="T75" s="2"/>
      <c r="U75" s="2"/>
      <c r="AF75" s="194" t="s">
        <v>307</v>
      </c>
      <c r="AG75" s="195"/>
      <c r="AH75" s="195"/>
      <c r="AI75" s="195"/>
      <c r="AJ75" s="195"/>
      <c r="AK75" s="195"/>
    </row>
    <row r="76" spans="2:41">
      <c r="AF76" s="193"/>
      <c r="AG76" s="323" t="s">
        <v>308</v>
      </c>
      <c r="AH76" s="323"/>
      <c r="AI76" s="323"/>
      <c r="AJ76" s="323"/>
      <c r="AK76" s="323"/>
      <c r="AL76" s="323"/>
    </row>
    <row r="77" spans="2:41">
      <c r="AG77" s="193"/>
      <c r="AH77" s="191" t="s">
        <v>494</v>
      </c>
      <c r="AI77" s="193"/>
      <c r="AJ77" s="193"/>
      <c r="AK77" s="193"/>
      <c r="AL77" s="194"/>
    </row>
    <row r="78" spans="2:41">
      <c r="AI78" s="194" t="s">
        <v>491</v>
      </c>
      <c r="AJ78" s="194"/>
      <c r="AK78" s="194"/>
    </row>
    <row r="79" spans="2:41">
      <c r="AJ79" s="191" t="s">
        <v>492</v>
      </c>
      <c r="AK79" s="193"/>
    </row>
    <row r="80" spans="2:41">
      <c r="AK80" s="194" t="s">
        <v>493</v>
      </c>
    </row>
    <row r="82" spans="2:42">
      <c r="B82" s="255" t="s">
        <v>613</v>
      </c>
      <c r="H82" s="583">
        <f>H59-I59</f>
        <v>-25.839999999999918</v>
      </c>
      <c r="R82" s="497"/>
      <c r="S82" s="381"/>
      <c r="T82" s="381"/>
      <c r="U82" s="381"/>
      <c r="V82" s="381"/>
      <c r="W82" s="381"/>
      <c r="X82" s="381">
        <f t="shared" ref="X82:Z82" si="13">X59</f>
        <v>0</v>
      </c>
      <c r="Y82" s="381"/>
      <c r="Z82" s="381">
        <f t="shared" si="13"/>
        <v>6.46</v>
      </c>
      <c r="AA82" s="381"/>
      <c r="AB82" s="381"/>
      <c r="AC82" s="381"/>
      <c r="AD82" s="381"/>
      <c r="AE82" s="381"/>
      <c r="AF82" s="381"/>
      <c r="AG82" s="381"/>
      <c r="AH82" s="381"/>
      <c r="AI82" s="381"/>
      <c r="AJ82" s="381"/>
      <c r="AK82" s="381"/>
      <c r="AL82" s="381"/>
      <c r="AM82" s="383"/>
      <c r="AN82" s="381">
        <f>SUM(X82:Z82)</f>
        <v>6.46</v>
      </c>
      <c r="AO82" s="98" t="s">
        <v>534</v>
      </c>
      <c r="AP82" s="385">
        <f>H82+AM82+AN82</f>
        <v>-19.379999999999917</v>
      </c>
    </row>
    <row r="83" spans="2:42">
      <c r="B83" s="254" t="s">
        <v>614</v>
      </c>
      <c r="H83" s="4"/>
      <c r="R83" s="498">
        <f>R59</f>
        <v>345.60999999999996</v>
      </c>
      <c r="S83" s="382">
        <f t="shared" ref="S83:AL83" si="14">S59</f>
        <v>24.989999999999995</v>
      </c>
      <c r="T83" s="382">
        <f t="shared" si="14"/>
        <v>272.41820000000001</v>
      </c>
      <c r="U83" s="382">
        <f t="shared" si="14"/>
        <v>45.539999999999985</v>
      </c>
      <c r="V83" s="382">
        <f t="shared" si="14"/>
        <v>236.89</v>
      </c>
      <c r="W83" s="382">
        <f t="shared" si="14"/>
        <v>27.929999999999993</v>
      </c>
      <c r="X83" s="382">
        <f t="shared" si="14"/>
        <v>0</v>
      </c>
      <c r="Y83" s="382">
        <f t="shared" si="14"/>
        <v>9.69</v>
      </c>
      <c r="Z83" s="382">
        <f t="shared" si="14"/>
        <v>6.46</v>
      </c>
      <c r="AA83" s="382">
        <f t="shared" si="14"/>
        <v>4.92</v>
      </c>
      <c r="AB83" s="382">
        <f t="shared" si="14"/>
        <v>573.91</v>
      </c>
      <c r="AC83" s="382">
        <f t="shared" si="14"/>
        <v>67.619999999999976</v>
      </c>
      <c r="AD83" s="382">
        <f t="shared" si="14"/>
        <v>14.700000000000001</v>
      </c>
      <c r="AE83" s="382">
        <f t="shared" si="14"/>
        <v>22.32</v>
      </c>
      <c r="AF83" s="382">
        <f t="shared" si="14"/>
        <v>13.230000000000002</v>
      </c>
      <c r="AG83" s="382">
        <f t="shared" si="14"/>
        <v>0</v>
      </c>
      <c r="AH83" s="382">
        <f t="shared" si="14"/>
        <v>150</v>
      </c>
      <c r="AI83" s="382">
        <f t="shared" si="14"/>
        <v>12</v>
      </c>
      <c r="AJ83" s="382">
        <f t="shared" si="14"/>
        <v>0</v>
      </c>
      <c r="AK83" s="382">
        <f t="shared" si="14"/>
        <v>0</v>
      </c>
      <c r="AL83" s="382">
        <f t="shared" si="14"/>
        <v>0</v>
      </c>
      <c r="AM83" s="382">
        <f>AM59</f>
        <v>72.149999999999991</v>
      </c>
      <c r="AN83" s="382">
        <f>AN59-AN82</f>
        <v>1749.6181999999997</v>
      </c>
      <c r="AO83" s="98" t="s">
        <v>534</v>
      </c>
      <c r="AP83" s="386">
        <f>H83+AM83+AN83</f>
        <v>1821.7681999999998</v>
      </c>
    </row>
  </sheetData>
  <mergeCells count="10">
    <mergeCell ref="A59:G59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72"/>
  <sheetViews>
    <sheetView topLeftCell="O1" workbookViewId="0">
      <pane ySplit="2" topLeftCell="A33" activePane="bottomLeft" state="frozen"/>
      <selection pane="bottomLeft" activeCell="O62" sqref="O62"/>
    </sheetView>
  </sheetViews>
  <sheetFormatPr defaultRowHeight="11.25"/>
  <cols>
    <col min="1" max="1" width="7.5703125" style="8" bestFit="1" customWidth="1"/>
    <col min="2" max="2" width="69.5703125" style="109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10.7109375" style="3" customWidth="1"/>
    <col min="35" max="35" width="6" style="3" bestFit="1" customWidth="1"/>
    <col min="36" max="36" width="4.42578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80" customFormat="1" ht="15.75" customHeight="1">
      <c r="A1" s="675" t="s">
        <v>31</v>
      </c>
      <c r="B1" s="676"/>
      <c r="C1" s="676"/>
      <c r="D1" s="677"/>
      <c r="E1" s="679" t="s">
        <v>515</v>
      </c>
      <c r="F1" s="680"/>
      <c r="G1" s="680"/>
      <c r="H1" s="680"/>
      <c r="I1" s="680"/>
      <c r="J1" s="680"/>
      <c r="K1" s="680"/>
      <c r="L1" s="680"/>
      <c r="M1" s="680"/>
      <c r="N1" s="680"/>
      <c r="O1" s="680"/>
      <c r="P1" s="680"/>
      <c r="Q1" s="680"/>
      <c r="R1" s="680"/>
      <c r="S1" s="680"/>
      <c r="T1" s="681" t="s">
        <v>71</v>
      </c>
      <c r="U1" s="690" t="s">
        <v>178</v>
      </c>
      <c r="V1" s="675" t="s">
        <v>13</v>
      </c>
      <c r="W1" s="676"/>
      <c r="X1" s="676"/>
      <c r="Y1" s="676"/>
      <c r="Z1" s="676"/>
      <c r="AA1" s="676"/>
      <c r="AB1" s="676"/>
      <c r="AC1" s="676"/>
      <c r="AD1" s="676"/>
      <c r="AE1" s="677"/>
      <c r="AF1" s="678" t="s">
        <v>14</v>
      </c>
      <c r="AG1" s="678"/>
      <c r="AH1" s="678"/>
      <c r="AI1" s="678"/>
      <c r="AJ1" s="678"/>
      <c r="AK1" s="678"/>
      <c r="AL1" s="678"/>
      <c r="AM1" s="678"/>
      <c r="AN1" s="678"/>
      <c r="AO1" s="675" t="s">
        <v>15</v>
      </c>
      <c r="AP1" s="676"/>
      <c r="AQ1" s="676"/>
      <c r="AR1" s="676"/>
      <c r="AS1" s="676"/>
      <c r="AT1" s="676"/>
      <c r="AU1" s="676"/>
      <c r="AV1" s="676"/>
      <c r="AW1" s="676"/>
      <c r="AX1" s="677"/>
      <c r="AY1" s="692" t="s">
        <v>16</v>
      </c>
      <c r="AZ1" s="692"/>
      <c r="BA1" s="692"/>
      <c r="BB1" s="692"/>
      <c r="BC1" s="692"/>
      <c r="BD1" s="692"/>
      <c r="BE1" s="692"/>
      <c r="BF1" s="692"/>
      <c r="BG1" s="693" t="s">
        <v>17</v>
      </c>
      <c r="BH1" s="694"/>
      <c r="BI1" s="694"/>
      <c r="BJ1" s="694"/>
      <c r="BK1" s="695"/>
    </row>
    <row r="2" spans="1:63" s="4" customFormat="1" ht="34.5" thickBot="1">
      <c r="A2" s="95" t="s">
        <v>19</v>
      </c>
      <c r="B2" s="108" t="s">
        <v>0</v>
      </c>
      <c r="C2" s="81" t="s">
        <v>11</v>
      </c>
      <c r="D2" s="82" t="s">
        <v>12</v>
      </c>
      <c r="E2" s="63" t="s">
        <v>72</v>
      </c>
      <c r="F2" s="44" t="s">
        <v>73</v>
      </c>
      <c r="G2" s="44" t="s">
        <v>280</v>
      </c>
      <c r="H2" s="260" t="s">
        <v>281</v>
      </c>
      <c r="I2" s="44" t="s">
        <v>74</v>
      </c>
      <c r="J2" s="687" t="s">
        <v>29</v>
      </c>
      <c r="K2" s="688"/>
      <c r="L2" s="689"/>
      <c r="M2" s="44" t="s">
        <v>170</v>
      </c>
      <c r="N2" s="44" t="s">
        <v>171</v>
      </c>
      <c r="O2" s="44" t="s">
        <v>101</v>
      </c>
      <c r="P2" s="44" t="s">
        <v>533</v>
      </c>
      <c r="Q2" s="44" t="s">
        <v>177</v>
      </c>
      <c r="R2" s="113" t="s">
        <v>107</v>
      </c>
      <c r="S2" s="138" t="s">
        <v>106</v>
      </c>
      <c r="T2" s="682"/>
      <c r="U2" s="691"/>
      <c r="V2" s="63" t="s">
        <v>32</v>
      </c>
      <c r="W2" s="63" t="s">
        <v>19</v>
      </c>
      <c r="X2" s="44" t="s">
        <v>20</v>
      </c>
      <c r="Y2" s="10" t="s">
        <v>21</v>
      </c>
      <c r="Z2" s="10" t="s">
        <v>22</v>
      </c>
      <c r="AA2" s="44" t="s">
        <v>23</v>
      </c>
      <c r="AB2" s="44" t="s">
        <v>24</v>
      </c>
      <c r="AC2" s="44" t="s">
        <v>25</v>
      </c>
      <c r="AD2" s="683" t="s">
        <v>29</v>
      </c>
      <c r="AE2" s="684"/>
      <c r="AF2" s="63" t="s">
        <v>28</v>
      </c>
      <c r="AG2" s="63" t="s">
        <v>19</v>
      </c>
      <c r="AH2" s="44" t="s">
        <v>20</v>
      </c>
      <c r="AI2" s="10" t="s">
        <v>27</v>
      </c>
      <c r="AJ2" s="10" t="s">
        <v>19</v>
      </c>
      <c r="AK2" s="86" t="s">
        <v>75</v>
      </c>
      <c r="AL2" s="86" t="s">
        <v>76</v>
      </c>
      <c r="AM2" s="685" t="s">
        <v>29</v>
      </c>
      <c r="AN2" s="686"/>
      <c r="AO2" s="63" t="s">
        <v>18</v>
      </c>
      <c r="AP2" s="63" t="s">
        <v>19</v>
      </c>
      <c r="AQ2" s="44" t="s">
        <v>20</v>
      </c>
      <c r="AR2" s="10" t="s">
        <v>21</v>
      </c>
      <c r="AS2" s="10" t="s">
        <v>22</v>
      </c>
      <c r="AT2" s="44" t="s">
        <v>23</v>
      </c>
      <c r="AU2" s="44" t="s">
        <v>24</v>
      </c>
      <c r="AV2" s="44" t="s">
        <v>25</v>
      </c>
      <c r="AW2" s="683" t="s">
        <v>29</v>
      </c>
      <c r="AX2" s="684"/>
      <c r="AY2" s="63" t="s">
        <v>18</v>
      </c>
      <c r="AZ2" s="44" t="s">
        <v>19</v>
      </c>
      <c r="BA2" s="44" t="s">
        <v>20</v>
      </c>
      <c r="BB2" s="44" t="s">
        <v>26</v>
      </c>
      <c r="BC2" s="10" t="s">
        <v>27</v>
      </c>
      <c r="BD2" s="10" t="s">
        <v>19</v>
      </c>
      <c r="BE2" s="44" t="s">
        <v>28</v>
      </c>
      <c r="BF2" s="45" t="s">
        <v>29</v>
      </c>
      <c r="BG2" s="64" t="s">
        <v>30</v>
      </c>
      <c r="BH2" s="64" t="s">
        <v>19</v>
      </c>
      <c r="BI2" s="65" t="s">
        <v>18</v>
      </c>
      <c r="BJ2" s="683" t="s">
        <v>29</v>
      </c>
      <c r="BK2" s="684"/>
    </row>
    <row r="3" spans="1:63" s="222" customFormat="1">
      <c r="A3" s="448">
        <f>'1-συμβολαια'!A3</f>
        <v>4600</v>
      </c>
      <c r="B3" s="443" t="str">
        <f>'1-συμβολαια'!C3</f>
        <v>δωρεά</v>
      </c>
      <c r="C3" s="324">
        <f>'4-πολλυπρ'!D3</f>
        <v>0</v>
      </c>
      <c r="D3" s="324">
        <f>'4-πολλυπρ'!I3</f>
        <v>0</v>
      </c>
      <c r="E3" s="324">
        <v>1</v>
      </c>
      <c r="F3" s="411">
        <f>E3*3.23</f>
        <v>3.23</v>
      </c>
      <c r="G3" s="411">
        <v>5.87</v>
      </c>
      <c r="H3" s="261"/>
      <c r="I3" s="411">
        <f>F3+G3+H3</f>
        <v>9.1</v>
      </c>
      <c r="J3" s="330" t="s">
        <v>530</v>
      </c>
      <c r="K3" s="444" t="s">
        <v>176</v>
      </c>
      <c r="L3" s="444"/>
      <c r="M3" s="411">
        <v>5.87</v>
      </c>
      <c r="N3" s="411">
        <v>5.87</v>
      </c>
      <c r="O3" s="411">
        <v>1.98</v>
      </c>
      <c r="P3" s="411"/>
      <c r="Q3" s="411">
        <f>M3+N3</f>
        <v>11.74</v>
      </c>
      <c r="R3" s="324"/>
      <c r="S3" s="324"/>
      <c r="T3" s="324"/>
      <c r="U3" s="324"/>
      <c r="V3" s="445"/>
      <c r="W3" s="442"/>
      <c r="X3" s="446" t="s">
        <v>433</v>
      </c>
      <c r="Y3" s="446"/>
      <c r="Z3" s="446" t="s">
        <v>9</v>
      </c>
      <c r="AA3" s="447"/>
      <c r="AB3" s="446"/>
      <c r="AC3" s="446"/>
      <c r="AD3" s="446"/>
      <c r="AE3" s="442"/>
      <c r="AF3" s="445">
        <v>38435</v>
      </c>
      <c r="AG3" s="442">
        <v>2317</v>
      </c>
      <c r="AH3" s="442" t="s">
        <v>433</v>
      </c>
      <c r="AI3" s="442">
        <v>404</v>
      </c>
      <c r="AJ3" s="442">
        <v>19</v>
      </c>
      <c r="AK3" s="442">
        <v>1</v>
      </c>
      <c r="AL3" s="442"/>
      <c r="AM3" s="442"/>
      <c r="AN3" s="442"/>
      <c r="AO3" s="442"/>
      <c r="AP3" s="442"/>
      <c r="AQ3" s="446" t="s">
        <v>433</v>
      </c>
      <c r="AR3" s="90"/>
      <c r="AS3" s="446" t="s">
        <v>9</v>
      </c>
      <c r="AT3" s="442"/>
      <c r="AU3" s="442"/>
      <c r="AV3" s="442"/>
      <c r="AW3" s="442"/>
      <c r="AX3" s="445"/>
      <c r="AY3" s="442"/>
      <c r="AZ3" s="442"/>
      <c r="BA3" s="442"/>
      <c r="BB3" s="447"/>
      <c r="BC3" s="447"/>
      <c r="BD3" s="447"/>
      <c r="BE3" s="447"/>
      <c r="BF3" s="447"/>
      <c r="BG3" s="442"/>
      <c r="BH3" s="442"/>
      <c r="BI3" s="445"/>
      <c r="BJ3" s="447"/>
      <c r="BK3" s="447"/>
    </row>
    <row r="4" spans="1:63" s="222" customFormat="1">
      <c r="A4" s="448">
        <f>'1-συμβολαια'!A4</f>
        <v>0</v>
      </c>
      <c r="B4" s="443" t="str">
        <f>'1-συμβολαια'!C4</f>
        <v>ΧΡΗΣΙΚΤΗΣΙΑ οικοπέδου &amp; οικίας = 1930 πατρός ΔΩΡΕΑ άτυπη</v>
      </c>
      <c r="C4" s="324">
        <f>'4-πολλυπρ'!D4</f>
        <v>0</v>
      </c>
      <c r="D4" s="324">
        <f>'4-πολλυπρ'!I4</f>
        <v>0</v>
      </c>
      <c r="E4" s="324"/>
      <c r="F4" s="411"/>
      <c r="G4" s="411"/>
      <c r="H4" s="261"/>
      <c r="I4" s="411">
        <f t="shared" ref="I4:I55" si="0">F4+G4+H4</f>
        <v>0</v>
      </c>
      <c r="J4" s="330"/>
      <c r="K4" s="444"/>
      <c r="L4" s="444"/>
      <c r="M4" s="411"/>
      <c r="N4" s="411"/>
      <c r="O4" s="411"/>
      <c r="P4" s="411"/>
      <c r="Q4" s="411">
        <f t="shared" ref="Q4:Q55" si="1">M4+N4</f>
        <v>0</v>
      </c>
      <c r="R4" s="324"/>
      <c r="S4" s="324"/>
      <c r="T4" s="324"/>
      <c r="U4" s="324"/>
      <c r="V4" s="445"/>
      <c r="W4" s="442"/>
      <c r="X4" s="446" t="s">
        <v>433</v>
      </c>
      <c r="Y4" s="446"/>
      <c r="Z4" s="446" t="s">
        <v>9</v>
      </c>
      <c r="AA4" s="447"/>
      <c r="AB4" s="446"/>
      <c r="AC4" s="446"/>
      <c r="AD4" s="446"/>
      <c r="AE4" s="442"/>
      <c r="AF4" s="445"/>
      <c r="AG4" s="442"/>
      <c r="AH4" s="442"/>
      <c r="AI4" s="442"/>
      <c r="AJ4" s="442"/>
      <c r="AK4" s="442"/>
      <c r="AL4" s="442"/>
      <c r="AM4" s="442"/>
      <c r="AN4" s="442"/>
      <c r="AO4" s="442"/>
      <c r="AP4" s="442"/>
      <c r="AQ4" s="446" t="s">
        <v>433</v>
      </c>
      <c r="AR4" s="442"/>
      <c r="AS4" s="446" t="s">
        <v>9</v>
      </c>
      <c r="AT4" s="442"/>
      <c r="AU4" s="442"/>
      <c r="AV4" s="442"/>
      <c r="AW4" s="442"/>
      <c r="AX4" s="445"/>
      <c r="AY4" s="442"/>
      <c r="AZ4" s="442"/>
      <c r="BA4" s="442"/>
      <c r="BB4" s="447"/>
      <c r="BC4" s="447"/>
      <c r="BD4" s="447"/>
      <c r="BE4" s="447"/>
      <c r="BF4" s="447"/>
      <c r="BG4" s="442"/>
      <c r="BH4" s="442"/>
      <c r="BI4" s="445"/>
      <c r="BJ4" s="447"/>
      <c r="BK4" s="447"/>
    </row>
    <row r="5" spans="1:63" s="222" customFormat="1">
      <c r="A5" s="442">
        <f>'1-συμβολαια'!A5</f>
        <v>4601</v>
      </c>
      <c r="B5" s="443" t="str">
        <f>'1-συμβολαια'!C5</f>
        <v>αγοραπωλησίας 13.835κ ΕΞΟΦΛΗΣΗ</v>
      </c>
      <c r="C5" s="324">
        <f>'4-πολλυπρ'!D5</f>
        <v>0</v>
      </c>
      <c r="D5" s="324">
        <f>'4-πολλυπρ'!I5</f>
        <v>0</v>
      </c>
      <c r="E5" s="324">
        <v>1</v>
      </c>
      <c r="F5" s="411">
        <f t="shared" ref="F5:F51" si="2">E5*3.23</f>
        <v>3.23</v>
      </c>
      <c r="G5" s="411">
        <v>5.87</v>
      </c>
      <c r="H5" s="261"/>
      <c r="I5" s="411">
        <f t="shared" si="0"/>
        <v>9.1</v>
      </c>
      <c r="J5" s="330" t="s">
        <v>530</v>
      </c>
      <c r="K5" s="444" t="s">
        <v>176</v>
      </c>
      <c r="L5" s="444"/>
      <c r="M5" s="411">
        <v>5.87</v>
      </c>
      <c r="N5" s="411">
        <v>5.87</v>
      </c>
      <c r="O5" s="411">
        <v>1.98</v>
      </c>
      <c r="P5" s="411"/>
      <c r="Q5" s="411">
        <f t="shared" si="1"/>
        <v>11.74</v>
      </c>
      <c r="R5" s="324"/>
      <c r="S5" s="324"/>
      <c r="T5" s="514" t="s">
        <v>567</v>
      </c>
      <c r="U5" s="324"/>
      <c r="V5" s="445"/>
      <c r="W5" s="442"/>
      <c r="X5" s="446" t="s">
        <v>433</v>
      </c>
      <c r="Y5" s="446"/>
      <c r="Z5" s="446" t="s">
        <v>9</v>
      </c>
      <c r="AA5" s="447"/>
      <c r="AB5" s="446"/>
      <c r="AC5" s="446"/>
      <c r="AD5" s="446"/>
      <c r="AE5" s="442"/>
      <c r="AF5" s="445"/>
      <c r="AG5" s="442"/>
      <c r="AH5" s="442"/>
      <c r="AI5" s="442"/>
      <c r="AJ5" s="442"/>
      <c r="AK5" s="442"/>
      <c r="AL5" s="442"/>
      <c r="AM5" s="442"/>
      <c r="AN5" s="442"/>
      <c r="AO5" s="442"/>
      <c r="AP5" s="442"/>
      <c r="AQ5" s="446" t="s">
        <v>433</v>
      </c>
      <c r="AR5" s="442"/>
      <c r="AS5" s="446" t="s">
        <v>9</v>
      </c>
      <c r="AT5" s="442"/>
      <c r="AU5" s="442"/>
      <c r="AV5" s="442"/>
      <c r="AW5" s="442"/>
      <c r="AX5" s="445"/>
      <c r="AY5" s="442"/>
      <c r="AZ5" s="442"/>
      <c r="BA5" s="442"/>
      <c r="BB5" s="447"/>
      <c r="BC5" s="447"/>
      <c r="BD5" s="447"/>
      <c r="BE5" s="447"/>
      <c r="BF5" s="447"/>
      <c r="BG5" s="442"/>
      <c r="BH5" s="442"/>
      <c r="BI5" s="445"/>
      <c r="BJ5" s="447"/>
      <c r="BK5" s="447"/>
    </row>
    <row r="6" spans="1:63" s="222" customFormat="1">
      <c r="A6" s="448">
        <f>'1-συμβολαια'!A6</f>
        <v>4602</v>
      </c>
      <c r="B6" s="443" t="str">
        <f>'1-συμβολαια'!C6</f>
        <v>κληρονομιάς ΑΠΟΔΟΧΗ</v>
      </c>
      <c r="C6" s="324">
        <f>'4-πολλυπρ'!D6</f>
        <v>0</v>
      </c>
      <c r="D6" s="324">
        <f>'4-πολλυπρ'!I6</f>
        <v>0</v>
      </c>
      <c r="E6" s="324">
        <v>1</v>
      </c>
      <c r="F6" s="411">
        <f t="shared" si="2"/>
        <v>3.23</v>
      </c>
      <c r="G6" s="411">
        <v>5.87</v>
      </c>
      <c r="H6" s="261"/>
      <c r="I6" s="411">
        <f t="shared" si="0"/>
        <v>9.1</v>
      </c>
      <c r="J6" s="330" t="s">
        <v>530</v>
      </c>
      <c r="K6" s="444" t="s">
        <v>176</v>
      </c>
      <c r="L6" s="444"/>
      <c r="M6" s="411">
        <v>5.87</v>
      </c>
      <c r="N6" s="411">
        <v>5.87</v>
      </c>
      <c r="O6" s="411">
        <v>1.98</v>
      </c>
      <c r="P6" s="411"/>
      <c r="Q6" s="411">
        <f t="shared" si="1"/>
        <v>11.74</v>
      </c>
      <c r="R6" s="324"/>
      <c r="S6" s="324"/>
      <c r="T6" s="514" t="s">
        <v>567</v>
      </c>
      <c r="U6" s="324"/>
      <c r="V6" s="445"/>
      <c r="W6" s="442"/>
      <c r="X6" s="446" t="s">
        <v>433</v>
      </c>
      <c r="Y6" s="446"/>
      <c r="Z6" s="446" t="s">
        <v>9</v>
      </c>
      <c r="AA6" s="447"/>
      <c r="AB6" s="446"/>
      <c r="AC6" s="446"/>
      <c r="AD6" s="446"/>
      <c r="AE6" s="442"/>
      <c r="AF6" s="445"/>
      <c r="AG6" s="442"/>
      <c r="AH6" s="442"/>
      <c r="AI6" s="442"/>
      <c r="AJ6" s="442"/>
      <c r="AK6" s="442"/>
      <c r="AL6" s="442"/>
      <c r="AM6" s="442"/>
      <c r="AN6" s="442"/>
      <c r="AO6" s="442"/>
      <c r="AP6" s="442"/>
      <c r="AQ6" s="446" t="s">
        <v>433</v>
      </c>
      <c r="AR6" s="442"/>
      <c r="AS6" s="446" t="s">
        <v>9</v>
      </c>
      <c r="AT6" s="442"/>
      <c r="AU6" s="442"/>
      <c r="AV6" s="442"/>
      <c r="AW6" s="442"/>
      <c r="AX6" s="445"/>
      <c r="AY6" s="442"/>
      <c r="AZ6" s="442"/>
      <c r="BA6" s="442"/>
      <c r="BB6" s="447"/>
      <c r="BC6" s="447"/>
      <c r="BD6" s="447"/>
      <c r="BE6" s="447"/>
      <c r="BF6" s="447"/>
      <c r="BG6" s="442"/>
      <c r="BH6" s="442"/>
      <c r="BI6" s="445"/>
      <c r="BJ6" s="447"/>
      <c r="BK6" s="447"/>
    </row>
    <row r="7" spans="1:63" s="222" customFormat="1">
      <c r="A7" s="448">
        <f>'1-συμβολαια'!A7</f>
        <v>0</v>
      </c>
      <c r="B7" s="443" t="str">
        <f>'1-συμβολαια'!C7</f>
        <v>ΧΡΗΣΙΚΤΗΣΙΑ αγροτεμαχίου = 19?? ΑΝΑΔΑΣΜΟΣ</v>
      </c>
      <c r="C7" s="324">
        <f>'4-πολλυπρ'!D7</f>
        <v>0</v>
      </c>
      <c r="D7" s="324">
        <f>'4-πολλυπρ'!I7</f>
        <v>0</v>
      </c>
      <c r="E7" s="324"/>
      <c r="F7" s="411"/>
      <c r="G7" s="411"/>
      <c r="H7" s="261"/>
      <c r="I7" s="411"/>
      <c r="J7" s="330"/>
      <c r="K7" s="444"/>
      <c r="L7" s="444"/>
      <c r="M7" s="411"/>
      <c r="N7" s="411"/>
      <c r="O7" s="411"/>
      <c r="P7" s="411"/>
      <c r="Q7" s="411"/>
      <c r="R7" s="324"/>
      <c r="S7" s="324"/>
      <c r="T7" s="324"/>
      <c r="U7" s="324"/>
      <c r="V7" s="445"/>
      <c r="W7" s="442"/>
      <c r="X7" s="446" t="s">
        <v>433</v>
      </c>
      <c r="Y7" s="446"/>
      <c r="Z7" s="446" t="s">
        <v>9</v>
      </c>
      <c r="AA7" s="447"/>
      <c r="AB7" s="446"/>
      <c r="AC7" s="446"/>
      <c r="AD7" s="446"/>
      <c r="AE7" s="442"/>
      <c r="AF7" s="445"/>
      <c r="AG7" s="442"/>
      <c r="AH7" s="442"/>
      <c r="AI7" s="442"/>
      <c r="AJ7" s="442"/>
      <c r="AK7" s="442"/>
      <c r="AL7" s="442"/>
      <c r="AM7" s="442"/>
      <c r="AN7" s="442"/>
      <c r="AO7" s="442"/>
      <c r="AP7" s="442"/>
      <c r="AQ7" s="446" t="s">
        <v>433</v>
      </c>
      <c r="AR7" s="442"/>
      <c r="AS7" s="446" t="s">
        <v>9</v>
      </c>
      <c r="AT7" s="442"/>
      <c r="AU7" s="442"/>
      <c r="AV7" s="442"/>
      <c r="AW7" s="442"/>
      <c r="AX7" s="445"/>
      <c r="AY7" s="442"/>
      <c r="AZ7" s="442"/>
      <c r="BA7" s="442"/>
      <c r="BB7" s="447"/>
      <c r="BC7" s="447"/>
      <c r="BD7" s="447"/>
      <c r="BE7" s="447"/>
      <c r="BF7" s="447"/>
      <c r="BG7" s="442"/>
      <c r="BH7" s="442"/>
      <c r="BI7" s="445"/>
      <c r="BJ7" s="447"/>
      <c r="BK7" s="447"/>
    </row>
    <row r="8" spans="1:63" s="222" customFormat="1">
      <c r="A8" s="442">
        <f>'1-συμβολαια'!A8</f>
        <v>4603</v>
      </c>
      <c r="B8" s="443" t="str">
        <f>'1-συμβολαια'!C8</f>
        <v>γονικής 11.618καπολα ΔΙΟΡΘΩΣΗ</v>
      </c>
      <c r="C8" s="324">
        <f>'4-πολλυπρ'!D8</f>
        <v>0</v>
      </c>
      <c r="D8" s="324">
        <f>'4-πολλυπρ'!I8</f>
        <v>0</v>
      </c>
      <c r="E8" s="324">
        <v>1</v>
      </c>
      <c r="F8" s="411">
        <f t="shared" si="2"/>
        <v>3.23</v>
      </c>
      <c r="G8" s="411">
        <v>5.87</v>
      </c>
      <c r="H8" s="261"/>
      <c r="I8" s="411">
        <f t="shared" si="0"/>
        <v>9.1</v>
      </c>
      <c r="J8" s="330" t="s">
        <v>530</v>
      </c>
      <c r="K8" s="444" t="s">
        <v>176</v>
      </c>
      <c r="L8" s="444"/>
      <c r="M8" s="411">
        <v>5.87</v>
      </c>
      <c r="N8" s="411">
        <v>5.87</v>
      </c>
      <c r="O8" s="411">
        <v>1.98</v>
      </c>
      <c r="P8" s="411"/>
      <c r="Q8" s="411">
        <f t="shared" si="1"/>
        <v>11.74</v>
      </c>
      <c r="R8" s="324"/>
      <c r="S8" s="324"/>
      <c r="T8" s="514" t="s">
        <v>567</v>
      </c>
      <c r="U8" s="324"/>
      <c r="V8" s="445"/>
      <c r="W8" s="442"/>
      <c r="X8" s="446" t="s">
        <v>433</v>
      </c>
      <c r="Y8" s="446"/>
      <c r="Z8" s="446" t="s">
        <v>9</v>
      </c>
      <c r="AA8" s="447"/>
      <c r="AB8" s="446"/>
      <c r="AC8" s="446"/>
      <c r="AD8" s="446"/>
      <c r="AE8" s="442"/>
      <c r="AF8" s="445"/>
      <c r="AG8" s="442"/>
      <c r="AH8" s="442"/>
      <c r="AI8" s="442"/>
      <c r="AJ8" s="442"/>
      <c r="AK8" s="442"/>
      <c r="AL8" s="442"/>
      <c r="AM8" s="442"/>
      <c r="AN8" s="442"/>
      <c r="AO8" s="442"/>
      <c r="AP8" s="442"/>
      <c r="AQ8" s="446" t="s">
        <v>433</v>
      </c>
      <c r="AR8" s="442"/>
      <c r="AS8" s="446" t="s">
        <v>9</v>
      </c>
      <c r="AT8" s="442"/>
      <c r="AU8" s="442"/>
      <c r="AV8" s="442"/>
      <c r="AW8" s="442"/>
      <c r="AX8" s="445"/>
      <c r="AY8" s="442"/>
      <c r="AZ8" s="442"/>
      <c r="BA8" s="442"/>
      <c r="BB8" s="447"/>
      <c r="BC8" s="447"/>
      <c r="BD8" s="447"/>
      <c r="BE8" s="447"/>
      <c r="BF8" s="447"/>
      <c r="BG8" s="442"/>
      <c r="BH8" s="442"/>
      <c r="BI8" s="445"/>
      <c r="BJ8" s="447"/>
      <c r="BK8" s="447"/>
    </row>
    <row r="9" spans="1:63" s="222" customFormat="1">
      <c r="A9" s="442">
        <f>'1-συμβολαια'!A9</f>
        <v>4604</v>
      </c>
      <c r="B9" s="443" t="str">
        <f>'1-συμβολαια'!C9</f>
        <v>γονικής 11.619καπολα ΔΙΟΡΘΩΣΗ</v>
      </c>
      <c r="C9" s="324">
        <f>'4-πολλυπρ'!D9</f>
        <v>0</v>
      </c>
      <c r="D9" s="324">
        <f>'4-πολλυπρ'!I9</f>
        <v>0</v>
      </c>
      <c r="E9" s="324">
        <v>1</v>
      </c>
      <c r="F9" s="411">
        <f t="shared" si="2"/>
        <v>3.23</v>
      </c>
      <c r="G9" s="411">
        <v>5.87</v>
      </c>
      <c r="H9" s="261"/>
      <c r="I9" s="411">
        <f t="shared" si="0"/>
        <v>9.1</v>
      </c>
      <c r="J9" s="330" t="s">
        <v>530</v>
      </c>
      <c r="K9" s="444" t="s">
        <v>176</v>
      </c>
      <c r="L9" s="444"/>
      <c r="M9" s="411"/>
      <c r="N9" s="411"/>
      <c r="O9" s="411">
        <v>1.98</v>
      </c>
      <c r="P9" s="411"/>
      <c r="Q9" s="411">
        <f t="shared" si="1"/>
        <v>0</v>
      </c>
      <c r="R9" s="324"/>
      <c r="S9" s="324"/>
      <c r="T9" s="514" t="s">
        <v>567</v>
      </c>
      <c r="U9" s="324"/>
      <c r="V9" s="445"/>
      <c r="W9" s="442"/>
      <c r="X9" s="446" t="s">
        <v>433</v>
      </c>
      <c r="Y9" s="446"/>
      <c r="Z9" s="446" t="s">
        <v>9</v>
      </c>
      <c r="AA9" s="447"/>
      <c r="AB9" s="446"/>
      <c r="AC9" s="446"/>
      <c r="AD9" s="446"/>
      <c r="AE9" s="442"/>
      <c r="AF9" s="445"/>
      <c r="AG9" s="442"/>
      <c r="AH9" s="442"/>
      <c r="AI9" s="442"/>
      <c r="AJ9" s="442"/>
      <c r="AK9" s="442"/>
      <c r="AL9" s="442"/>
      <c r="AM9" s="442"/>
      <c r="AN9" s="442"/>
      <c r="AO9" s="442"/>
      <c r="AP9" s="442"/>
      <c r="AQ9" s="446" t="s">
        <v>433</v>
      </c>
      <c r="AR9" s="442"/>
      <c r="AS9" s="446" t="s">
        <v>9</v>
      </c>
      <c r="AT9" s="442"/>
      <c r="AU9" s="442"/>
      <c r="AV9" s="442"/>
      <c r="AW9" s="442"/>
      <c r="AX9" s="445"/>
      <c r="AY9" s="442"/>
      <c r="AZ9" s="442"/>
      <c r="BA9" s="442"/>
      <c r="BB9" s="447"/>
      <c r="BC9" s="447"/>
      <c r="BD9" s="447"/>
      <c r="BE9" s="447"/>
      <c r="BF9" s="447"/>
      <c r="BG9" s="442"/>
      <c r="BH9" s="442"/>
      <c r="BI9" s="445"/>
      <c r="BJ9" s="447"/>
      <c r="BK9" s="447"/>
    </row>
    <row r="10" spans="1:63" s="222" customFormat="1">
      <c r="A10" s="442">
        <f>'1-συμβολαια'!A10</f>
        <v>4605</v>
      </c>
      <c r="B10" s="443" t="str">
        <f>'1-συμβολαια'!C10</f>
        <v>* γονικής 11.618καπολα επικαρπίας ΕΝΣΩΜΑΤΩΣΗ {= παραίτηση αδερφής δικαιώματος οίκησης</v>
      </c>
      <c r="C10" s="324">
        <f>'4-πολλυπρ'!D10</f>
        <v>0</v>
      </c>
      <c r="D10" s="324">
        <f>'4-πολλυπρ'!I10</f>
        <v>0</v>
      </c>
      <c r="E10" s="324">
        <v>1</v>
      </c>
      <c r="F10" s="411">
        <f t="shared" si="2"/>
        <v>3.23</v>
      </c>
      <c r="G10" s="411">
        <v>5.87</v>
      </c>
      <c r="H10" s="261"/>
      <c r="I10" s="411">
        <f t="shared" si="0"/>
        <v>9.1</v>
      </c>
      <c r="J10" s="330" t="s">
        <v>530</v>
      </c>
      <c r="K10" s="444" t="s">
        <v>176</v>
      </c>
      <c r="L10" s="444" t="s">
        <v>568</v>
      </c>
      <c r="M10" s="411"/>
      <c r="N10" s="411"/>
      <c r="O10" s="411">
        <v>1.98</v>
      </c>
      <c r="P10" s="411"/>
      <c r="Q10" s="411">
        <f t="shared" si="1"/>
        <v>0</v>
      </c>
      <c r="R10" s="324"/>
      <c r="S10" s="324"/>
      <c r="T10" s="514" t="s">
        <v>567</v>
      </c>
      <c r="U10" s="324"/>
      <c r="V10" s="445"/>
      <c r="W10" s="442"/>
      <c r="X10" s="446" t="s">
        <v>433</v>
      </c>
      <c r="Y10" s="446"/>
      <c r="Z10" s="446" t="s">
        <v>9</v>
      </c>
      <c r="AA10" s="447"/>
      <c r="AB10" s="446"/>
      <c r="AC10" s="446"/>
      <c r="AD10" s="446"/>
      <c r="AE10" s="442"/>
      <c r="AF10" s="445"/>
      <c r="AG10" s="442"/>
      <c r="AH10" s="442"/>
      <c r="AI10" s="442"/>
      <c r="AJ10" s="442"/>
      <c r="AK10" s="442"/>
      <c r="AL10" s="442"/>
      <c r="AM10" s="442"/>
      <c r="AN10" s="442"/>
      <c r="AO10" s="442"/>
      <c r="AP10" s="442"/>
      <c r="AQ10" s="446" t="s">
        <v>433</v>
      </c>
      <c r="AR10" s="442"/>
      <c r="AS10" s="446" t="s">
        <v>9</v>
      </c>
      <c r="AT10" s="442"/>
      <c r="AU10" s="442"/>
      <c r="AV10" s="442"/>
      <c r="AW10" s="442"/>
      <c r="AX10" s="445"/>
      <c r="AY10" s="442"/>
      <c r="AZ10" s="442"/>
      <c r="BA10" s="442"/>
      <c r="BB10" s="447"/>
      <c r="BC10" s="447"/>
      <c r="BD10" s="447"/>
      <c r="BE10" s="447"/>
      <c r="BF10" s="447"/>
      <c r="BG10" s="442"/>
      <c r="BH10" s="442"/>
      <c r="BI10" s="445"/>
      <c r="BJ10" s="447"/>
      <c r="BK10" s="447"/>
    </row>
    <row r="11" spans="1:63" s="222" customFormat="1">
      <c r="A11" s="442">
        <f>'1-συμβολαια'!A11</f>
        <v>4606</v>
      </c>
      <c r="B11" s="443" t="str">
        <f>'1-συμβολαια'!C11</f>
        <v>πληρεξούσιο</v>
      </c>
      <c r="C11" s="324">
        <f>'4-πολλυπρ'!D11</f>
        <v>0</v>
      </c>
      <c r="D11" s="324">
        <f>'4-πολλυπρ'!I11</f>
        <v>0</v>
      </c>
      <c r="E11" s="324"/>
      <c r="F11" s="411"/>
      <c r="G11" s="411"/>
      <c r="H11" s="261"/>
      <c r="I11" s="411"/>
      <c r="J11" s="330"/>
      <c r="K11" s="444"/>
      <c r="L11" s="444"/>
      <c r="M11" s="411"/>
      <c r="N11" s="411"/>
      <c r="O11" s="411"/>
      <c r="P11" s="411"/>
      <c r="Q11" s="411"/>
      <c r="R11" s="324"/>
      <c r="S11" s="324"/>
      <c r="T11" s="324"/>
      <c r="U11" s="324"/>
      <c r="V11" s="445"/>
      <c r="W11" s="442"/>
      <c r="X11" s="446" t="s">
        <v>433</v>
      </c>
      <c r="Y11" s="446"/>
      <c r="Z11" s="446" t="s">
        <v>9</v>
      </c>
      <c r="AA11" s="447"/>
      <c r="AB11" s="446"/>
      <c r="AC11" s="446"/>
      <c r="AD11" s="446"/>
      <c r="AE11" s="442"/>
      <c r="AF11" s="445"/>
      <c r="AG11" s="442"/>
      <c r="AH11" s="442"/>
      <c r="AI11" s="442"/>
      <c r="AJ11" s="442"/>
      <c r="AK11" s="442"/>
      <c r="AL11" s="442"/>
      <c r="AM11" s="442"/>
      <c r="AN11" s="442"/>
      <c r="AO11" s="442"/>
      <c r="AP11" s="442"/>
      <c r="AQ11" s="446" t="s">
        <v>433</v>
      </c>
      <c r="AR11" s="442"/>
      <c r="AS11" s="446" t="s">
        <v>9</v>
      </c>
      <c r="AT11" s="442"/>
      <c r="AU11" s="442"/>
      <c r="AV11" s="442"/>
      <c r="AW11" s="442"/>
      <c r="AX11" s="445"/>
      <c r="AY11" s="442"/>
      <c r="AZ11" s="442"/>
      <c r="BA11" s="442"/>
      <c r="BB11" s="447"/>
      <c r="BC11" s="447"/>
      <c r="BD11" s="447"/>
      <c r="BE11" s="447"/>
      <c r="BF11" s="447"/>
      <c r="BG11" s="442"/>
      <c r="BH11" s="442"/>
      <c r="BI11" s="445"/>
      <c r="BJ11" s="447"/>
      <c r="BK11" s="447"/>
    </row>
    <row r="12" spans="1:63" s="222" customFormat="1">
      <c r="A12" s="442">
        <f>'1-συμβολαια'!A12</f>
        <v>4607</v>
      </c>
      <c r="B12" s="443" t="str">
        <f>'1-συμβολαια'!C12</f>
        <v>αγοραπωλησίας 3.919 ΔΙΟΡΘΩΣΗ</v>
      </c>
      <c r="C12" s="324">
        <f>'4-πολλυπρ'!D12</f>
        <v>0</v>
      </c>
      <c r="D12" s="324">
        <f>'4-πολλυπρ'!I12</f>
        <v>0</v>
      </c>
      <c r="E12" s="324">
        <v>1</v>
      </c>
      <c r="F12" s="411">
        <f t="shared" si="2"/>
        <v>3.23</v>
      </c>
      <c r="G12" s="411">
        <v>5.87</v>
      </c>
      <c r="H12" s="261"/>
      <c r="I12" s="411">
        <f t="shared" si="0"/>
        <v>9.1</v>
      </c>
      <c r="J12" s="330" t="s">
        <v>530</v>
      </c>
      <c r="K12" s="444" t="s">
        <v>176</v>
      </c>
      <c r="L12" s="444"/>
      <c r="M12" s="411">
        <v>5.87</v>
      </c>
      <c r="N12" s="411">
        <v>5.87</v>
      </c>
      <c r="O12" s="411">
        <v>1.98</v>
      </c>
      <c r="P12" s="411"/>
      <c r="Q12" s="411">
        <f t="shared" si="1"/>
        <v>11.74</v>
      </c>
      <c r="R12" s="324"/>
      <c r="S12" s="324"/>
      <c r="T12" s="514" t="s">
        <v>567</v>
      </c>
      <c r="U12" s="324"/>
      <c r="V12" s="445"/>
      <c r="W12" s="442"/>
      <c r="X12" s="446" t="s">
        <v>433</v>
      </c>
      <c r="Y12" s="446"/>
      <c r="Z12" s="446" t="s">
        <v>9</v>
      </c>
      <c r="AA12" s="447"/>
      <c r="AB12" s="446"/>
      <c r="AC12" s="446"/>
      <c r="AD12" s="446"/>
      <c r="AE12" s="442"/>
      <c r="AF12" s="445"/>
      <c r="AG12" s="442"/>
      <c r="AH12" s="442"/>
      <c r="AI12" s="442"/>
      <c r="AJ12" s="442"/>
      <c r="AK12" s="442"/>
      <c r="AL12" s="442"/>
      <c r="AM12" s="442"/>
      <c r="AN12" s="442"/>
      <c r="AO12" s="442"/>
      <c r="AP12" s="442"/>
      <c r="AQ12" s="446" t="s">
        <v>433</v>
      </c>
      <c r="AR12" s="442"/>
      <c r="AS12" s="446" t="s">
        <v>9</v>
      </c>
      <c r="AT12" s="442"/>
      <c r="AU12" s="442"/>
      <c r="AV12" s="442"/>
      <c r="AW12" s="442"/>
      <c r="AX12" s="445"/>
      <c r="AY12" s="442"/>
      <c r="AZ12" s="442"/>
      <c r="BA12" s="442"/>
      <c r="BB12" s="447"/>
      <c r="BC12" s="447"/>
      <c r="BD12" s="447"/>
      <c r="BE12" s="447"/>
      <c r="BF12" s="447"/>
      <c r="BG12" s="442"/>
      <c r="BH12" s="442"/>
      <c r="BI12" s="445"/>
      <c r="BJ12" s="447"/>
      <c r="BK12" s="447"/>
    </row>
    <row r="13" spans="1:63" s="5" customFormat="1">
      <c r="A13" s="442">
        <f>'1-συμβολαια'!A13</f>
        <v>4608</v>
      </c>
      <c r="B13" s="443" t="str">
        <f>'1-συμβολαια'!C13</f>
        <v>αγοραπωλησία τίμημα = Δ.Ο.Υ. =</v>
      </c>
      <c r="C13" s="324">
        <f>'4-πολλυπρ'!D13</f>
        <v>0</v>
      </c>
      <c r="D13" s="324">
        <f>'4-πολλυπρ'!I13</f>
        <v>0</v>
      </c>
      <c r="E13" s="324">
        <v>1</v>
      </c>
      <c r="F13" s="411">
        <f t="shared" si="2"/>
        <v>3.23</v>
      </c>
      <c r="G13" s="411">
        <v>5.87</v>
      </c>
      <c r="H13" s="261"/>
      <c r="I13" s="411">
        <f t="shared" si="0"/>
        <v>9.1</v>
      </c>
      <c r="J13" s="330" t="s">
        <v>530</v>
      </c>
      <c r="K13" s="444" t="s">
        <v>176</v>
      </c>
      <c r="L13" s="444"/>
      <c r="M13" s="411">
        <v>5.87</v>
      </c>
      <c r="N13" s="411">
        <v>5.87</v>
      </c>
      <c r="O13" s="411">
        <v>1.98</v>
      </c>
      <c r="P13" s="411"/>
      <c r="Q13" s="411">
        <f t="shared" si="1"/>
        <v>11.74</v>
      </c>
      <c r="R13" s="324"/>
      <c r="S13" s="324"/>
      <c r="T13" s="324"/>
      <c r="U13" s="324"/>
      <c r="V13" s="480"/>
      <c r="W13" s="90"/>
      <c r="X13" s="446" t="s">
        <v>433</v>
      </c>
      <c r="Y13" s="90"/>
      <c r="Z13" s="446" t="s">
        <v>9</v>
      </c>
      <c r="AA13" s="451"/>
      <c r="AB13" s="90"/>
      <c r="AC13" s="90"/>
      <c r="AD13" s="90"/>
      <c r="AE13" s="90"/>
      <c r="AF13" s="480">
        <v>38398</v>
      </c>
      <c r="AG13" s="90">
        <v>2159</v>
      </c>
      <c r="AH13" s="442" t="s">
        <v>433</v>
      </c>
      <c r="AI13" s="92">
        <v>402</v>
      </c>
      <c r="AJ13" s="92">
        <v>74</v>
      </c>
      <c r="AK13" s="329"/>
      <c r="AL13" s="329"/>
      <c r="AM13" s="329"/>
      <c r="AN13" s="90"/>
      <c r="AO13" s="90"/>
      <c r="AP13" s="90"/>
      <c r="AQ13" s="446" t="s">
        <v>433</v>
      </c>
      <c r="AR13" s="90"/>
      <c r="AS13" s="446" t="s">
        <v>9</v>
      </c>
      <c r="AT13" s="90"/>
      <c r="AU13" s="90"/>
      <c r="AV13" s="90"/>
      <c r="AW13" s="90"/>
      <c r="AX13" s="90"/>
      <c r="AY13" s="90"/>
      <c r="AZ13" s="90"/>
      <c r="BA13" s="90"/>
      <c r="BB13" s="90"/>
      <c r="BC13" s="90"/>
      <c r="BD13" s="90"/>
      <c r="BE13" s="90"/>
      <c r="BF13" s="90"/>
      <c r="BG13" s="90"/>
      <c r="BH13" s="90"/>
      <c r="BI13" s="480"/>
      <c r="BJ13" s="90"/>
      <c r="BK13" s="90"/>
    </row>
    <row r="14" spans="1:63" s="5" customFormat="1">
      <c r="A14" s="442">
        <f>'1-συμβολαια'!A14</f>
        <v>4609</v>
      </c>
      <c r="B14" s="443" t="str">
        <f>'1-συμβολαια'!C14</f>
        <v>αγοραπωλησία τίμημα = 6.057,27 Δ.Ο.Υ. =</v>
      </c>
      <c r="C14" s="324">
        <f>'4-πολλυπρ'!D14</f>
        <v>0</v>
      </c>
      <c r="D14" s="324">
        <f>'4-πολλυπρ'!I14</f>
        <v>0</v>
      </c>
      <c r="E14" s="324">
        <v>1</v>
      </c>
      <c r="F14" s="411">
        <f t="shared" si="2"/>
        <v>3.23</v>
      </c>
      <c r="G14" s="411">
        <v>5.87</v>
      </c>
      <c r="H14" s="261"/>
      <c r="I14" s="411">
        <f t="shared" si="0"/>
        <v>9.1</v>
      </c>
      <c r="J14" s="330" t="s">
        <v>530</v>
      </c>
      <c r="K14" s="444" t="s">
        <v>176</v>
      </c>
      <c r="L14" s="444"/>
      <c r="M14" s="411">
        <v>5.87</v>
      </c>
      <c r="N14" s="411">
        <v>5.87</v>
      </c>
      <c r="O14" s="411">
        <v>1.98</v>
      </c>
      <c r="P14" s="411"/>
      <c r="Q14" s="411">
        <f t="shared" si="1"/>
        <v>11.74</v>
      </c>
      <c r="R14" s="324"/>
      <c r="S14" s="324"/>
      <c r="T14" s="324"/>
      <c r="U14" s="324"/>
      <c r="V14" s="480"/>
      <c r="W14" s="90"/>
      <c r="X14" s="446" t="s">
        <v>433</v>
      </c>
      <c r="Y14" s="90"/>
      <c r="Z14" s="446" t="s">
        <v>9</v>
      </c>
      <c r="AA14" s="451"/>
      <c r="AB14" s="90"/>
      <c r="AC14" s="90"/>
      <c r="AD14" s="90"/>
      <c r="AE14" s="90"/>
      <c r="AF14" s="480">
        <v>38398</v>
      </c>
      <c r="AG14" s="90">
        <v>402</v>
      </c>
      <c r="AH14" s="442" t="s">
        <v>433</v>
      </c>
      <c r="AI14" s="90">
        <v>402</v>
      </c>
      <c r="AJ14" s="90">
        <v>75</v>
      </c>
      <c r="AK14" s="329"/>
      <c r="AL14" s="329"/>
      <c r="AM14" s="329"/>
      <c r="AN14" s="90"/>
      <c r="AO14" s="90"/>
      <c r="AP14" s="90"/>
      <c r="AQ14" s="446" t="s">
        <v>433</v>
      </c>
      <c r="AR14" s="90"/>
      <c r="AS14" s="446" t="s">
        <v>9</v>
      </c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480"/>
      <c r="BJ14" s="90"/>
      <c r="BK14" s="90"/>
    </row>
    <row r="15" spans="1:63" s="5" customFormat="1">
      <c r="A15" s="442">
        <f>'1-συμβολαια'!A15</f>
        <v>4610</v>
      </c>
      <c r="B15" s="443" t="str">
        <f>'1-συμβολαια'!C15</f>
        <v>πληρεξούσιο</v>
      </c>
      <c r="C15" s="324">
        <f>'4-πολλυπρ'!D15</f>
        <v>0</v>
      </c>
      <c r="D15" s="324">
        <f>'4-πολλυπρ'!I15</f>
        <v>0</v>
      </c>
      <c r="E15" s="324"/>
      <c r="F15" s="411"/>
      <c r="G15" s="411"/>
      <c r="H15" s="261"/>
      <c r="I15" s="411"/>
      <c r="J15" s="330"/>
      <c r="K15" s="444"/>
      <c r="L15" s="444"/>
      <c r="M15" s="411"/>
      <c r="N15" s="411"/>
      <c r="O15" s="411"/>
      <c r="P15" s="411"/>
      <c r="Q15" s="411"/>
      <c r="R15" s="324"/>
      <c r="S15" s="324"/>
      <c r="T15" s="324"/>
      <c r="U15" s="324"/>
      <c r="V15" s="480"/>
      <c r="W15" s="90"/>
      <c r="X15" s="446" t="s">
        <v>433</v>
      </c>
      <c r="Y15" s="90"/>
      <c r="Z15" s="446" t="s">
        <v>9</v>
      </c>
      <c r="AA15" s="451"/>
      <c r="AB15" s="90"/>
      <c r="AC15" s="90"/>
      <c r="AD15" s="90"/>
      <c r="AE15" s="90"/>
      <c r="AF15" s="480"/>
      <c r="AG15" s="90"/>
      <c r="AH15" s="90"/>
      <c r="AI15" s="90"/>
      <c r="AJ15" s="90"/>
      <c r="AK15" s="329"/>
      <c r="AL15" s="329"/>
      <c r="AM15" s="329"/>
      <c r="AN15" s="90"/>
      <c r="AO15" s="90"/>
      <c r="AP15" s="90"/>
      <c r="AQ15" s="446" t="s">
        <v>433</v>
      </c>
      <c r="AR15" s="90"/>
      <c r="AS15" s="446" t="s">
        <v>9</v>
      </c>
      <c r="AT15" s="90"/>
      <c r="AU15" s="90"/>
      <c r="AV15" s="90"/>
      <c r="AW15" s="90"/>
      <c r="AX15" s="90"/>
      <c r="AY15" s="90"/>
      <c r="AZ15" s="90"/>
      <c r="BA15" s="90"/>
      <c r="BB15" s="90"/>
      <c r="BC15" s="90"/>
      <c r="BD15" s="90"/>
      <c r="BE15" s="90"/>
      <c r="BF15" s="90"/>
      <c r="BG15" s="90"/>
      <c r="BH15" s="90"/>
      <c r="BI15" s="480"/>
      <c r="BJ15" s="90"/>
      <c r="BK15" s="90"/>
    </row>
    <row r="16" spans="1:63" s="5" customFormat="1">
      <c r="A16" s="448">
        <f>'1-συμβολαια'!A16</f>
        <v>4611</v>
      </c>
      <c r="B16" s="443" t="str">
        <f>'1-συμβολαια'!C16</f>
        <v>γονική</v>
      </c>
      <c r="C16" s="324">
        <f>'4-πολλυπρ'!D16</f>
        <v>0</v>
      </c>
      <c r="D16" s="324">
        <f>'4-πολλυπρ'!I16</f>
        <v>0</v>
      </c>
      <c r="E16" s="324">
        <v>1</v>
      </c>
      <c r="F16" s="411">
        <f t="shared" si="2"/>
        <v>3.23</v>
      </c>
      <c r="G16" s="411">
        <v>5.87</v>
      </c>
      <c r="H16" s="261"/>
      <c r="I16" s="411">
        <f t="shared" si="0"/>
        <v>9.1</v>
      </c>
      <c r="J16" s="330" t="s">
        <v>530</v>
      </c>
      <c r="K16" s="444" t="s">
        <v>176</v>
      </c>
      <c r="L16" s="444"/>
      <c r="M16" s="411">
        <v>5.87</v>
      </c>
      <c r="N16" s="411">
        <v>5.87</v>
      </c>
      <c r="O16" s="411">
        <v>1.98</v>
      </c>
      <c r="P16" s="411"/>
      <c r="Q16" s="411">
        <f t="shared" si="1"/>
        <v>11.74</v>
      </c>
      <c r="R16" s="324"/>
      <c r="S16" s="324"/>
      <c r="T16" s="324"/>
      <c r="U16" s="324"/>
      <c r="V16" s="480"/>
      <c r="W16" s="90"/>
      <c r="X16" s="446" t="s">
        <v>433</v>
      </c>
      <c r="Y16" s="90"/>
      <c r="Z16" s="446" t="s">
        <v>9</v>
      </c>
      <c r="AA16" s="451"/>
      <c r="AB16" s="90"/>
      <c r="AC16" s="90"/>
      <c r="AD16" s="90"/>
      <c r="AE16" s="90"/>
      <c r="AF16" s="480"/>
      <c r="AG16" s="90"/>
      <c r="AH16" s="90"/>
      <c r="AI16" s="90">
        <v>406</v>
      </c>
      <c r="AJ16" s="90">
        <v>84</v>
      </c>
      <c r="AK16" s="329"/>
      <c r="AL16" s="329"/>
      <c r="AM16" s="329"/>
      <c r="AN16" s="90"/>
      <c r="AO16" s="90"/>
      <c r="AP16" s="90"/>
      <c r="AQ16" s="446" t="s">
        <v>433</v>
      </c>
      <c r="AR16" s="90"/>
      <c r="AS16" s="446" t="s">
        <v>9</v>
      </c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480"/>
      <c r="BJ16" s="90"/>
      <c r="BK16" s="90"/>
    </row>
    <row r="17" spans="1:63" s="5" customFormat="1">
      <c r="A17" s="448">
        <f>'1-συμβολαια'!A17</f>
        <v>0</v>
      </c>
      <c r="B17" s="443" t="str">
        <f>'1-συμβολαια'!C17</f>
        <v>ΧΡΗΣΙΚΤΗΣΙΑ οικοπέδου = 1973 κυπαρισσίουΠαναγιώτη ΑΓΟΡΑΠΩΛΗΣΙΑ άτυπη</v>
      </c>
      <c r="C17" s="324">
        <f>'4-πολλυπρ'!D17</f>
        <v>0</v>
      </c>
      <c r="D17" s="324">
        <f>'4-πολλυπρ'!I17</f>
        <v>0</v>
      </c>
      <c r="E17" s="324"/>
      <c r="F17" s="411">
        <f t="shared" si="2"/>
        <v>0</v>
      </c>
      <c r="G17" s="411"/>
      <c r="H17" s="261"/>
      <c r="I17" s="411"/>
      <c r="J17" s="330"/>
      <c r="K17" s="444"/>
      <c r="L17" s="444"/>
      <c r="M17" s="411"/>
      <c r="N17" s="411"/>
      <c r="O17" s="411"/>
      <c r="P17" s="411"/>
      <c r="Q17" s="411"/>
      <c r="R17" s="324"/>
      <c r="S17" s="324"/>
      <c r="T17" s="324"/>
      <c r="U17" s="324"/>
      <c r="V17" s="480"/>
      <c r="W17" s="90"/>
      <c r="X17" s="446" t="s">
        <v>433</v>
      </c>
      <c r="Y17" s="90"/>
      <c r="Z17" s="446" t="s">
        <v>9</v>
      </c>
      <c r="AA17" s="451"/>
      <c r="AB17" s="90"/>
      <c r="AC17" s="90"/>
      <c r="AD17" s="90"/>
      <c r="AE17" s="90"/>
      <c r="AF17" s="480"/>
      <c r="AG17" s="90"/>
      <c r="AH17" s="90"/>
      <c r="AI17" s="90"/>
      <c r="AJ17" s="90"/>
      <c r="AK17" s="329"/>
      <c r="AL17" s="329"/>
      <c r="AM17" s="329"/>
      <c r="AN17" s="90"/>
      <c r="AO17" s="90"/>
      <c r="AP17" s="90"/>
      <c r="AQ17" s="446" t="s">
        <v>433</v>
      </c>
      <c r="AR17" s="90"/>
      <c r="AS17" s="446" t="s">
        <v>9</v>
      </c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480"/>
      <c r="BJ17" s="90"/>
      <c r="BK17" s="90"/>
    </row>
    <row r="18" spans="1:63" s="5" customFormat="1">
      <c r="A18" s="448">
        <f>'1-συμβολαια'!A18</f>
        <v>0</v>
      </c>
      <c r="B18" s="443" t="str">
        <f>'1-συμβολαια'!C18</f>
        <v>οριζόντιος ΣΥΣΤΑΣΗ</v>
      </c>
      <c r="C18" s="324">
        <f>'4-πολλυπρ'!D18</f>
        <v>0</v>
      </c>
      <c r="D18" s="324">
        <f>'4-πολλυπρ'!I18</f>
        <v>0</v>
      </c>
      <c r="E18" s="324">
        <v>2</v>
      </c>
      <c r="F18" s="411">
        <f t="shared" si="2"/>
        <v>6.46</v>
      </c>
      <c r="G18" s="411">
        <v>5.87</v>
      </c>
      <c r="H18" s="261"/>
      <c r="I18" s="411">
        <f t="shared" si="0"/>
        <v>12.33</v>
      </c>
      <c r="J18" s="330" t="s">
        <v>530</v>
      </c>
      <c r="K18" s="444" t="s">
        <v>176</v>
      </c>
      <c r="L18" s="444"/>
      <c r="M18" s="411"/>
      <c r="N18" s="411"/>
      <c r="O18" s="411"/>
      <c r="P18" s="411"/>
      <c r="Q18" s="411">
        <f t="shared" si="1"/>
        <v>0</v>
      </c>
      <c r="R18" s="324"/>
      <c r="S18" s="324"/>
      <c r="T18" s="324"/>
      <c r="U18" s="324"/>
      <c r="V18" s="480"/>
      <c r="W18" s="90"/>
      <c r="X18" s="446" t="s">
        <v>433</v>
      </c>
      <c r="Y18" s="90"/>
      <c r="Z18" s="446" t="s">
        <v>9</v>
      </c>
      <c r="AA18" s="451"/>
      <c r="AB18" s="90"/>
      <c r="AC18" s="90"/>
      <c r="AD18" s="90"/>
      <c r="AE18" s="90"/>
      <c r="AF18" s="480"/>
      <c r="AG18" s="90"/>
      <c r="AH18" s="90"/>
      <c r="AI18" s="90">
        <v>406</v>
      </c>
      <c r="AJ18" s="90">
        <v>85</v>
      </c>
      <c r="AK18" s="329"/>
      <c r="AL18" s="329"/>
      <c r="AM18" s="329"/>
      <c r="AN18" s="90"/>
      <c r="AO18" s="90"/>
      <c r="AP18" s="90"/>
      <c r="AQ18" s="446" t="s">
        <v>433</v>
      </c>
      <c r="AR18" s="90"/>
      <c r="AS18" s="446" t="s">
        <v>9</v>
      </c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0"/>
      <c r="BH18" s="90"/>
      <c r="BI18" s="480"/>
      <c r="BJ18" s="90"/>
      <c r="BK18" s="90"/>
    </row>
    <row r="19" spans="1:63" s="5" customFormat="1">
      <c r="A19" s="442">
        <f>'1-συμβολαια'!A19</f>
        <v>4612</v>
      </c>
      <c r="B19" s="443" t="str">
        <f>'1-συμβολαια'!C19</f>
        <v>κληρονομιάς ΑΠΟΔΟΧΗ</v>
      </c>
      <c r="C19" s="324">
        <f>'4-πολλυπρ'!D19</f>
        <v>0</v>
      </c>
      <c r="D19" s="324">
        <f>'4-πολλυπρ'!I19</f>
        <v>0</v>
      </c>
      <c r="E19" s="324">
        <v>2</v>
      </c>
      <c r="F19" s="411">
        <f t="shared" si="2"/>
        <v>6.46</v>
      </c>
      <c r="G19" s="411">
        <v>5.87</v>
      </c>
      <c r="H19" s="261"/>
      <c r="I19" s="411">
        <f t="shared" si="0"/>
        <v>12.33</v>
      </c>
      <c r="J19" s="330" t="s">
        <v>530</v>
      </c>
      <c r="K19" s="444" t="s">
        <v>176</v>
      </c>
      <c r="L19" s="444"/>
      <c r="M19" s="411">
        <v>5.87</v>
      </c>
      <c r="N19" s="411">
        <v>5.87</v>
      </c>
      <c r="O19" s="411">
        <v>1.98</v>
      </c>
      <c r="P19" s="411"/>
      <c r="Q19" s="411">
        <f t="shared" si="1"/>
        <v>11.74</v>
      </c>
      <c r="R19" s="324"/>
      <c r="S19" s="324"/>
      <c r="T19" s="514" t="s">
        <v>567</v>
      </c>
      <c r="U19" s="324"/>
      <c r="V19" s="480"/>
      <c r="W19" s="90"/>
      <c r="X19" s="446" t="s">
        <v>433</v>
      </c>
      <c r="Y19" s="90"/>
      <c r="Z19" s="446" t="s">
        <v>9</v>
      </c>
      <c r="AA19" s="451"/>
      <c r="AB19" s="90"/>
      <c r="AC19" s="90"/>
      <c r="AD19" s="90"/>
      <c r="AE19" s="90"/>
      <c r="AF19" s="480"/>
      <c r="AG19" s="90"/>
      <c r="AH19" s="442"/>
      <c r="AI19" s="90"/>
      <c r="AJ19" s="90"/>
      <c r="AK19" s="329"/>
      <c r="AL19" s="329"/>
      <c r="AM19" s="329"/>
      <c r="AN19" s="90"/>
      <c r="AO19" s="90"/>
      <c r="AP19" s="90"/>
      <c r="AQ19" s="446" t="s">
        <v>433</v>
      </c>
      <c r="AR19" s="90"/>
      <c r="AS19" s="446" t="s">
        <v>9</v>
      </c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480"/>
      <c r="BJ19" s="90"/>
      <c r="BK19" s="90"/>
    </row>
    <row r="20" spans="1:63" s="5" customFormat="1">
      <c r="A20" s="442">
        <f>'1-συμβολαια'!A20</f>
        <v>4613</v>
      </c>
      <c r="B20" s="443" t="str">
        <f>'1-συμβολαια'!C20</f>
        <v>γονική</v>
      </c>
      <c r="C20" s="324">
        <f>'4-πολλυπρ'!D20</f>
        <v>0</v>
      </c>
      <c r="D20" s="324">
        <f>'4-πολλυπρ'!I20</f>
        <v>0</v>
      </c>
      <c r="E20" s="324">
        <v>2</v>
      </c>
      <c r="F20" s="411">
        <f t="shared" si="2"/>
        <v>6.46</v>
      </c>
      <c r="G20" s="411">
        <v>5.87</v>
      </c>
      <c r="H20" s="261"/>
      <c r="I20" s="411">
        <f t="shared" si="0"/>
        <v>12.33</v>
      </c>
      <c r="J20" s="330" t="s">
        <v>530</v>
      </c>
      <c r="K20" s="444" t="s">
        <v>176</v>
      </c>
      <c r="L20" s="444"/>
      <c r="M20" s="411">
        <v>5.87</v>
      </c>
      <c r="N20" s="411">
        <v>5.87</v>
      </c>
      <c r="O20" s="411">
        <v>1.98</v>
      </c>
      <c r="P20" s="411"/>
      <c r="Q20" s="411">
        <f t="shared" si="1"/>
        <v>11.74</v>
      </c>
      <c r="R20" s="324"/>
      <c r="S20" s="324"/>
      <c r="T20" s="324"/>
      <c r="U20" s="324"/>
      <c r="V20" s="480"/>
      <c r="W20" s="90"/>
      <c r="X20" s="446" t="s">
        <v>433</v>
      </c>
      <c r="Y20" s="90"/>
      <c r="Z20" s="446" t="s">
        <v>9</v>
      </c>
      <c r="AA20" s="451"/>
      <c r="AB20" s="90"/>
      <c r="AC20" s="90"/>
      <c r="AD20" s="90"/>
      <c r="AE20" s="90"/>
      <c r="AF20" s="480">
        <v>38434</v>
      </c>
      <c r="AG20" s="90">
        <v>2306</v>
      </c>
      <c r="AH20" s="442" t="s">
        <v>433</v>
      </c>
      <c r="AI20" s="90">
        <v>403</v>
      </c>
      <c r="AJ20" s="90">
        <v>86</v>
      </c>
      <c r="AK20" s="329"/>
      <c r="AL20" s="329"/>
      <c r="AM20" s="329"/>
      <c r="AN20" s="90"/>
      <c r="AO20" s="90"/>
      <c r="AP20" s="90"/>
      <c r="AQ20" s="446" t="s">
        <v>433</v>
      </c>
      <c r="AR20" s="90"/>
      <c r="AS20" s="446" t="s">
        <v>9</v>
      </c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480"/>
      <c r="BJ20" s="90"/>
      <c r="BK20" s="90"/>
    </row>
    <row r="21" spans="1:63" s="5" customFormat="1">
      <c r="A21" s="442">
        <f>'1-συμβολαια'!A21</f>
        <v>4614</v>
      </c>
      <c r="B21" s="443" t="str">
        <f>'1-συμβολαια'!C21</f>
        <v>διαθήκη</v>
      </c>
      <c r="C21" s="324">
        <f>'4-πολλυπρ'!D21</f>
        <v>0</v>
      </c>
      <c r="D21" s="324">
        <f>'4-πολλυπρ'!I21</f>
        <v>0</v>
      </c>
      <c r="E21" s="324"/>
      <c r="F21" s="411"/>
      <c r="G21" s="411"/>
      <c r="H21" s="261"/>
      <c r="I21" s="411"/>
      <c r="J21" s="330"/>
      <c r="K21" s="444"/>
      <c r="L21" s="444"/>
      <c r="M21" s="411"/>
      <c r="N21" s="411"/>
      <c r="O21" s="411"/>
      <c r="P21" s="411"/>
      <c r="Q21" s="411"/>
      <c r="R21" s="324"/>
      <c r="S21" s="324"/>
      <c r="T21" s="324"/>
      <c r="U21" s="324"/>
      <c r="V21" s="480"/>
      <c r="W21" s="90"/>
      <c r="X21" s="446"/>
      <c r="Y21" s="90"/>
      <c r="Z21" s="446"/>
      <c r="AA21" s="451"/>
      <c r="AB21" s="90"/>
      <c r="AC21" s="90"/>
      <c r="AD21" s="90"/>
      <c r="AE21" s="90"/>
      <c r="AF21" s="480"/>
      <c r="AG21" s="90"/>
      <c r="AH21" s="90"/>
      <c r="AI21" s="90"/>
      <c r="AJ21" s="90"/>
      <c r="AK21" s="329"/>
      <c r="AL21" s="329"/>
      <c r="AM21" s="329"/>
      <c r="AN21" s="90"/>
      <c r="AO21" s="90"/>
      <c r="AP21" s="90"/>
      <c r="AQ21" s="446"/>
      <c r="AR21" s="90"/>
      <c r="AS21" s="446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  <c r="BF21" s="90"/>
      <c r="BG21" s="90"/>
      <c r="BH21" s="90"/>
      <c r="BI21" s="480"/>
      <c r="BJ21" s="90"/>
      <c r="BK21" s="90"/>
    </row>
    <row r="22" spans="1:63" s="5" customFormat="1">
      <c r="A22" s="448">
        <f>'1-συμβολαια'!A22</f>
        <v>4615</v>
      </c>
      <c r="B22" s="443" t="str">
        <f>'1-συμβολαια'!C22</f>
        <v>δωρεά</v>
      </c>
      <c r="C22" s="324">
        <f>'4-πολλυπρ'!D22</f>
        <v>0</v>
      </c>
      <c r="D22" s="324">
        <f>'4-πολλυπρ'!I22</f>
        <v>0</v>
      </c>
      <c r="E22" s="324">
        <v>2</v>
      </c>
      <c r="F22" s="411">
        <f t="shared" si="2"/>
        <v>6.46</v>
      </c>
      <c r="G22" s="411">
        <v>5.87</v>
      </c>
      <c r="H22" s="261"/>
      <c r="I22" s="411">
        <f t="shared" si="0"/>
        <v>12.33</v>
      </c>
      <c r="J22" s="330" t="s">
        <v>530</v>
      </c>
      <c r="K22" s="444" t="s">
        <v>176</v>
      </c>
      <c r="L22" s="444"/>
      <c r="M22" s="411">
        <v>5.87</v>
      </c>
      <c r="N22" s="411">
        <v>5.87</v>
      </c>
      <c r="O22" s="411">
        <v>1.98</v>
      </c>
      <c r="P22" s="411"/>
      <c r="Q22" s="411">
        <f t="shared" si="1"/>
        <v>11.74</v>
      </c>
      <c r="R22" s="324"/>
      <c r="S22" s="324"/>
      <c r="T22" s="324"/>
      <c r="U22" s="324"/>
      <c r="V22" s="480"/>
      <c r="W22" s="90"/>
      <c r="X22" s="446" t="s">
        <v>433</v>
      </c>
      <c r="Y22" s="90"/>
      <c r="Z22" s="446" t="s">
        <v>9</v>
      </c>
      <c r="AA22" s="451"/>
      <c r="AB22" s="90"/>
      <c r="AC22" s="90"/>
      <c r="AD22" s="90"/>
      <c r="AE22" s="90"/>
      <c r="AF22" s="480">
        <v>38399</v>
      </c>
      <c r="AG22" s="90"/>
      <c r="AH22" s="442" t="s">
        <v>433</v>
      </c>
      <c r="AI22" s="90">
        <v>402</v>
      </c>
      <c r="AJ22" s="90">
        <v>79</v>
      </c>
      <c r="AK22" s="329"/>
      <c r="AL22" s="329"/>
      <c r="AM22" s="329"/>
      <c r="AN22" s="90"/>
      <c r="AO22" s="90"/>
      <c r="AP22" s="90"/>
      <c r="AQ22" s="446" t="s">
        <v>433</v>
      </c>
      <c r="AR22" s="90"/>
      <c r="AS22" s="446" t="s">
        <v>9</v>
      </c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480"/>
      <c r="BJ22" s="90"/>
      <c r="BK22" s="90"/>
    </row>
    <row r="23" spans="1:63" s="5" customFormat="1">
      <c r="A23" s="448">
        <f>'1-συμβολαια'!A23</f>
        <v>0</v>
      </c>
      <c r="B23" s="443" t="str">
        <f>'1-συμβολαια'!C23</f>
        <v>ΧΡΗΣΙΚΤΗΣΙΑ οικοπέδου &amp; οικίας = 1935 πατρός ΔΩΡΕΑ άτυπη</v>
      </c>
      <c r="C23" s="324">
        <f>'4-πολλυπρ'!D23</f>
        <v>0</v>
      </c>
      <c r="D23" s="324">
        <f>'4-πολλυπρ'!I23</f>
        <v>0</v>
      </c>
      <c r="E23" s="324"/>
      <c r="F23" s="411"/>
      <c r="G23" s="411"/>
      <c r="H23" s="261"/>
      <c r="I23" s="411">
        <f t="shared" si="0"/>
        <v>0</v>
      </c>
      <c r="J23" s="330" t="s">
        <v>530</v>
      </c>
      <c r="K23" s="444" t="s">
        <v>176</v>
      </c>
      <c r="L23" s="444"/>
      <c r="M23" s="411"/>
      <c r="N23" s="411"/>
      <c r="O23" s="411"/>
      <c r="P23" s="411"/>
      <c r="Q23" s="411">
        <f t="shared" si="1"/>
        <v>0</v>
      </c>
      <c r="R23" s="324"/>
      <c r="S23" s="324"/>
      <c r="T23" s="324"/>
      <c r="U23" s="324"/>
      <c r="V23" s="480"/>
      <c r="W23" s="90"/>
      <c r="X23" s="446" t="s">
        <v>433</v>
      </c>
      <c r="Y23" s="90"/>
      <c r="Z23" s="446" t="s">
        <v>9</v>
      </c>
      <c r="AA23" s="451"/>
      <c r="AB23" s="90"/>
      <c r="AC23" s="90"/>
      <c r="AD23" s="90"/>
      <c r="AE23" s="90"/>
      <c r="AF23" s="480"/>
      <c r="AG23" s="90"/>
      <c r="AH23" s="90"/>
      <c r="AI23" s="90"/>
      <c r="AJ23" s="90"/>
      <c r="AK23" s="329"/>
      <c r="AL23" s="329"/>
      <c r="AM23" s="329"/>
      <c r="AN23" s="90"/>
      <c r="AO23" s="90"/>
      <c r="AP23" s="90"/>
      <c r="AQ23" s="446" t="s">
        <v>433</v>
      </c>
      <c r="AR23" s="90"/>
      <c r="AS23" s="446" t="s">
        <v>9</v>
      </c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480"/>
      <c r="BJ23" s="90"/>
      <c r="BK23" s="90"/>
    </row>
    <row r="24" spans="1:63" s="5" customFormat="1">
      <c r="A24" s="542">
        <f>'1-συμβολαια'!A24</f>
        <v>4616</v>
      </c>
      <c r="B24" s="443" t="str">
        <f>'1-συμβολαια'!C24</f>
        <v>δωρεά</v>
      </c>
      <c r="C24" s="324">
        <f>'4-πολλυπρ'!D24</f>
        <v>0</v>
      </c>
      <c r="D24" s="324">
        <f>'4-πολλυπρ'!I24</f>
        <v>0</v>
      </c>
      <c r="E24" s="324">
        <v>2</v>
      </c>
      <c r="F24" s="411">
        <f t="shared" si="2"/>
        <v>6.46</v>
      </c>
      <c r="G24" s="411">
        <v>5.87</v>
      </c>
      <c r="H24" s="261"/>
      <c r="I24" s="411">
        <f t="shared" si="0"/>
        <v>12.33</v>
      </c>
      <c r="J24" s="330" t="s">
        <v>530</v>
      </c>
      <c r="K24" s="444" t="s">
        <v>176</v>
      </c>
      <c r="L24" s="444"/>
      <c r="M24" s="411">
        <v>5.87</v>
      </c>
      <c r="N24" s="411">
        <v>5.87</v>
      </c>
      <c r="O24" s="411">
        <v>1.98</v>
      </c>
      <c r="P24" s="411"/>
      <c r="Q24" s="411">
        <f t="shared" si="1"/>
        <v>11.74</v>
      </c>
      <c r="R24" s="324"/>
      <c r="S24" s="324"/>
      <c r="T24" s="324"/>
      <c r="U24" s="324"/>
      <c r="V24" s="480"/>
      <c r="W24" s="90"/>
      <c r="X24" s="446" t="s">
        <v>433</v>
      </c>
      <c r="Y24" s="90"/>
      <c r="Z24" s="446" t="s">
        <v>9</v>
      </c>
      <c r="AA24" s="451"/>
      <c r="AB24" s="90"/>
      <c r="AC24" s="90"/>
      <c r="AD24" s="90"/>
      <c r="AE24" s="90"/>
      <c r="AF24" s="480">
        <v>38435</v>
      </c>
      <c r="AG24" s="90"/>
      <c r="AH24" s="442" t="s">
        <v>433</v>
      </c>
      <c r="AI24" s="90">
        <v>404</v>
      </c>
      <c r="AJ24" s="90">
        <v>21</v>
      </c>
      <c r="AK24" s="329"/>
      <c r="AL24" s="329"/>
      <c r="AM24" s="329"/>
      <c r="AN24" s="90"/>
      <c r="AO24" s="90"/>
      <c r="AP24" s="90"/>
      <c r="AQ24" s="446" t="s">
        <v>433</v>
      </c>
      <c r="AR24" s="90"/>
      <c r="AS24" s="446" t="s">
        <v>9</v>
      </c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480"/>
      <c r="BJ24" s="90"/>
      <c r="BK24" s="90"/>
    </row>
    <row r="25" spans="1:63" s="5" customFormat="1">
      <c r="A25" s="542">
        <f>'1-συμβολαια'!A25</f>
        <v>0</v>
      </c>
      <c r="B25" s="443" t="str">
        <f>'1-συμβολαια'!C25</f>
        <v>ΧΡΗΣΙΚΤΗΣΙΑ αγροτεμαχίου = 1925 πατρός ΔΩΡΕΑ άτυπη</v>
      </c>
      <c r="C25" s="324">
        <f>'4-πολλυπρ'!D25</f>
        <v>0</v>
      </c>
      <c r="D25" s="324">
        <f>'4-πολλυπρ'!I25</f>
        <v>0</v>
      </c>
      <c r="E25" s="324"/>
      <c r="F25" s="411">
        <f t="shared" si="2"/>
        <v>0</v>
      </c>
      <c r="G25" s="411">
        <v>5.87</v>
      </c>
      <c r="H25" s="261"/>
      <c r="I25" s="411">
        <f t="shared" si="0"/>
        <v>5.87</v>
      </c>
      <c r="J25" s="330" t="s">
        <v>530</v>
      </c>
      <c r="K25" s="444" t="s">
        <v>176</v>
      </c>
      <c r="L25" s="444"/>
      <c r="M25" s="411"/>
      <c r="N25" s="411"/>
      <c r="O25" s="411"/>
      <c r="P25" s="411"/>
      <c r="Q25" s="411">
        <f t="shared" si="1"/>
        <v>0</v>
      </c>
      <c r="R25" s="324"/>
      <c r="S25" s="324"/>
      <c r="T25" s="324"/>
      <c r="U25" s="324"/>
      <c r="V25" s="480"/>
      <c r="W25" s="90"/>
      <c r="X25" s="446" t="s">
        <v>433</v>
      </c>
      <c r="Y25" s="90"/>
      <c r="Z25" s="446" t="s">
        <v>9</v>
      </c>
      <c r="AA25" s="451"/>
      <c r="AB25" s="90"/>
      <c r="AC25" s="90"/>
      <c r="AD25" s="90"/>
      <c r="AE25" s="90"/>
      <c r="AF25" s="480"/>
      <c r="AG25" s="90"/>
      <c r="AH25" s="90"/>
      <c r="AI25" s="90"/>
      <c r="AJ25" s="90"/>
      <c r="AK25" s="329"/>
      <c r="AL25" s="329"/>
      <c r="AM25" s="329"/>
      <c r="AN25" s="90"/>
      <c r="AO25" s="90"/>
      <c r="AP25" s="90"/>
      <c r="AQ25" s="446" t="s">
        <v>433</v>
      </c>
      <c r="AR25" s="90"/>
      <c r="AS25" s="446" t="s">
        <v>9</v>
      </c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480"/>
      <c r="BJ25" s="90"/>
      <c r="BK25" s="90"/>
    </row>
    <row r="26" spans="1:63" s="5" customFormat="1">
      <c r="A26" s="542">
        <f>'1-συμβολαια'!A26</f>
        <v>0</v>
      </c>
      <c r="B26" s="443" t="str">
        <f>'1-συμβολαια'!C26</f>
        <v>ΧΡΗΣΙΚΤΗΣΙΑ αγροτεμαχίου (νυν οικόπεδο) = 1975 ΑΝΑΔΑΣΜΟΣ</v>
      </c>
      <c r="C26" s="324">
        <f>'4-πολλυπρ'!D26</f>
        <v>0</v>
      </c>
      <c r="D26" s="324">
        <f>'4-πολλυπρ'!I26</f>
        <v>0</v>
      </c>
      <c r="E26" s="324"/>
      <c r="F26" s="411">
        <f t="shared" si="2"/>
        <v>0</v>
      </c>
      <c r="G26" s="411">
        <v>5.87</v>
      </c>
      <c r="H26" s="261"/>
      <c r="I26" s="411">
        <f t="shared" si="0"/>
        <v>5.87</v>
      </c>
      <c r="J26" s="330" t="s">
        <v>530</v>
      </c>
      <c r="K26" s="444" t="s">
        <v>176</v>
      </c>
      <c r="L26" s="444"/>
      <c r="M26" s="411"/>
      <c r="N26" s="411"/>
      <c r="O26" s="411"/>
      <c r="P26" s="411"/>
      <c r="Q26" s="411">
        <f t="shared" si="1"/>
        <v>0</v>
      </c>
      <c r="R26" s="324"/>
      <c r="S26" s="324"/>
      <c r="T26" s="324"/>
      <c r="U26" s="324"/>
      <c r="V26" s="480"/>
      <c r="W26" s="90"/>
      <c r="X26" s="446" t="s">
        <v>433</v>
      </c>
      <c r="Y26" s="90"/>
      <c r="Z26" s="446" t="s">
        <v>9</v>
      </c>
      <c r="AA26" s="451"/>
      <c r="AB26" s="90"/>
      <c r="AC26" s="90"/>
      <c r="AD26" s="90"/>
      <c r="AE26" s="90"/>
      <c r="AF26" s="480"/>
      <c r="AG26" s="90"/>
      <c r="AH26" s="90"/>
      <c r="AI26" s="90"/>
      <c r="AJ26" s="90"/>
      <c r="AK26" s="329"/>
      <c r="AL26" s="329"/>
      <c r="AM26" s="329"/>
      <c r="AN26" s="90"/>
      <c r="AO26" s="90"/>
      <c r="AP26" s="90"/>
      <c r="AQ26" s="446" t="s">
        <v>433</v>
      </c>
      <c r="AR26" s="90"/>
      <c r="AS26" s="446" t="s">
        <v>9</v>
      </c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480"/>
      <c r="BJ26" s="90"/>
      <c r="BK26" s="90"/>
    </row>
    <row r="27" spans="1:63" s="5" customFormat="1">
      <c r="A27" s="448">
        <f>'1-συμβολαια'!A27</f>
        <v>4617</v>
      </c>
      <c r="B27" s="443" t="str">
        <f>'1-συμβολαια'!C27</f>
        <v>προσύμφωνο μεταβιβάσεως ποσοστών οικοπέδου</v>
      </c>
      <c r="C27" s="324">
        <f>'4-πολλυπρ'!D27</f>
        <v>0</v>
      </c>
      <c r="D27" s="324">
        <f>'4-πολλυπρ'!I27</f>
        <v>0</v>
      </c>
      <c r="E27" s="324"/>
      <c r="F27" s="411"/>
      <c r="G27" s="411"/>
      <c r="H27" s="261"/>
      <c r="I27" s="411"/>
      <c r="J27" s="330"/>
      <c r="K27" s="444"/>
      <c r="L27" s="444"/>
      <c r="M27" s="411"/>
      <c r="N27" s="411"/>
      <c r="O27" s="411"/>
      <c r="P27" s="411"/>
      <c r="Q27" s="411"/>
      <c r="R27" s="324"/>
      <c r="S27" s="324"/>
      <c r="T27" s="324"/>
      <c r="U27" s="324"/>
      <c r="V27" s="480"/>
      <c r="W27" s="90"/>
      <c r="X27" s="446"/>
      <c r="Y27" s="90"/>
      <c r="Z27" s="446"/>
      <c r="AA27" s="451"/>
      <c r="AB27" s="90"/>
      <c r="AC27" s="90"/>
      <c r="AD27" s="90"/>
      <c r="AE27" s="90"/>
      <c r="AF27" s="480"/>
      <c r="AG27" s="90"/>
      <c r="AH27" s="90"/>
      <c r="AI27" s="90"/>
      <c r="AJ27" s="90"/>
      <c r="AK27" s="329"/>
      <c r="AL27" s="329"/>
      <c r="AM27" s="329"/>
      <c r="AN27" s="90"/>
      <c r="AO27" s="90"/>
      <c r="AP27" s="90"/>
      <c r="AQ27" s="446" t="s">
        <v>433</v>
      </c>
      <c r="AR27" s="90"/>
      <c r="AS27" s="446" t="s">
        <v>9</v>
      </c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90"/>
      <c r="BF27" s="90"/>
      <c r="BG27" s="90"/>
      <c r="BH27" s="90"/>
      <c r="BI27" s="480"/>
      <c r="BJ27" s="90"/>
      <c r="BK27" s="90"/>
    </row>
    <row r="28" spans="1:63" s="5" customFormat="1">
      <c r="A28" s="448">
        <f>'1-συμβολαια'!A28</f>
        <v>0</v>
      </c>
      <c r="B28" s="443" t="str">
        <f>'1-συμβολαια'!C28</f>
        <v>εργολαβικό</v>
      </c>
      <c r="C28" s="324">
        <f>'4-πολλυπρ'!D28</f>
        <v>0</v>
      </c>
      <c r="D28" s="324">
        <f>'4-πολλυπρ'!I28</f>
        <v>0</v>
      </c>
      <c r="E28" s="324"/>
      <c r="F28" s="411"/>
      <c r="G28" s="411"/>
      <c r="H28" s="261"/>
      <c r="I28" s="411"/>
      <c r="J28" s="330"/>
      <c r="K28" s="444"/>
      <c r="L28" s="444"/>
      <c r="M28" s="411"/>
      <c r="N28" s="411"/>
      <c r="O28" s="411"/>
      <c r="P28" s="411"/>
      <c r="Q28" s="411"/>
      <c r="R28" s="324"/>
      <c r="S28" s="324"/>
      <c r="T28" s="324"/>
      <c r="U28" s="324"/>
      <c r="V28" s="480"/>
      <c r="W28" s="90"/>
      <c r="X28" s="446"/>
      <c r="Y28" s="90"/>
      <c r="Z28" s="446"/>
      <c r="AA28" s="451"/>
      <c r="AB28" s="90"/>
      <c r="AC28" s="90"/>
      <c r="AD28" s="90"/>
      <c r="AE28" s="90"/>
      <c r="AF28" s="480"/>
      <c r="AG28" s="90"/>
      <c r="AH28" s="90"/>
      <c r="AI28" s="90"/>
      <c r="AJ28" s="90"/>
      <c r="AK28" s="329"/>
      <c r="AL28" s="329"/>
      <c r="AM28" s="329"/>
      <c r="AN28" s="90"/>
      <c r="AO28" s="90"/>
      <c r="AP28" s="90"/>
      <c r="AQ28" s="446" t="s">
        <v>433</v>
      </c>
      <c r="AR28" s="90"/>
      <c r="AS28" s="446" t="s">
        <v>9</v>
      </c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0"/>
      <c r="BH28" s="90"/>
      <c r="BI28" s="480"/>
      <c r="BJ28" s="90"/>
      <c r="BK28" s="90"/>
    </row>
    <row r="29" spans="1:63" s="5" customFormat="1">
      <c r="A29" s="442">
        <f>'1-συμβολαια'!A29</f>
        <v>4618</v>
      </c>
      <c r="B29" s="443" t="str">
        <f>'1-συμβολαια'!C29</f>
        <v>πληρεξούσιο</v>
      </c>
      <c r="C29" s="324">
        <f>'4-πολλυπρ'!D29</f>
        <v>0</v>
      </c>
      <c r="D29" s="324">
        <f>'4-πολλυπρ'!I29</f>
        <v>0</v>
      </c>
      <c r="E29" s="324"/>
      <c r="F29" s="411"/>
      <c r="G29" s="411"/>
      <c r="H29" s="261"/>
      <c r="I29" s="411"/>
      <c r="J29" s="330"/>
      <c r="K29" s="444"/>
      <c r="L29" s="444"/>
      <c r="M29" s="411"/>
      <c r="N29" s="411"/>
      <c r="O29" s="411"/>
      <c r="P29" s="411"/>
      <c r="Q29" s="411"/>
      <c r="R29" s="324"/>
      <c r="S29" s="324"/>
      <c r="T29" s="324"/>
      <c r="U29" s="324"/>
      <c r="V29" s="480"/>
      <c r="W29" s="90"/>
      <c r="X29" s="446" t="s">
        <v>433</v>
      </c>
      <c r="Y29" s="90"/>
      <c r="Z29" s="446" t="s">
        <v>9</v>
      </c>
      <c r="AA29" s="451"/>
      <c r="AB29" s="90"/>
      <c r="AC29" s="90"/>
      <c r="AD29" s="90"/>
      <c r="AE29" s="90"/>
      <c r="AF29" s="480"/>
      <c r="AG29" s="90"/>
      <c r="AH29" s="90"/>
      <c r="AI29" s="90"/>
      <c r="AJ29" s="90"/>
      <c r="AK29" s="329"/>
      <c r="AL29" s="329"/>
      <c r="AM29" s="329"/>
      <c r="AN29" s="90"/>
      <c r="AO29" s="90"/>
      <c r="AP29" s="90"/>
      <c r="AQ29" s="446" t="s">
        <v>433</v>
      </c>
      <c r="AR29" s="90"/>
      <c r="AS29" s="446" t="s">
        <v>9</v>
      </c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90"/>
      <c r="BF29" s="90"/>
      <c r="BG29" s="90"/>
      <c r="BH29" s="90"/>
      <c r="BI29" s="480"/>
      <c r="BJ29" s="90"/>
      <c r="BK29" s="90"/>
    </row>
    <row r="30" spans="1:63" s="5" customFormat="1">
      <c r="A30" s="448">
        <f>'1-συμβολαια'!A30</f>
        <v>4619</v>
      </c>
      <c r="B30" s="443" t="str">
        <f>'1-συμβολαια'!C30</f>
        <v>αγοραπωλησίας ΠΡΟΣΥΜΦΩΝΟ τίμημα = αρραβών =</v>
      </c>
      <c r="C30" s="324">
        <f>'4-πολλυπρ'!D30</f>
        <v>0</v>
      </c>
      <c r="D30" s="324">
        <f>'4-πολλυπρ'!I30</f>
        <v>0</v>
      </c>
      <c r="E30" s="324"/>
      <c r="F30" s="411"/>
      <c r="G30" s="411"/>
      <c r="H30" s="261"/>
      <c r="I30" s="411"/>
      <c r="J30" s="330"/>
      <c r="K30" s="444"/>
      <c r="L30" s="444"/>
      <c r="M30" s="411"/>
      <c r="N30" s="411"/>
      <c r="O30" s="411"/>
      <c r="P30" s="411"/>
      <c r="Q30" s="411"/>
      <c r="R30" s="324"/>
      <c r="S30" s="324"/>
      <c r="T30" s="324"/>
      <c r="U30" s="324"/>
      <c r="V30" s="480"/>
      <c r="W30" s="90"/>
      <c r="X30" s="446" t="s">
        <v>433</v>
      </c>
      <c r="Y30" s="90"/>
      <c r="Z30" s="446" t="s">
        <v>9</v>
      </c>
      <c r="AA30" s="451"/>
      <c r="AB30" s="90"/>
      <c r="AC30" s="90"/>
      <c r="AD30" s="90"/>
      <c r="AE30" s="90"/>
      <c r="AF30" s="480"/>
      <c r="AG30" s="90"/>
      <c r="AH30" s="90"/>
      <c r="AI30" s="90"/>
      <c r="AJ30" s="90"/>
      <c r="AK30" s="329"/>
      <c r="AL30" s="329"/>
      <c r="AM30" s="329"/>
      <c r="AN30" s="90"/>
      <c r="AO30" s="90"/>
      <c r="AP30" s="90"/>
      <c r="AQ30" s="446" t="s">
        <v>433</v>
      </c>
      <c r="AR30" s="90"/>
      <c r="AS30" s="446" t="s">
        <v>9</v>
      </c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480"/>
      <c r="BJ30" s="90"/>
      <c r="BK30" s="90"/>
    </row>
    <row r="31" spans="1:63" s="5" customFormat="1">
      <c r="A31" s="448">
        <f>'1-συμβολαια'!A31</f>
        <v>0</v>
      </c>
      <c r="B31" s="443" t="str">
        <f>'1-συμβολαια'!C31</f>
        <v>ΧΡΗΣΙΚΤΗΣΙΑ αγροτεμαχίου = 1975 πατρός ΔΩΡΕΑ άτυπη</v>
      </c>
      <c r="C31" s="324">
        <f>'4-πολλυπρ'!D31</f>
        <v>0</v>
      </c>
      <c r="D31" s="324">
        <f>'4-πολλυπρ'!I31</f>
        <v>0</v>
      </c>
      <c r="E31" s="324"/>
      <c r="F31" s="411"/>
      <c r="G31" s="411"/>
      <c r="H31" s="261"/>
      <c r="I31" s="411"/>
      <c r="J31" s="330"/>
      <c r="K31" s="444"/>
      <c r="L31" s="444"/>
      <c r="M31" s="411"/>
      <c r="N31" s="411"/>
      <c r="O31" s="411"/>
      <c r="P31" s="411"/>
      <c r="Q31" s="411"/>
      <c r="R31" s="324"/>
      <c r="S31" s="324"/>
      <c r="T31" s="324"/>
      <c r="U31" s="324"/>
      <c r="V31" s="480"/>
      <c r="W31" s="90"/>
      <c r="X31" s="446" t="s">
        <v>433</v>
      </c>
      <c r="Y31" s="90"/>
      <c r="Z31" s="446" t="s">
        <v>9</v>
      </c>
      <c r="AA31" s="451"/>
      <c r="AB31" s="90"/>
      <c r="AC31" s="90"/>
      <c r="AD31" s="90"/>
      <c r="AE31" s="90"/>
      <c r="AF31" s="480"/>
      <c r="AG31" s="90"/>
      <c r="AH31" s="90"/>
      <c r="AI31" s="90"/>
      <c r="AJ31" s="90"/>
      <c r="AK31" s="329"/>
      <c r="AL31" s="329"/>
      <c r="AM31" s="329"/>
      <c r="AN31" s="90"/>
      <c r="AO31" s="90"/>
      <c r="AP31" s="90"/>
      <c r="AQ31" s="446" t="s">
        <v>433</v>
      </c>
      <c r="AR31" s="90"/>
      <c r="AS31" s="446" t="s">
        <v>9</v>
      </c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90"/>
      <c r="BF31" s="90"/>
      <c r="BG31" s="90"/>
      <c r="BH31" s="90"/>
      <c r="BI31" s="480"/>
      <c r="BJ31" s="90"/>
      <c r="BK31" s="90"/>
    </row>
    <row r="32" spans="1:63" s="5" customFormat="1">
      <c r="A32" s="557">
        <f>'1-συμβολαια'!A32</f>
        <v>4620</v>
      </c>
      <c r="B32" s="443" t="str">
        <f>'1-συμβολαια'!C32</f>
        <v>γονική</v>
      </c>
      <c r="C32" s="324">
        <f>'4-πολλυπρ'!D32</f>
        <v>0</v>
      </c>
      <c r="D32" s="324">
        <f>'4-πολλυπρ'!I32</f>
        <v>0</v>
      </c>
      <c r="E32" s="324">
        <v>2</v>
      </c>
      <c r="F32" s="411">
        <f t="shared" si="2"/>
        <v>6.46</v>
      </c>
      <c r="G32" s="411">
        <v>5.87</v>
      </c>
      <c r="H32" s="261"/>
      <c r="I32" s="411">
        <f t="shared" si="0"/>
        <v>12.33</v>
      </c>
      <c r="J32" s="330" t="s">
        <v>530</v>
      </c>
      <c r="K32" s="444" t="s">
        <v>176</v>
      </c>
      <c r="L32" s="444"/>
      <c r="M32" s="411">
        <v>5.87</v>
      </c>
      <c r="N32" s="411">
        <v>5.87</v>
      </c>
      <c r="O32" s="411">
        <v>1.98</v>
      </c>
      <c r="P32" s="411"/>
      <c r="Q32" s="411">
        <f t="shared" si="1"/>
        <v>11.74</v>
      </c>
      <c r="R32" s="324"/>
      <c r="S32" s="324"/>
      <c r="T32" s="514" t="s">
        <v>594</v>
      </c>
      <c r="U32" s="324"/>
      <c r="V32" s="480"/>
      <c r="W32" s="90"/>
      <c r="X32" s="446" t="s">
        <v>433</v>
      </c>
      <c r="Y32" s="90"/>
      <c r="Z32" s="446" t="s">
        <v>9</v>
      </c>
      <c r="AA32" s="451"/>
      <c r="AB32" s="90"/>
      <c r="AC32" s="90"/>
      <c r="AD32" s="90"/>
      <c r="AE32" s="90"/>
      <c r="AF32" s="480"/>
      <c r="AG32" s="90"/>
      <c r="AH32" s="90"/>
      <c r="AI32" s="90"/>
      <c r="AJ32" s="90"/>
      <c r="AK32" s="329"/>
      <c r="AL32" s="329"/>
      <c r="AM32" s="329"/>
      <c r="AN32" s="90"/>
      <c r="AO32" s="90"/>
      <c r="AP32" s="90"/>
      <c r="AQ32" s="446" t="s">
        <v>433</v>
      </c>
      <c r="AR32" s="90"/>
      <c r="AS32" s="446" t="s">
        <v>9</v>
      </c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0"/>
      <c r="BH32" s="90"/>
      <c r="BI32" s="480"/>
      <c r="BJ32" s="90"/>
      <c r="BK32" s="90"/>
    </row>
    <row r="33" spans="1:63" s="5" customFormat="1">
      <c r="A33" s="542">
        <f>'1-συμβολαια'!A33</f>
        <v>0</v>
      </c>
      <c r="B33" s="443" t="str">
        <f>'1-συμβολαια'!C33</f>
        <v>κάθετος ΣΥΣΤΑΣΗ</v>
      </c>
      <c r="C33" s="324">
        <f>'4-πολλυπρ'!D33</f>
        <v>0</v>
      </c>
      <c r="D33" s="324">
        <f>'4-πολλυπρ'!I33</f>
        <v>0</v>
      </c>
      <c r="E33" s="324"/>
      <c r="F33" s="411">
        <f t="shared" si="2"/>
        <v>0</v>
      </c>
      <c r="G33" s="411">
        <v>5.87</v>
      </c>
      <c r="H33" s="261"/>
      <c r="I33" s="411"/>
      <c r="J33" s="330"/>
      <c r="K33" s="444"/>
      <c r="L33" s="444"/>
      <c r="M33" s="411"/>
      <c r="N33" s="411"/>
      <c r="O33" s="411"/>
      <c r="P33" s="411"/>
      <c r="Q33" s="411"/>
      <c r="R33" s="324"/>
      <c r="S33" s="324"/>
      <c r="T33" s="324"/>
      <c r="U33" s="324"/>
      <c r="V33" s="480"/>
      <c r="W33" s="90"/>
      <c r="X33" s="446" t="s">
        <v>433</v>
      </c>
      <c r="Y33" s="90"/>
      <c r="Z33" s="446" t="s">
        <v>9</v>
      </c>
      <c r="AA33" s="451"/>
      <c r="AB33" s="90"/>
      <c r="AC33" s="90"/>
      <c r="AD33" s="90"/>
      <c r="AE33" s="90"/>
      <c r="AF33" s="480"/>
      <c r="AG33" s="90"/>
      <c r="AH33" s="90"/>
      <c r="AI33" s="90"/>
      <c r="AJ33" s="90"/>
      <c r="AK33" s="329"/>
      <c r="AL33" s="329"/>
      <c r="AM33" s="329"/>
      <c r="AN33" s="90"/>
      <c r="AO33" s="90"/>
      <c r="AP33" s="90"/>
      <c r="AQ33" s="446" t="s">
        <v>433</v>
      </c>
      <c r="AR33" s="90"/>
      <c r="AS33" s="446" t="s">
        <v>9</v>
      </c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90"/>
      <c r="BF33" s="90"/>
      <c r="BG33" s="90"/>
      <c r="BH33" s="90"/>
      <c r="BI33" s="480"/>
      <c r="BJ33" s="90"/>
      <c r="BK33" s="90"/>
    </row>
    <row r="34" spans="1:63" s="5" customFormat="1">
      <c r="A34" s="542">
        <f>'1-συμβολαια'!A34</f>
        <v>0</v>
      </c>
      <c r="B34" s="443" t="str">
        <f>'1-συμβολαια'!C34</f>
        <v>ΧΡΗΣΙΚΤΗΣΙΑ αγροτεμαχίου (νυν οικόπεδο) = 19?? ΑΝΑΔΑΣΜΟΣ</v>
      </c>
      <c r="C34" s="324">
        <f>'4-πολλυπρ'!D34</f>
        <v>0</v>
      </c>
      <c r="D34" s="324">
        <f>'4-πολλυπρ'!I34</f>
        <v>0</v>
      </c>
      <c r="E34" s="324"/>
      <c r="F34" s="411">
        <f t="shared" si="2"/>
        <v>0</v>
      </c>
      <c r="G34" s="411">
        <v>5.87</v>
      </c>
      <c r="H34" s="261"/>
      <c r="I34" s="411"/>
      <c r="J34" s="330"/>
      <c r="K34" s="444"/>
      <c r="L34" s="444"/>
      <c r="M34" s="411"/>
      <c r="N34" s="411"/>
      <c r="O34" s="411"/>
      <c r="P34" s="411"/>
      <c r="Q34" s="411"/>
      <c r="R34" s="324"/>
      <c r="S34" s="324"/>
      <c r="T34" s="324"/>
      <c r="U34" s="324"/>
      <c r="V34" s="480"/>
      <c r="W34" s="90"/>
      <c r="X34" s="446" t="s">
        <v>433</v>
      </c>
      <c r="Y34" s="90"/>
      <c r="Z34" s="446" t="s">
        <v>9</v>
      </c>
      <c r="AA34" s="451"/>
      <c r="AB34" s="90"/>
      <c r="AC34" s="90"/>
      <c r="AD34" s="90"/>
      <c r="AE34" s="90"/>
      <c r="AF34" s="480"/>
      <c r="AG34" s="90"/>
      <c r="AH34" s="90"/>
      <c r="AI34" s="90"/>
      <c r="AJ34" s="90"/>
      <c r="AK34" s="329"/>
      <c r="AL34" s="329"/>
      <c r="AM34" s="329"/>
      <c r="AN34" s="90"/>
      <c r="AO34" s="90"/>
      <c r="AP34" s="90"/>
      <c r="AQ34" s="446" t="s">
        <v>433</v>
      </c>
      <c r="AR34" s="90"/>
      <c r="AS34" s="446" t="s">
        <v>9</v>
      </c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0"/>
      <c r="BH34" s="90"/>
      <c r="BI34" s="480"/>
      <c r="BJ34" s="90"/>
      <c r="BK34" s="90"/>
    </row>
    <row r="35" spans="1:63" s="5" customFormat="1">
      <c r="A35" s="557">
        <f>'1-συμβολαια'!A35</f>
        <v>4621</v>
      </c>
      <c r="B35" s="443" t="str">
        <f>'1-συμβολαια'!C35</f>
        <v>γονική</v>
      </c>
      <c r="C35" s="324">
        <f>'4-πολλυπρ'!D35</f>
        <v>0</v>
      </c>
      <c r="D35" s="324">
        <f>'4-πολλυπρ'!I35</f>
        <v>0</v>
      </c>
      <c r="E35" s="324">
        <v>2</v>
      </c>
      <c r="F35" s="411">
        <f t="shared" si="2"/>
        <v>6.46</v>
      </c>
      <c r="G35" s="411">
        <v>5.87</v>
      </c>
      <c r="H35" s="408"/>
      <c r="I35" s="411">
        <f t="shared" si="0"/>
        <v>12.33</v>
      </c>
      <c r="J35" s="330" t="s">
        <v>530</v>
      </c>
      <c r="K35" s="444" t="s">
        <v>176</v>
      </c>
      <c r="L35" s="444"/>
      <c r="M35" s="411">
        <v>5.87</v>
      </c>
      <c r="N35" s="411">
        <v>5.87</v>
      </c>
      <c r="O35" s="411">
        <v>1.98</v>
      </c>
      <c r="P35" s="411">
        <v>1.98</v>
      </c>
      <c r="Q35" s="411">
        <f t="shared" si="1"/>
        <v>11.74</v>
      </c>
      <c r="R35" s="324"/>
      <c r="S35" s="324"/>
      <c r="T35" s="514" t="s">
        <v>594</v>
      </c>
      <c r="U35" s="324"/>
      <c r="V35" s="480"/>
      <c r="W35" s="90"/>
      <c r="X35" s="446" t="s">
        <v>433</v>
      </c>
      <c r="Y35" s="90"/>
      <c r="Z35" s="446" t="s">
        <v>9</v>
      </c>
      <c r="AA35" s="451"/>
      <c r="AB35" s="90"/>
      <c r="AC35" s="90"/>
      <c r="AD35" s="90"/>
      <c r="AE35" s="90"/>
      <c r="AF35" s="480"/>
      <c r="AG35" s="90"/>
      <c r="AH35" s="90"/>
      <c r="AI35" s="90"/>
      <c r="AJ35" s="90"/>
      <c r="AK35" s="329"/>
      <c r="AL35" s="329"/>
      <c r="AM35" s="329"/>
      <c r="AN35" s="90"/>
      <c r="AO35" s="90"/>
      <c r="AP35" s="90"/>
      <c r="AQ35" s="446" t="s">
        <v>433</v>
      </c>
      <c r="AR35" s="90"/>
      <c r="AS35" s="446" t="s">
        <v>9</v>
      </c>
      <c r="AT35" s="90"/>
      <c r="AU35" s="90"/>
      <c r="AV35" s="90"/>
      <c r="AW35" s="90"/>
      <c r="AX35" s="90"/>
      <c r="AY35" s="90"/>
      <c r="AZ35" s="90"/>
      <c r="BA35" s="90"/>
      <c r="BB35" s="90"/>
      <c r="BC35" s="90"/>
      <c r="BD35" s="90"/>
      <c r="BE35" s="90"/>
      <c r="BF35" s="90"/>
      <c r="BG35" s="90"/>
      <c r="BH35" s="90"/>
      <c r="BI35" s="480"/>
      <c r="BJ35" s="90"/>
      <c r="BK35" s="90"/>
    </row>
    <row r="36" spans="1:63" s="5" customFormat="1">
      <c r="A36" s="448">
        <f>'1-συμβολαια'!A36</f>
        <v>0</v>
      </c>
      <c r="B36" s="443" t="str">
        <f>'1-συμβολαια'!C36</f>
        <v>οριζόντιος ΣΥΣΤΑΣΗ</v>
      </c>
      <c r="C36" s="324">
        <f>'4-πολλυπρ'!D36</f>
        <v>0</v>
      </c>
      <c r="D36" s="324">
        <f>'4-πολλυπρ'!I36</f>
        <v>0</v>
      </c>
      <c r="E36" s="324">
        <v>2</v>
      </c>
      <c r="F36" s="411">
        <f t="shared" si="2"/>
        <v>6.46</v>
      </c>
      <c r="G36" s="411">
        <v>5.87</v>
      </c>
      <c r="H36" s="408"/>
      <c r="I36" s="411">
        <f t="shared" si="0"/>
        <v>12.33</v>
      </c>
      <c r="J36" s="330" t="s">
        <v>530</v>
      </c>
      <c r="K36" s="444" t="s">
        <v>176</v>
      </c>
      <c r="L36" s="444"/>
      <c r="M36" s="411"/>
      <c r="N36" s="411"/>
      <c r="O36" s="411"/>
      <c r="P36" s="411"/>
      <c r="Q36" s="411">
        <f t="shared" si="1"/>
        <v>0</v>
      </c>
      <c r="R36" s="324"/>
      <c r="S36" s="324"/>
      <c r="T36" s="324"/>
      <c r="U36" s="324"/>
      <c r="V36" s="480"/>
      <c r="W36" s="90"/>
      <c r="X36" s="446" t="s">
        <v>433</v>
      </c>
      <c r="Y36" s="90"/>
      <c r="Z36" s="446" t="s">
        <v>9</v>
      </c>
      <c r="AA36" s="451"/>
      <c r="AB36" s="90"/>
      <c r="AC36" s="90"/>
      <c r="AD36" s="90"/>
      <c r="AE36" s="90"/>
      <c r="AF36" s="480"/>
      <c r="AG36" s="90"/>
      <c r="AH36" s="90"/>
      <c r="AI36" s="90"/>
      <c r="AJ36" s="90"/>
      <c r="AK36" s="329"/>
      <c r="AL36" s="329"/>
      <c r="AM36" s="329"/>
      <c r="AN36" s="90"/>
      <c r="AO36" s="90"/>
      <c r="AP36" s="90"/>
      <c r="AQ36" s="446" t="s">
        <v>433</v>
      </c>
      <c r="AR36" s="90"/>
      <c r="AS36" s="446" t="s">
        <v>9</v>
      </c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0"/>
      <c r="BH36" s="90"/>
      <c r="BI36" s="480"/>
      <c r="BJ36" s="90"/>
      <c r="BK36" s="90"/>
    </row>
    <row r="37" spans="1:63" s="5" customFormat="1">
      <c r="A37" s="442">
        <f>'1-συμβολαια'!A37</f>
        <v>4622</v>
      </c>
      <c r="B37" s="443" t="str">
        <f>'1-συμβολαια'!C37</f>
        <v>πληρεξούσιο</v>
      </c>
      <c r="C37" s="324">
        <f>'4-πολλυπρ'!D37</f>
        <v>0</v>
      </c>
      <c r="D37" s="324">
        <f>'4-πολλυπρ'!I37</f>
        <v>0</v>
      </c>
      <c r="E37" s="324"/>
      <c r="F37" s="411"/>
      <c r="G37" s="411"/>
      <c r="H37" s="408"/>
      <c r="I37" s="411"/>
      <c r="J37" s="330"/>
      <c r="K37" s="444"/>
      <c r="L37" s="444"/>
      <c r="M37" s="411"/>
      <c r="N37" s="411"/>
      <c r="O37" s="411"/>
      <c r="P37" s="411"/>
      <c r="Q37" s="411"/>
      <c r="R37" s="324"/>
      <c r="S37" s="324"/>
      <c r="T37" s="324"/>
      <c r="U37" s="324"/>
      <c r="V37" s="480"/>
      <c r="W37" s="90"/>
      <c r="X37" s="446" t="s">
        <v>433</v>
      </c>
      <c r="Y37" s="90"/>
      <c r="Z37" s="446" t="s">
        <v>9</v>
      </c>
      <c r="AA37" s="451"/>
      <c r="AB37" s="90"/>
      <c r="AC37" s="90"/>
      <c r="AD37" s="90"/>
      <c r="AE37" s="90"/>
      <c r="AF37" s="480"/>
      <c r="AG37" s="90"/>
      <c r="AH37" s="90"/>
      <c r="AI37" s="90"/>
      <c r="AJ37" s="90"/>
      <c r="AK37" s="329"/>
      <c r="AL37" s="329"/>
      <c r="AM37" s="329"/>
      <c r="AN37" s="90"/>
      <c r="AO37" s="90"/>
      <c r="AP37" s="90"/>
      <c r="AQ37" s="446" t="s">
        <v>433</v>
      </c>
      <c r="AR37" s="90"/>
      <c r="AS37" s="446" t="s">
        <v>9</v>
      </c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480"/>
      <c r="BJ37" s="90"/>
      <c r="BK37" s="90"/>
    </row>
    <row r="38" spans="1:63" s="5" customFormat="1">
      <c r="A38" s="442">
        <f>'1-συμβολαια'!A38</f>
        <v>4623</v>
      </c>
      <c r="B38" s="443" t="str">
        <f>'1-συμβολαια'!C38</f>
        <v>πληρεξούσιο</v>
      </c>
      <c r="C38" s="324">
        <f>'4-πολλυπρ'!D38</f>
        <v>0</v>
      </c>
      <c r="D38" s="324">
        <f>'4-πολλυπρ'!I38</f>
        <v>0</v>
      </c>
      <c r="E38" s="324"/>
      <c r="F38" s="411"/>
      <c r="G38" s="411"/>
      <c r="H38" s="408"/>
      <c r="I38" s="411"/>
      <c r="J38" s="330"/>
      <c r="K38" s="444"/>
      <c r="L38" s="444"/>
      <c r="M38" s="411"/>
      <c r="N38" s="411"/>
      <c r="O38" s="411"/>
      <c r="P38" s="411"/>
      <c r="Q38" s="411"/>
      <c r="R38" s="324"/>
      <c r="S38" s="324"/>
      <c r="T38" s="324"/>
      <c r="U38" s="324"/>
      <c r="V38" s="480"/>
      <c r="W38" s="90"/>
      <c r="X38" s="446" t="s">
        <v>433</v>
      </c>
      <c r="Y38" s="90"/>
      <c r="Z38" s="446" t="s">
        <v>9</v>
      </c>
      <c r="AA38" s="451"/>
      <c r="AB38" s="90"/>
      <c r="AC38" s="90"/>
      <c r="AD38" s="90"/>
      <c r="AE38" s="90"/>
      <c r="AF38" s="480"/>
      <c r="AG38" s="90"/>
      <c r="AH38" s="90"/>
      <c r="AI38" s="90"/>
      <c r="AJ38" s="90"/>
      <c r="AK38" s="329"/>
      <c r="AL38" s="329"/>
      <c r="AM38" s="329"/>
      <c r="AN38" s="90"/>
      <c r="AO38" s="90"/>
      <c r="AP38" s="90"/>
      <c r="AQ38" s="446" t="s">
        <v>433</v>
      </c>
      <c r="AR38" s="90"/>
      <c r="AS38" s="446" t="s">
        <v>9</v>
      </c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480"/>
      <c r="BJ38" s="90"/>
      <c r="BK38" s="90"/>
    </row>
    <row r="39" spans="1:63" s="5" customFormat="1">
      <c r="A39" s="448">
        <f>'1-συμβολαια'!A39</f>
        <v>4624</v>
      </c>
      <c r="B39" s="443" t="str">
        <f>'1-συμβολαια'!C39</f>
        <v>*γονική ΨΙΛΗΣ ΚΥΡΙΟΤΗΤΑΣ</v>
      </c>
      <c r="C39" s="324">
        <f>'4-πολλυπρ'!D39</f>
        <v>0</v>
      </c>
      <c r="D39" s="324">
        <f>'4-πολλυπρ'!I39</f>
        <v>0</v>
      </c>
      <c r="E39" s="324">
        <v>2</v>
      </c>
      <c r="F39" s="411">
        <f t="shared" si="2"/>
        <v>6.46</v>
      </c>
      <c r="G39" s="411">
        <v>5.87</v>
      </c>
      <c r="H39" s="408"/>
      <c r="I39" s="411">
        <f t="shared" si="0"/>
        <v>12.33</v>
      </c>
      <c r="J39" s="330" t="s">
        <v>530</v>
      </c>
      <c r="K39" s="444" t="s">
        <v>176</v>
      </c>
      <c r="L39" s="444"/>
      <c r="M39" s="411">
        <v>5.87</v>
      </c>
      <c r="N39" s="411">
        <v>5.87</v>
      </c>
      <c r="O39" s="411">
        <v>1.98</v>
      </c>
      <c r="P39" s="411"/>
      <c r="Q39" s="411">
        <f t="shared" si="1"/>
        <v>11.74</v>
      </c>
      <c r="R39" s="324"/>
      <c r="S39" s="324"/>
      <c r="T39" s="324"/>
      <c r="U39" s="324"/>
      <c r="V39" s="480"/>
      <c r="W39" s="90"/>
      <c r="X39" s="446" t="s">
        <v>433</v>
      </c>
      <c r="Y39" s="90"/>
      <c r="Z39" s="446" t="s">
        <v>9</v>
      </c>
      <c r="AA39" s="451"/>
      <c r="AB39" s="90"/>
      <c r="AC39" s="90"/>
      <c r="AD39" s="90"/>
      <c r="AE39" s="90"/>
      <c r="AF39" s="480">
        <v>38428</v>
      </c>
      <c r="AG39" s="90"/>
      <c r="AH39" s="90" t="s">
        <v>433</v>
      </c>
      <c r="AI39" s="90">
        <v>403</v>
      </c>
      <c r="AJ39" s="90">
        <v>70</v>
      </c>
      <c r="AK39" s="329"/>
      <c r="AL39" s="329"/>
      <c r="AM39" s="329"/>
      <c r="AN39" s="90"/>
      <c r="AO39" s="90"/>
      <c r="AP39" s="90"/>
      <c r="AQ39" s="446" t="s">
        <v>433</v>
      </c>
      <c r="AR39" s="90"/>
      <c r="AS39" s="446" t="s">
        <v>9</v>
      </c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90"/>
      <c r="BI39" s="480"/>
      <c r="BJ39" s="90"/>
      <c r="BK39" s="90"/>
    </row>
    <row r="40" spans="1:63" s="5" customFormat="1">
      <c r="A40" s="448">
        <f>'1-συμβολαια'!A40</f>
        <v>0</v>
      </c>
      <c r="B40" s="443" t="str">
        <f>'1-συμβολαια'!C40</f>
        <v>ΧΡΗΣΙΚΤΗΣΙΑ οικοπέδου = 1949 πατρός ΔΩΡΕΑ άτυπη</v>
      </c>
      <c r="C40" s="324">
        <f>'4-πολλυπρ'!D40</f>
        <v>0</v>
      </c>
      <c r="D40" s="324">
        <f>'4-πολλυπρ'!I40</f>
        <v>0</v>
      </c>
      <c r="E40" s="324"/>
      <c r="F40" s="411"/>
      <c r="G40" s="411"/>
      <c r="H40" s="408"/>
      <c r="I40" s="411">
        <f t="shared" si="0"/>
        <v>0</v>
      </c>
      <c r="J40" s="330"/>
      <c r="K40" s="444"/>
      <c r="L40" s="444"/>
      <c r="M40" s="411"/>
      <c r="N40" s="411"/>
      <c r="O40" s="411"/>
      <c r="P40" s="411"/>
      <c r="Q40" s="411">
        <f t="shared" si="1"/>
        <v>0</v>
      </c>
      <c r="R40" s="324"/>
      <c r="S40" s="324"/>
      <c r="T40" s="324"/>
      <c r="U40" s="324"/>
      <c r="V40" s="480"/>
      <c r="W40" s="90"/>
      <c r="X40" s="446" t="s">
        <v>433</v>
      </c>
      <c r="Y40" s="90"/>
      <c r="Z40" s="446" t="s">
        <v>9</v>
      </c>
      <c r="AA40" s="451"/>
      <c r="AB40" s="90"/>
      <c r="AC40" s="90"/>
      <c r="AD40" s="90"/>
      <c r="AE40" s="90"/>
      <c r="AF40" s="480"/>
      <c r="AG40" s="90"/>
      <c r="AH40" s="90"/>
      <c r="AI40" s="90"/>
      <c r="AJ40" s="90"/>
      <c r="AK40" s="329"/>
      <c r="AL40" s="329"/>
      <c r="AM40" s="329"/>
      <c r="AN40" s="90"/>
      <c r="AO40" s="90"/>
      <c r="AP40" s="90"/>
      <c r="AQ40" s="446" t="s">
        <v>433</v>
      </c>
      <c r="AR40" s="90"/>
      <c r="AS40" s="446" t="s">
        <v>9</v>
      </c>
      <c r="AT40" s="90"/>
      <c r="AU40" s="90"/>
      <c r="AV40" s="90"/>
      <c r="AW40" s="90"/>
      <c r="AX40" s="90"/>
      <c r="AY40" s="90"/>
      <c r="AZ40" s="90"/>
      <c r="BA40" s="90"/>
      <c r="BB40" s="90"/>
      <c r="BC40" s="90"/>
      <c r="BD40" s="90"/>
      <c r="BE40" s="90"/>
      <c r="BF40" s="90"/>
      <c r="BG40" s="90"/>
      <c r="BH40" s="90"/>
      <c r="BI40" s="480"/>
      <c r="BJ40" s="90"/>
      <c r="BK40" s="90"/>
    </row>
    <row r="41" spans="1:63" s="5" customFormat="1">
      <c r="A41" s="448">
        <f>'1-συμβολαια'!A41</f>
        <v>0</v>
      </c>
      <c r="B41" s="443" t="str">
        <f>'1-συμβολαια'!C41</f>
        <v>ΧΡΗΣΙΚΤΗΣΙΑ αγροτεμαχίων = 1963 αγοραπωλησίας ΒΑΣΕΙ προσυμφώνου ΜΗ εκτελεσθέντος</v>
      </c>
      <c r="C41" s="324">
        <f>'4-πολλυπρ'!D41</f>
        <v>0</v>
      </c>
      <c r="D41" s="324">
        <f>'4-πολλυπρ'!I41</f>
        <v>0</v>
      </c>
      <c r="E41" s="324"/>
      <c r="F41" s="411"/>
      <c r="G41" s="411"/>
      <c r="H41" s="408"/>
      <c r="I41" s="411">
        <f t="shared" si="0"/>
        <v>0</v>
      </c>
      <c r="J41" s="330"/>
      <c r="K41" s="444"/>
      <c r="L41" s="444"/>
      <c r="M41" s="411"/>
      <c r="N41" s="411"/>
      <c r="O41" s="411"/>
      <c r="P41" s="411"/>
      <c r="Q41" s="411">
        <f t="shared" si="1"/>
        <v>0</v>
      </c>
      <c r="R41" s="324"/>
      <c r="S41" s="324"/>
      <c r="T41" s="324"/>
      <c r="U41" s="324"/>
      <c r="V41" s="480"/>
      <c r="W41" s="90"/>
      <c r="X41" s="446" t="s">
        <v>433</v>
      </c>
      <c r="Y41" s="90"/>
      <c r="Z41" s="446" t="s">
        <v>9</v>
      </c>
      <c r="AA41" s="451"/>
      <c r="AB41" s="90"/>
      <c r="AC41" s="90"/>
      <c r="AD41" s="90"/>
      <c r="AE41" s="90"/>
      <c r="AF41" s="480"/>
      <c r="AG41" s="90"/>
      <c r="AH41" s="90"/>
      <c r="AI41" s="90"/>
      <c r="AJ41" s="90"/>
      <c r="AK41" s="329"/>
      <c r="AL41" s="329"/>
      <c r="AM41" s="329"/>
      <c r="AN41" s="90"/>
      <c r="AO41" s="90"/>
      <c r="AP41" s="90"/>
      <c r="AQ41" s="446" t="s">
        <v>433</v>
      </c>
      <c r="AR41" s="90"/>
      <c r="AS41" s="446" t="s">
        <v>9</v>
      </c>
      <c r="AT41" s="90"/>
      <c r="AU41" s="90"/>
      <c r="AV41" s="90"/>
      <c r="AW41" s="90"/>
      <c r="AX41" s="90"/>
      <c r="AY41" s="90"/>
      <c r="AZ41" s="90"/>
      <c r="BA41" s="90"/>
      <c r="BB41" s="90"/>
      <c r="BC41" s="90"/>
      <c r="BD41" s="90"/>
      <c r="BE41" s="90"/>
      <c r="BF41" s="90"/>
      <c r="BG41" s="90"/>
      <c r="BH41" s="90"/>
      <c r="BI41" s="480"/>
      <c r="BJ41" s="90"/>
      <c r="BK41" s="90"/>
    </row>
    <row r="42" spans="1:63" s="5" customFormat="1">
      <c r="A42" s="542">
        <f>'1-συμβολαια'!A42</f>
        <v>4625</v>
      </c>
      <c r="B42" s="443" t="str">
        <f>'1-συμβολαια'!C42</f>
        <v>*γονική ΨΙΛΗΣ ΚΥΡΙΟΤΗΤΑΣ</v>
      </c>
      <c r="C42" s="324">
        <f>'4-πολλυπρ'!D42</f>
        <v>0</v>
      </c>
      <c r="D42" s="324">
        <f>'4-πολλυπρ'!I42</f>
        <v>0</v>
      </c>
      <c r="E42" s="324">
        <v>2</v>
      </c>
      <c r="F42" s="411">
        <f t="shared" si="2"/>
        <v>6.46</v>
      </c>
      <c r="G42" s="411">
        <v>5.87</v>
      </c>
      <c r="H42" s="408"/>
      <c r="I42" s="411">
        <f t="shared" si="0"/>
        <v>12.33</v>
      </c>
      <c r="J42" s="330" t="s">
        <v>530</v>
      </c>
      <c r="K42" s="444" t="s">
        <v>176</v>
      </c>
      <c r="L42" s="444"/>
      <c r="M42" s="411">
        <v>5.87</v>
      </c>
      <c r="N42" s="411">
        <v>5.87</v>
      </c>
      <c r="O42" s="411">
        <v>1.98</v>
      </c>
      <c r="P42" s="411"/>
      <c r="Q42" s="411">
        <f t="shared" si="1"/>
        <v>11.74</v>
      </c>
      <c r="R42" s="324"/>
      <c r="S42" s="324"/>
      <c r="T42" s="324"/>
      <c r="U42" s="324"/>
      <c r="V42" s="480"/>
      <c r="W42" s="90"/>
      <c r="X42" s="446" t="s">
        <v>433</v>
      </c>
      <c r="Y42" s="90"/>
      <c r="Z42" s="446" t="s">
        <v>9</v>
      </c>
      <c r="AA42" s="451"/>
      <c r="AB42" s="90"/>
      <c r="AC42" s="90"/>
      <c r="AD42" s="90"/>
      <c r="AE42" s="90"/>
      <c r="AF42" s="480">
        <v>38434</v>
      </c>
      <c r="AG42" s="90"/>
      <c r="AH42" s="90" t="s">
        <v>433</v>
      </c>
      <c r="AI42" s="90">
        <v>403</v>
      </c>
      <c r="AJ42" s="90">
        <v>87</v>
      </c>
      <c r="AK42" s="329"/>
      <c r="AL42" s="329"/>
      <c r="AM42" s="329"/>
      <c r="AN42" s="90"/>
      <c r="AO42" s="90"/>
      <c r="AP42" s="90"/>
      <c r="AQ42" s="446" t="s">
        <v>433</v>
      </c>
      <c r="AR42" s="90"/>
      <c r="AS42" s="446" t="s">
        <v>9</v>
      </c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480"/>
      <c r="BJ42" s="90"/>
      <c r="BK42" s="90"/>
    </row>
    <row r="43" spans="1:63" s="5" customFormat="1">
      <c r="A43" s="542">
        <f>'1-συμβολαια'!A43</f>
        <v>0</v>
      </c>
      <c r="B43" s="443" t="str">
        <f>'1-συμβολαια'!C43</f>
        <v>ΧΡΗΣΙΚΤΗΣΙΑ αγροτεμαχίου = 19?? πατρός ΔΩΡΕΑ άτυπη</v>
      </c>
      <c r="C43" s="324">
        <f>'4-πολλυπρ'!D43</f>
        <v>0</v>
      </c>
      <c r="D43" s="324">
        <f>'4-πολλυπρ'!I43</f>
        <v>0</v>
      </c>
      <c r="E43" s="324"/>
      <c r="F43" s="411">
        <f t="shared" si="2"/>
        <v>0</v>
      </c>
      <c r="G43" s="411"/>
      <c r="H43" s="408"/>
      <c r="I43" s="411"/>
      <c r="J43" s="330"/>
      <c r="K43" s="444"/>
      <c r="L43" s="444"/>
      <c r="M43" s="411"/>
      <c r="N43" s="411"/>
      <c r="O43" s="411"/>
      <c r="P43" s="411"/>
      <c r="Q43" s="411">
        <f t="shared" si="1"/>
        <v>0</v>
      </c>
      <c r="R43" s="324"/>
      <c r="S43" s="324"/>
      <c r="T43" s="324"/>
      <c r="U43" s="324"/>
      <c r="V43" s="480"/>
      <c r="W43" s="90"/>
      <c r="X43" s="446" t="s">
        <v>433</v>
      </c>
      <c r="Y43" s="90"/>
      <c r="Z43" s="446" t="s">
        <v>9</v>
      </c>
      <c r="AA43" s="451"/>
      <c r="AB43" s="90"/>
      <c r="AC43" s="90"/>
      <c r="AD43" s="90"/>
      <c r="AE43" s="90"/>
      <c r="AF43" s="480"/>
      <c r="AG43" s="90"/>
      <c r="AH43" s="90"/>
      <c r="AI43" s="90"/>
      <c r="AJ43" s="90"/>
      <c r="AK43" s="329"/>
      <c r="AL43" s="329"/>
      <c r="AM43" s="329"/>
      <c r="AN43" s="90"/>
      <c r="AO43" s="90"/>
      <c r="AP43" s="90"/>
      <c r="AQ43" s="446" t="s">
        <v>433</v>
      </c>
      <c r="AR43" s="90"/>
      <c r="AS43" s="446" t="s">
        <v>9</v>
      </c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480"/>
      <c r="BJ43" s="90"/>
      <c r="BK43" s="90"/>
    </row>
    <row r="44" spans="1:63" s="5" customFormat="1">
      <c r="A44" s="448">
        <f>'1-συμβολαια'!A44</f>
        <v>4626</v>
      </c>
      <c r="B44" s="443" t="str">
        <f>'1-συμβολαια'!C44</f>
        <v>*γονική ΨΙΛΗΣ ΚΥΡΙΟΤΗΤΑΣ</v>
      </c>
      <c r="C44" s="324">
        <f>'4-πολλυπρ'!D44</f>
        <v>0</v>
      </c>
      <c r="D44" s="324">
        <f>'4-πολλυπρ'!I44</f>
        <v>0</v>
      </c>
      <c r="E44" s="324">
        <v>2</v>
      </c>
      <c r="F44" s="411">
        <f t="shared" si="2"/>
        <v>6.46</v>
      </c>
      <c r="G44" s="411">
        <v>5.87</v>
      </c>
      <c r="H44" s="408"/>
      <c r="I44" s="411">
        <f t="shared" si="0"/>
        <v>12.33</v>
      </c>
      <c r="J44" s="330" t="s">
        <v>530</v>
      </c>
      <c r="K44" s="444" t="s">
        <v>176</v>
      </c>
      <c r="L44" s="444"/>
      <c r="M44" s="411">
        <v>5.87</v>
      </c>
      <c r="N44" s="411">
        <v>5.87</v>
      </c>
      <c r="O44" s="411">
        <v>1.98</v>
      </c>
      <c r="P44" s="411"/>
      <c r="Q44" s="411">
        <f t="shared" si="1"/>
        <v>11.74</v>
      </c>
      <c r="R44" s="324"/>
      <c r="S44" s="324"/>
      <c r="T44" s="514" t="s">
        <v>567</v>
      </c>
      <c r="U44" s="324"/>
      <c r="V44" s="480"/>
      <c r="W44" s="90"/>
      <c r="X44" s="446" t="s">
        <v>433</v>
      </c>
      <c r="Y44" s="90"/>
      <c r="Z44" s="446" t="s">
        <v>9</v>
      </c>
      <c r="AA44" s="451"/>
      <c r="AB44" s="90"/>
      <c r="AC44" s="90"/>
      <c r="AD44" s="90"/>
      <c r="AE44" s="90"/>
      <c r="AF44" s="480"/>
      <c r="AG44" s="90"/>
      <c r="AH44" s="90"/>
      <c r="AI44" s="90"/>
      <c r="AJ44" s="90"/>
      <c r="AK44" s="329"/>
      <c r="AL44" s="329"/>
      <c r="AM44" s="329"/>
      <c r="AN44" s="90"/>
      <c r="AO44" s="90"/>
      <c r="AP44" s="90"/>
      <c r="AQ44" s="446" t="s">
        <v>433</v>
      </c>
      <c r="AR44" s="90"/>
      <c r="AS44" s="446" t="s">
        <v>9</v>
      </c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480"/>
      <c r="BJ44" s="90"/>
      <c r="BK44" s="90"/>
    </row>
    <row r="45" spans="1:63" s="5" customFormat="1">
      <c r="A45" s="448">
        <f>'1-συμβολαια'!A45</f>
        <v>0</v>
      </c>
      <c r="B45" s="443" t="str">
        <f>'1-συμβολαια'!C45</f>
        <v>ΧΡΗΣΙΚΤΗΣΙΑ αγροτεμαχίου = 1979 ΑΝΑΔΑΣΜΟΣ</v>
      </c>
      <c r="C45" s="324">
        <f>'4-πολλυπρ'!D45</f>
        <v>0</v>
      </c>
      <c r="D45" s="324">
        <f>'4-πολλυπρ'!I45</f>
        <v>0</v>
      </c>
      <c r="E45" s="324"/>
      <c r="F45" s="411">
        <f t="shared" si="2"/>
        <v>0</v>
      </c>
      <c r="G45" s="411"/>
      <c r="H45" s="408"/>
      <c r="I45" s="411"/>
      <c r="J45" s="330"/>
      <c r="K45" s="444"/>
      <c r="L45" s="444"/>
      <c r="M45" s="411"/>
      <c r="N45" s="411"/>
      <c r="O45" s="411"/>
      <c r="P45" s="411"/>
      <c r="Q45" s="411">
        <f t="shared" si="1"/>
        <v>0</v>
      </c>
      <c r="R45" s="324"/>
      <c r="S45" s="324"/>
      <c r="T45" s="324"/>
      <c r="U45" s="324"/>
      <c r="V45" s="480"/>
      <c r="W45" s="90"/>
      <c r="X45" s="446" t="s">
        <v>433</v>
      </c>
      <c r="Y45" s="90"/>
      <c r="Z45" s="446" t="s">
        <v>9</v>
      </c>
      <c r="AA45" s="451"/>
      <c r="AB45" s="90"/>
      <c r="AC45" s="90"/>
      <c r="AD45" s="90"/>
      <c r="AE45" s="90"/>
      <c r="AF45" s="480"/>
      <c r="AG45" s="90"/>
      <c r="AH45" s="90"/>
      <c r="AI45" s="90"/>
      <c r="AJ45" s="90"/>
      <c r="AK45" s="329"/>
      <c r="AL45" s="329"/>
      <c r="AM45" s="329"/>
      <c r="AN45" s="90"/>
      <c r="AO45" s="90"/>
      <c r="AP45" s="90"/>
      <c r="AQ45" s="446" t="s">
        <v>433</v>
      </c>
      <c r="AR45" s="90"/>
      <c r="AS45" s="446" t="s">
        <v>9</v>
      </c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480"/>
      <c r="BJ45" s="90"/>
      <c r="BK45" s="90"/>
    </row>
    <row r="46" spans="1:63" s="5" customFormat="1">
      <c r="A46" s="448">
        <f>'1-συμβολαια'!A46</f>
        <v>0</v>
      </c>
      <c r="B46" s="443" t="str">
        <f>'1-συμβολαια'!C46</f>
        <v>ΧΡΗΣΙΚΤΗΣΙΑ αγροτεμαχίων = 1957 τακοΑναστασιο ΑΓΟΡΑΠΩΛΗΣΙΑ άτυπη</v>
      </c>
      <c r="C46" s="324">
        <f>'4-πολλυπρ'!D46</f>
        <v>0</v>
      </c>
      <c r="D46" s="324">
        <f>'4-πολλυπρ'!I46</f>
        <v>0</v>
      </c>
      <c r="E46" s="324"/>
      <c r="F46" s="411">
        <f t="shared" si="2"/>
        <v>0</v>
      </c>
      <c r="G46" s="411"/>
      <c r="H46" s="408"/>
      <c r="I46" s="411"/>
      <c r="J46" s="330"/>
      <c r="K46" s="444"/>
      <c r="L46" s="444"/>
      <c r="M46" s="411"/>
      <c r="N46" s="411"/>
      <c r="O46" s="411"/>
      <c r="P46" s="411"/>
      <c r="Q46" s="411">
        <f t="shared" si="1"/>
        <v>0</v>
      </c>
      <c r="R46" s="324"/>
      <c r="S46" s="324"/>
      <c r="T46" s="324"/>
      <c r="U46" s="324"/>
      <c r="V46" s="480"/>
      <c r="W46" s="90"/>
      <c r="X46" s="446" t="s">
        <v>433</v>
      </c>
      <c r="Y46" s="90"/>
      <c r="Z46" s="446" t="s">
        <v>9</v>
      </c>
      <c r="AA46" s="451"/>
      <c r="AB46" s="90"/>
      <c r="AC46" s="90"/>
      <c r="AD46" s="90"/>
      <c r="AE46" s="90"/>
      <c r="AF46" s="480"/>
      <c r="AG46" s="90"/>
      <c r="AH46" s="90"/>
      <c r="AI46" s="90"/>
      <c r="AJ46" s="90"/>
      <c r="AK46" s="329"/>
      <c r="AL46" s="329"/>
      <c r="AM46" s="329"/>
      <c r="AN46" s="90"/>
      <c r="AO46" s="90"/>
      <c r="AP46" s="90"/>
      <c r="AQ46" s="446" t="s">
        <v>433</v>
      </c>
      <c r="AR46" s="90"/>
      <c r="AS46" s="446" t="s">
        <v>9</v>
      </c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480"/>
      <c r="BJ46" s="90"/>
      <c r="BK46" s="90"/>
    </row>
    <row r="47" spans="1:63" s="5" customFormat="1">
      <c r="A47" s="542">
        <f>'1-συμβολαια'!A47</f>
        <v>4627</v>
      </c>
      <c r="B47" s="443" t="str">
        <f>'1-συμβολαια'!C47</f>
        <v>*δωρεά ΑΙΤΙΑ θανάτου</v>
      </c>
      <c r="C47" s="324">
        <f>'4-πολλυπρ'!D47</f>
        <v>0</v>
      </c>
      <c r="D47" s="324">
        <f>'4-πολλυπρ'!I47</f>
        <v>0</v>
      </c>
      <c r="E47" s="324">
        <v>1</v>
      </c>
      <c r="F47" s="411">
        <f t="shared" si="2"/>
        <v>3.23</v>
      </c>
      <c r="G47" s="411">
        <v>5.87</v>
      </c>
      <c r="H47" s="408"/>
      <c r="I47" s="411">
        <f t="shared" si="0"/>
        <v>9.1</v>
      </c>
      <c r="J47" s="330" t="s">
        <v>530</v>
      </c>
      <c r="K47" s="444" t="s">
        <v>176</v>
      </c>
      <c r="L47" s="444"/>
      <c r="M47" s="411">
        <v>5.87</v>
      </c>
      <c r="N47" s="411">
        <v>5.87</v>
      </c>
      <c r="O47" s="411">
        <v>1.98</v>
      </c>
      <c r="P47" s="411">
        <v>1.98</v>
      </c>
      <c r="Q47" s="411">
        <f t="shared" si="1"/>
        <v>11.74</v>
      </c>
      <c r="R47" s="324"/>
      <c r="S47" s="324"/>
      <c r="T47" s="514" t="s">
        <v>567</v>
      </c>
      <c r="U47" s="324"/>
      <c r="V47" s="480"/>
      <c r="W47" s="90"/>
      <c r="X47" s="446" t="s">
        <v>433</v>
      </c>
      <c r="Y47" s="90"/>
      <c r="Z47" s="446" t="s">
        <v>9</v>
      </c>
      <c r="AA47" s="451"/>
      <c r="AB47" s="90"/>
      <c r="AC47" s="90"/>
      <c r="AD47" s="90"/>
      <c r="AE47" s="90"/>
      <c r="AF47" s="480"/>
      <c r="AG47" s="90"/>
      <c r="AH47" s="90"/>
      <c r="AI47" s="90"/>
      <c r="AJ47" s="90"/>
      <c r="AK47" s="329"/>
      <c r="AL47" s="329"/>
      <c r="AM47" s="329"/>
      <c r="AN47" s="90"/>
      <c r="AO47" s="90"/>
      <c r="AP47" s="90"/>
      <c r="AQ47" s="446" t="s">
        <v>433</v>
      </c>
      <c r="AR47" s="90"/>
      <c r="AS47" s="446" t="s">
        <v>9</v>
      </c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480"/>
      <c r="BJ47" s="90"/>
      <c r="BK47" s="90"/>
    </row>
    <row r="48" spans="1:63" s="5" customFormat="1">
      <c r="A48" s="542">
        <f>'1-συμβολαια'!A48</f>
        <v>0</v>
      </c>
      <c r="B48" s="443" t="str">
        <f>'1-συμβολαια'!C48</f>
        <v>ΧΡΗΣΙΚΤΗΣΙΑ αγροτεμαχίου [νυν οικόπεδο ΜΕ οικοδομή] ] = 1970 ΑΝΑΔΑΣΜΟΣ</v>
      </c>
      <c r="C48" s="324">
        <f>'4-πολλυπρ'!D48</f>
        <v>0</v>
      </c>
      <c r="D48" s="324">
        <f>'4-πολλυπρ'!I48</f>
        <v>0</v>
      </c>
      <c r="E48" s="324"/>
      <c r="F48" s="411">
        <f t="shared" si="2"/>
        <v>0</v>
      </c>
      <c r="G48" s="411"/>
      <c r="H48" s="408"/>
      <c r="I48" s="411">
        <f t="shared" si="0"/>
        <v>0</v>
      </c>
      <c r="J48" s="330"/>
      <c r="K48" s="444"/>
      <c r="L48" s="444"/>
      <c r="M48" s="411"/>
      <c r="N48" s="411"/>
      <c r="O48" s="411"/>
      <c r="P48" s="411"/>
      <c r="Q48" s="411">
        <f t="shared" si="1"/>
        <v>0</v>
      </c>
      <c r="R48" s="324"/>
      <c r="S48" s="324"/>
      <c r="T48" s="324"/>
      <c r="U48" s="324"/>
      <c r="V48" s="480"/>
      <c r="W48" s="90"/>
      <c r="X48" s="446" t="s">
        <v>433</v>
      </c>
      <c r="Y48" s="90"/>
      <c r="Z48" s="446" t="s">
        <v>9</v>
      </c>
      <c r="AA48" s="451"/>
      <c r="AB48" s="90"/>
      <c r="AC48" s="90"/>
      <c r="AD48" s="90"/>
      <c r="AE48" s="90"/>
      <c r="AF48" s="480"/>
      <c r="AG48" s="90"/>
      <c r="AH48" s="90"/>
      <c r="AI48" s="90"/>
      <c r="AJ48" s="90"/>
      <c r="AK48" s="329"/>
      <c r="AL48" s="329"/>
      <c r="AM48" s="329"/>
      <c r="AN48" s="90"/>
      <c r="AO48" s="90"/>
      <c r="AP48" s="90"/>
      <c r="AQ48" s="446" t="s">
        <v>433</v>
      </c>
      <c r="AR48" s="90"/>
      <c r="AS48" s="446" t="s">
        <v>9</v>
      </c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480"/>
      <c r="BJ48" s="90"/>
      <c r="BK48" s="90"/>
    </row>
    <row r="49" spans="1:63" s="5" customFormat="1">
      <c r="A49" s="542">
        <f>'1-συμβολαια'!A49</f>
        <v>0</v>
      </c>
      <c r="B49" s="443" t="str">
        <f>'1-συμβολαια'!C49</f>
        <v>*γονικής 1262  ΕΠΙΚΑΡΠΙΑ …  ΔΩΡΕΑ αιτία θανάτου</v>
      </c>
      <c r="C49" s="324">
        <f>'4-πολλυπρ'!D49</f>
        <v>0</v>
      </c>
      <c r="D49" s="324">
        <f>'4-πολλυπρ'!I49</f>
        <v>0</v>
      </c>
      <c r="E49" s="324">
        <v>2</v>
      </c>
      <c r="F49" s="411">
        <f t="shared" si="2"/>
        <v>6.46</v>
      </c>
      <c r="G49" s="411"/>
      <c r="H49" s="408"/>
      <c r="I49" s="411">
        <f t="shared" si="0"/>
        <v>6.46</v>
      </c>
      <c r="J49" s="330" t="s">
        <v>530</v>
      </c>
      <c r="K49" s="444" t="s">
        <v>176</v>
      </c>
      <c r="L49" s="444"/>
      <c r="M49" s="411"/>
      <c r="N49" s="411"/>
      <c r="O49" s="411"/>
      <c r="P49" s="411"/>
      <c r="Q49" s="411">
        <f t="shared" si="1"/>
        <v>0</v>
      </c>
      <c r="R49" s="324"/>
      <c r="S49" s="324"/>
      <c r="T49" s="514" t="s">
        <v>567</v>
      </c>
      <c r="U49" s="324"/>
      <c r="V49" s="480"/>
      <c r="W49" s="90"/>
      <c r="X49" s="446" t="s">
        <v>433</v>
      </c>
      <c r="Y49" s="90"/>
      <c r="Z49" s="446" t="s">
        <v>9</v>
      </c>
      <c r="AA49" s="451"/>
      <c r="AB49" s="90"/>
      <c r="AC49" s="90"/>
      <c r="AD49" s="90"/>
      <c r="AE49" s="90"/>
      <c r="AF49" s="480"/>
      <c r="AG49" s="90"/>
      <c r="AH49" s="90"/>
      <c r="AI49" s="90"/>
      <c r="AJ49" s="90"/>
      <c r="AK49" s="329"/>
      <c r="AL49" s="329"/>
      <c r="AM49" s="329"/>
      <c r="AN49" s="90"/>
      <c r="AO49" s="90"/>
      <c r="AP49" s="90"/>
      <c r="AQ49" s="446" t="s">
        <v>433</v>
      </c>
      <c r="AR49" s="90"/>
      <c r="AS49" s="446" t="s">
        <v>9</v>
      </c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480"/>
      <c r="BJ49" s="90"/>
      <c r="BK49" s="90"/>
    </row>
    <row r="50" spans="1:63" s="5" customFormat="1">
      <c r="A50" s="442">
        <f>'1-συμβολαια'!A50</f>
        <v>4628</v>
      </c>
      <c r="B50" s="443" t="str">
        <f>'1-συμβολαια'!C50</f>
        <v>πληρεξούσιο</v>
      </c>
      <c r="C50" s="324">
        <f>'4-πολλυπρ'!D50</f>
        <v>0</v>
      </c>
      <c r="D50" s="324">
        <f>'4-πολλυπρ'!I50</f>
        <v>0</v>
      </c>
      <c r="E50" s="324"/>
      <c r="F50" s="411"/>
      <c r="G50" s="411"/>
      <c r="H50" s="408"/>
      <c r="I50" s="411"/>
      <c r="J50" s="330"/>
      <c r="K50" s="444"/>
      <c r="L50" s="444"/>
      <c r="M50" s="411"/>
      <c r="N50" s="411"/>
      <c r="O50" s="411"/>
      <c r="P50" s="411"/>
      <c r="Q50" s="411"/>
      <c r="R50" s="324"/>
      <c r="S50" s="324"/>
      <c r="T50" s="324"/>
      <c r="U50" s="324"/>
      <c r="V50" s="480"/>
      <c r="W50" s="90"/>
      <c r="X50" s="446"/>
      <c r="Y50" s="90"/>
      <c r="Z50" s="446"/>
      <c r="AA50" s="451"/>
      <c r="AB50" s="90"/>
      <c r="AC50" s="90"/>
      <c r="AD50" s="90"/>
      <c r="AE50" s="90"/>
      <c r="AF50" s="480"/>
      <c r="AG50" s="90"/>
      <c r="AH50" s="90"/>
      <c r="AI50" s="90"/>
      <c r="AJ50" s="90"/>
      <c r="AK50" s="329"/>
      <c r="AL50" s="329"/>
      <c r="AM50" s="329"/>
      <c r="AN50" s="90"/>
      <c r="AO50" s="90"/>
      <c r="AP50" s="90"/>
      <c r="AQ50" s="446" t="s">
        <v>433</v>
      </c>
      <c r="AR50" s="90"/>
      <c r="AS50" s="446" t="s">
        <v>9</v>
      </c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480"/>
      <c r="BJ50" s="90"/>
      <c r="BK50" s="90"/>
    </row>
    <row r="51" spans="1:63" s="5" customFormat="1">
      <c r="A51" s="448">
        <f>'1-συμβολαια'!A51</f>
        <v>4629</v>
      </c>
      <c r="B51" s="443" t="str">
        <f>'1-συμβολαια'!C51</f>
        <v>κληρονομιάς ΑΠΟΔΟΧΗ</v>
      </c>
      <c r="C51" s="324">
        <f>'4-πολλυπρ'!D51</f>
        <v>0</v>
      </c>
      <c r="D51" s="324">
        <f>'4-πολλυπρ'!I51</f>
        <v>0</v>
      </c>
      <c r="E51" s="324">
        <v>2</v>
      </c>
      <c r="F51" s="411">
        <f t="shared" si="2"/>
        <v>6.46</v>
      </c>
      <c r="G51" s="411">
        <v>5.87</v>
      </c>
      <c r="H51" s="408"/>
      <c r="I51" s="411">
        <f t="shared" si="0"/>
        <v>12.33</v>
      </c>
      <c r="J51" s="330" t="s">
        <v>530</v>
      </c>
      <c r="K51" s="444" t="s">
        <v>176</v>
      </c>
      <c r="L51" s="444"/>
      <c r="M51" s="411">
        <v>5.87</v>
      </c>
      <c r="N51" s="411">
        <v>5.87</v>
      </c>
      <c r="O51" s="411">
        <v>1.98</v>
      </c>
      <c r="P51" s="411"/>
      <c r="Q51" s="411">
        <f t="shared" si="1"/>
        <v>11.74</v>
      </c>
      <c r="R51" s="324"/>
      <c r="S51" s="324"/>
      <c r="T51" s="514" t="s">
        <v>567</v>
      </c>
      <c r="U51" s="324"/>
      <c r="V51" s="480"/>
      <c r="W51" s="90"/>
      <c r="X51" s="446" t="s">
        <v>433</v>
      </c>
      <c r="Y51" s="90"/>
      <c r="Z51" s="446" t="s">
        <v>9</v>
      </c>
      <c r="AA51" s="451"/>
      <c r="AB51" s="90"/>
      <c r="AC51" s="90"/>
      <c r="AD51" s="90"/>
      <c r="AE51" s="90"/>
      <c r="AF51" s="480"/>
      <c r="AG51" s="90"/>
      <c r="AH51" s="90"/>
      <c r="AI51" s="90"/>
      <c r="AJ51" s="90"/>
      <c r="AK51" s="329"/>
      <c r="AL51" s="329"/>
      <c r="AM51" s="329"/>
      <c r="AN51" s="90"/>
      <c r="AO51" s="90"/>
      <c r="AP51" s="90"/>
      <c r="AQ51" s="446" t="s">
        <v>433</v>
      </c>
      <c r="AR51" s="90"/>
      <c r="AS51" s="446" t="s">
        <v>9</v>
      </c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480"/>
      <c r="BJ51" s="90"/>
      <c r="BK51" s="90"/>
    </row>
    <row r="52" spans="1:63" s="5" customFormat="1">
      <c r="A52" s="448">
        <f>'1-συμβολαια'!A52</f>
        <v>0</v>
      </c>
      <c r="B52" s="443" t="str">
        <f>'1-συμβολαια'!C52</f>
        <v>ΧΡΗΣΙΚΤΗΣΙΑ αγροτεμαχίου = 1980 πατρός ΚΛΗΡΟΝΟΜΙΑ άτυπη</v>
      </c>
      <c r="C52" s="324">
        <f>'4-πολλυπρ'!D52</f>
        <v>0</v>
      </c>
      <c r="D52" s="324">
        <f>'4-πολλυπρ'!I52</f>
        <v>0</v>
      </c>
      <c r="E52" s="324"/>
      <c r="F52" s="411"/>
      <c r="G52" s="411"/>
      <c r="H52" s="408"/>
      <c r="I52" s="411">
        <f t="shared" si="0"/>
        <v>0</v>
      </c>
      <c r="J52" s="330" t="s">
        <v>530</v>
      </c>
      <c r="K52" s="444" t="s">
        <v>176</v>
      </c>
      <c r="L52" s="444"/>
      <c r="M52" s="411"/>
      <c r="N52" s="411"/>
      <c r="O52" s="411"/>
      <c r="P52" s="411"/>
      <c r="Q52" s="411">
        <f t="shared" si="1"/>
        <v>0</v>
      </c>
      <c r="R52" s="324"/>
      <c r="S52" s="324"/>
      <c r="T52" s="324"/>
      <c r="U52" s="324"/>
      <c r="V52" s="480"/>
      <c r="W52" s="90"/>
      <c r="X52" s="446" t="s">
        <v>433</v>
      </c>
      <c r="Y52" s="90"/>
      <c r="Z52" s="446" t="s">
        <v>9</v>
      </c>
      <c r="AA52" s="451"/>
      <c r="AB52" s="90"/>
      <c r="AC52" s="90"/>
      <c r="AD52" s="90"/>
      <c r="AE52" s="90"/>
      <c r="AF52" s="480"/>
      <c r="AG52" s="90"/>
      <c r="AH52" s="90"/>
      <c r="AI52" s="90"/>
      <c r="AJ52" s="90"/>
      <c r="AK52" s="329"/>
      <c r="AL52" s="329"/>
      <c r="AM52" s="329"/>
      <c r="AN52" s="90"/>
      <c r="AO52" s="90"/>
      <c r="AP52" s="90"/>
      <c r="AQ52" s="446" t="s">
        <v>433</v>
      </c>
      <c r="AR52" s="90"/>
      <c r="AS52" s="446" t="s">
        <v>9</v>
      </c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480"/>
      <c r="BJ52" s="90"/>
      <c r="BK52" s="90"/>
    </row>
    <row r="53" spans="1:63" s="5" customFormat="1">
      <c r="A53" s="448">
        <f>'1-συμβολαια'!A53</f>
        <v>0</v>
      </c>
      <c r="B53" s="443" t="str">
        <f>'1-συμβολαια'!C53</f>
        <v>ΧΡΗΣΙΚΤΗΣΙΑ αγροτεμαχίου = 1980 ΔΙΑΝΟΜΗ άτυπη</v>
      </c>
      <c r="C53" s="324">
        <f>'4-πολλυπρ'!D53</f>
        <v>0</v>
      </c>
      <c r="D53" s="324">
        <f>'4-πολλυπρ'!I53</f>
        <v>0</v>
      </c>
      <c r="E53" s="324"/>
      <c r="F53" s="411"/>
      <c r="G53" s="411"/>
      <c r="H53" s="408"/>
      <c r="I53" s="411">
        <f t="shared" si="0"/>
        <v>0</v>
      </c>
      <c r="J53" s="330" t="s">
        <v>530</v>
      </c>
      <c r="K53" s="444" t="s">
        <v>176</v>
      </c>
      <c r="L53" s="444"/>
      <c r="M53" s="411"/>
      <c r="N53" s="411"/>
      <c r="O53" s="411"/>
      <c r="P53" s="411"/>
      <c r="Q53" s="411">
        <f t="shared" si="1"/>
        <v>0</v>
      </c>
      <c r="R53" s="324"/>
      <c r="S53" s="324"/>
      <c r="T53" s="324"/>
      <c r="U53" s="324"/>
      <c r="V53" s="480"/>
      <c r="W53" s="90"/>
      <c r="X53" s="446" t="s">
        <v>433</v>
      </c>
      <c r="Y53" s="90"/>
      <c r="Z53" s="446" t="s">
        <v>9</v>
      </c>
      <c r="AA53" s="451"/>
      <c r="AB53" s="90"/>
      <c r="AC53" s="90"/>
      <c r="AD53" s="90"/>
      <c r="AE53" s="90"/>
      <c r="AF53" s="480"/>
      <c r="AG53" s="90"/>
      <c r="AH53" s="90"/>
      <c r="AI53" s="90"/>
      <c r="AJ53" s="90"/>
      <c r="AK53" s="329"/>
      <c r="AL53" s="329"/>
      <c r="AM53" s="329"/>
      <c r="AN53" s="90"/>
      <c r="AO53" s="90"/>
      <c r="AP53" s="90"/>
      <c r="AQ53" s="446" t="s">
        <v>433</v>
      </c>
      <c r="AR53" s="90"/>
      <c r="AS53" s="446" t="s">
        <v>9</v>
      </c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480"/>
      <c r="BJ53" s="90"/>
      <c r="BK53" s="90"/>
    </row>
    <row r="54" spans="1:63" s="5" customFormat="1">
      <c r="A54" s="542">
        <f>'1-συμβολαια'!A54</f>
        <v>4630</v>
      </c>
      <c r="B54" s="443" t="str">
        <f>'1-συμβολαια'!C54</f>
        <v xml:space="preserve">αγοραπωλησίας ΠΡΟΣΥΜΦΩΝΟ τίμημα = αρραβών = </v>
      </c>
      <c r="C54" s="324">
        <f>'4-πολλυπρ'!D54</f>
        <v>0</v>
      </c>
      <c r="D54" s="324">
        <f>'4-πολλυπρ'!I54</f>
        <v>0</v>
      </c>
      <c r="E54" s="324"/>
      <c r="F54" s="411"/>
      <c r="G54" s="411"/>
      <c r="H54" s="408"/>
      <c r="I54" s="411">
        <f t="shared" si="0"/>
        <v>0</v>
      </c>
      <c r="J54" s="330"/>
      <c r="K54" s="444"/>
      <c r="L54" s="444"/>
      <c r="M54" s="411"/>
      <c r="N54" s="411"/>
      <c r="O54" s="411"/>
      <c r="P54" s="411"/>
      <c r="Q54" s="411">
        <f t="shared" si="1"/>
        <v>0</v>
      </c>
      <c r="R54" s="324"/>
      <c r="S54" s="324"/>
      <c r="T54" s="324"/>
      <c r="U54" s="324"/>
      <c r="V54" s="480"/>
      <c r="W54" s="90"/>
      <c r="X54" s="446" t="s">
        <v>433</v>
      </c>
      <c r="Y54" s="90"/>
      <c r="Z54" s="446" t="s">
        <v>9</v>
      </c>
      <c r="AA54" s="451"/>
      <c r="AB54" s="90"/>
      <c r="AC54" s="90"/>
      <c r="AD54" s="90"/>
      <c r="AE54" s="90"/>
      <c r="AF54" s="480"/>
      <c r="AG54" s="90"/>
      <c r="AH54" s="90"/>
      <c r="AI54" s="90"/>
      <c r="AJ54" s="90"/>
      <c r="AK54" s="329"/>
      <c r="AL54" s="329"/>
      <c r="AM54" s="329"/>
      <c r="AN54" s="90"/>
      <c r="AO54" s="90"/>
      <c r="AP54" s="90"/>
      <c r="AQ54" s="446" t="s">
        <v>433</v>
      </c>
      <c r="AR54" s="90"/>
      <c r="AS54" s="446" t="s">
        <v>9</v>
      </c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480"/>
      <c r="BJ54" s="90"/>
      <c r="BK54" s="90"/>
    </row>
    <row r="55" spans="1:63" s="5" customFormat="1">
      <c r="A55" s="542">
        <f>'1-συμβολαια'!A55</f>
        <v>0</v>
      </c>
      <c r="B55" s="443" t="str">
        <f>'1-συμβολαια'!C55</f>
        <v>ΧΡΗΣΙΚΤΗΣΙΑ αγροτεμαχίου = 1970 συζύγου ΔΩΡΕΑ άτυπη</v>
      </c>
      <c r="C55" s="324">
        <f>'4-πολλυπρ'!D55</f>
        <v>0</v>
      </c>
      <c r="D55" s="324">
        <f>'4-πολλυπρ'!I55</f>
        <v>0</v>
      </c>
      <c r="E55" s="324"/>
      <c r="F55" s="411"/>
      <c r="G55" s="411"/>
      <c r="H55" s="408"/>
      <c r="I55" s="411">
        <f t="shared" si="0"/>
        <v>0</v>
      </c>
      <c r="J55" s="330"/>
      <c r="K55" s="444"/>
      <c r="L55" s="444"/>
      <c r="M55" s="411"/>
      <c r="N55" s="411"/>
      <c r="O55" s="411"/>
      <c r="P55" s="411"/>
      <c r="Q55" s="411">
        <f t="shared" si="1"/>
        <v>0</v>
      </c>
      <c r="R55" s="324"/>
      <c r="S55" s="324"/>
      <c r="T55" s="324"/>
      <c r="U55" s="324"/>
      <c r="V55" s="480"/>
      <c r="W55" s="90"/>
      <c r="X55" s="446" t="s">
        <v>433</v>
      </c>
      <c r="Y55" s="90"/>
      <c r="Z55" s="446" t="s">
        <v>9</v>
      </c>
      <c r="AA55" s="451"/>
      <c r="AB55" s="90"/>
      <c r="AC55" s="90"/>
      <c r="AD55" s="90"/>
      <c r="AE55" s="90"/>
      <c r="AF55" s="480"/>
      <c r="AG55" s="90"/>
      <c r="AH55" s="90"/>
      <c r="AI55" s="90"/>
      <c r="AJ55" s="90"/>
      <c r="AK55" s="329"/>
      <c r="AL55" s="329"/>
      <c r="AM55" s="329"/>
      <c r="AN55" s="90"/>
      <c r="AO55" s="90"/>
      <c r="AP55" s="90"/>
      <c r="AQ55" s="446" t="s">
        <v>433</v>
      </c>
      <c r="AR55" s="90"/>
      <c r="AS55" s="446" t="s">
        <v>9</v>
      </c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480"/>
      <c r="BJ55" s="90"/>
      <c r="BK55" s="90"/>
    </row>
    <row r="56" spans="1:63" s="5" customFormat="1">
      <c r="A56" s="442">
        <f>'1-συμβολαια'!A56</f>
        <v>4631</v>
      </c>
      <c r="B56" s="443" t="str">
        <f>'1-συμβολαια'!C56</f>
        <v>αγοραπωλησίας 4.191 ΕΞΟΦΛΗΣΗ</v>
      </c>
      <c r="C56" s="324">
        <f>'4-πολλυπρ'!D56</f>
        <v>0</v>
      </c>
      <c r="D56" s="324">
        <f>'4-πολλυπρ'!I56</f>
        <v>0</v>
      </c>
      <c r="E56" s="324"/>
      <c r="F56" s="411"/>
      <c r="G56" s="411"/>
      <c r="H56" s="408"/>
      <c r="I56" s="411"/>
      <c r="J56" s="330"/>
      <c r="K56" s="444"/>
      <c r="L56" s="444"/>
      <c r="M56" s="411"/>
      <c r="N56" s="411"/>
      <c r="O56" s="411"/>
      <c r="P56" s="411"/>
      <c r="Q56" s="411"/>
      <c r="R56" s="324"/>
      <c r="S56" s="324"/>
      <c r="T56" s="324"/>
      <c r="U56" s="324"/>
      <c r="V56" s="480"/>
      <c r="W56" s="90"/>
      <c r="X56" s="446" t="s">
        <v>433</v>
      </c>
      <c r="Y56" s="90"/>
      <c r="Z56" s="446" t="s">
        <v>9</v>
      </c>
      <c r="AA56" s="451"/>
      <c r="AB56" s="90"/>
      <c r="AC56" s="90"/>
      <c r="AD56" s="90"/>
      <c r="AE56" s="90"/>
      <c r="AF56" s="480"/>
      <c r="AG56" s="90"/>
      <c r="AH56" s="90"/>
      <c r="AI56" s="90"/>
      <c r="AJ56" s="90"/>
      <c r="AK56" s="329"/>
      <c r="AL56" s="329"/>
      <c r="AM56" s="329"/>
      <c r="AN56" s="90"/>
      <c r="AO56" s="90"/>
      <c r="AP56" s="90"/>
      <c r="AQ56" s="446" t="s">
        <v>433</v>
      </c>
      <c r="AR56" s="90"/>
      <c r="AS56" s="446" t="s">
        <v>9</v>
      </c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480"/>
      <c r="BJ56" s="90"/>
      <c r="BK56" s="90"/>
    </row>
    <row r="57" spans="1:63" s="5" customFormat="1">
      <c r="A57" s="442"/>
      <c r="B57" s="443"/>
      <c r="C57" s="324"/>
      <c r="D57" s="324"/>
      <c r="E57" s="324"/>
      <c r="F57" s="411"/>
      <c r="G57" s="411"/>
      <c r="H57" s="408"/>
      <c r="I57" s="411"/>
      <c r="J57" s="330"/>
      <c r="K57" s="444"/>
      <c r="L57" s="444"/>
      <c r="M57" s="411"/>
      <c r="N57" s="411"/>
      <c r="O57" s="411"/>
      <c r="P57" s="411"/>
      <c r="Q57" s="411"/>
      <c r="R57" s="324"/>
      <c r="S57" s="324"/>
      <c r="T57" s="324"/>
      <c r="U57" s="324"/>
      <c r="V57" s="480"/>
      <c r="W57" s="90"/>
      <c r="X57" s="446"/>
      <c r="Y57" s="90"/>
      <c r="Z57" s="446"/>
      <c r="AA57" s="451"/>
      <c r="AB57" s="90"/>
      <c r="AC57" s="90"/>
      <c r="AD57" s="90"/>
      <c r="AE57" s="90"/>
      <c r="AF57" s="480"/>
      <c r="AG57" s="90"/>
      <c r="AH57" s="90"/>
      <c r="AI57" s="90"/>
      <c r="AJ57" s="90"/>
      <c r="AK57" s="329"/>
      <c r="AL57" s="329"/>
      <c r="AM57" s="329"/>
      <c r="AN57" s="90"/>
      <c r="AO57" s="90"/>
      <c r="AP57" s="90"/>
      <c r="AQ57" s="446"/>
      <c r="AR57" s="90"/>
      <c r="AS57" s="446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480"/>
      <c r="BJ57" s="90"/>
      <c r="BK57" s="90"/>
    </row>
    <row r="58" spans="1:63" s="5" customFormat="1">
      <c r="A58" s="442"/>
      <c r="B58" s="443"/>
      <c r="C58" s="324"/>
      <c r="D58" s="324"/>
      <c r="E58" s="324"/>
      <c r="F58" s="411"/>
      <c r="G58" s="411"/>
      <c r="H58" s="408"/>
      <c r="I58" s="411"/>
      <c r="J58" s="330"/>
      <c r="K58" s="444"/>
      <c r="L58" s="444"/>
      <c r="M58" s="411"/>
      <c r="N58" s="411"/>
      <c r="O58" s="411"/>
      <c r="P58" s="411"/>
      <c r="Q58" s="411"/>
      <c r="R58" s="324"/>
      <c r="S58" s="324"/>
      <c r="T58" s="324"/>
      <c r="U58" s="324"/>
      <c r="V58" s="480"/>
      <c r="W58" s="90"/>
      <c r="X58" s="446"/>
      <c r="Y58" s="90"/>
      <c r="Z58" s="446"/>
      <c r="AA58" s="451"/>
      <c r="AB58" s="90"/>
      <c r="AC58" s="90"/>
      <c r="AD58" s="90"/>
      <c r="AE58" s="90"/>
      <c r="AF58" s="480"/>
      <c r="AG58" s="90"/>
      <c r="AH58" s="90"/>
      <c r="AI58" s="90"/>
      <c r="AJ58" s="90"/>
      <c r="AK58" s="329"/>
      <c r="AL58" s="329"/>
      <c r="AM58" s="329"/>
      <c r="AN58" s="90"/>
      <c r="AO58" s="90"/>
      <c r="AP58" s="90"/>
      <c r="AQ58" s="446"/>
      <c r="AR58" s="90"/>
      <c r="AS58" s="446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480"/>
      <c r="BJ58" s="90"/>
      <c r="BK58" s="90"/>
    </row>
    <row r="59" spans="1:63">
      <c r="A59" s="672" t="s">
        <v>35</v>
      </c>
      <c r="B59" s="673"/>
      <c r="C59" s="673"/>
      <c r="D59" s="674"/>
      <c r="E59" s="83">
        <f>SUM(E3:E58)</f>
        <v>37</v>
      </c>
      <c r="F59" s="83">
        <f>SUM(F3:F58)</f>
        <v>119.50999999999995</v>
      </c>
      <c r="G59" s="83">
        <f>SUM(G3:G58)</f>
        <v>158.49000000000007</v>
      </c>
      <c r="H59" s="373">
        <f>SUM(H3:H58)</f>
        <v>0</v>
      </c>
      <c r="I59" s="83">
        <f>SUM(I3:I58)</f>
        <v>266.2600000000001</v>
      </c>
      <c r="J59" s="83"/>
      <c r="K59" s="83"/>
      <c r="L59" s="83"/>
      <c r="M59" s="83">
        <f t="shared" ref="M59:T59" si="3">SUM(M3:M58)</f>
        <v>111.53000000000003</v>
      </c>
      <c r="N59" s="83">
        <f t="shared" si="3"/>
        <v>111.53000000000003</v>
      </c>
      <c r="O59" s="83">
        <f t="shared" si="3"/>
        <v>41.579999999999991</v>
      </c>
      <c r="P59" s="83">
        <f t="shared" si="3"/>
        <v>3.96</v>
      </c>
      <c r="Q59" s="83">
        <f t="shared" si="3"/>
        <v>223.06000000000006</v>
      </c>
      <c r="R59" s="83">
        <f t="shared" si="3"/>
        <v>0</v>
      </c>
      <c r="S59" s="83">
        <f t="shared" si="3"/>
        <v>0</v>
      </c>
      <c r="T59" s="83">
        <f t="shared" si="3"/>
        <v>0</v>
      </c>
      <c r="U59" s="83"/>
      <c r="V59" s="162"/>
      <c r="W59" s="83">
        <f>SUM(W3:W58)</f>
        <v>0</v>
      </c>
      <c r="X59" s="83"/>
      <c r="Y59" s="83">
        <f>SUM(Y3:Y58)</f>
        <v>0</v>
      </c>
      <c r="Z59" s="83"/>
      <c r="AA59" s="83">
        <f t="shared" ref="AA59:AL59" si="4">SUM(AA3:AA58)</f>
        <v>0</v>
      </c>
      <c r="AB59" s="83">
        <f t="shared" si="4"/>
        <v>0</v>
      </c>
      <c r="AC59" s="83">
        <f t="shared" si="4"/>
        <v>0</v>
      </c>
      <c r="AD59" s="83">
        <f t="shared" si="4"/>
        <v>0</v>
      </c>
      <c r="AE59" s="83">
        <f t="shared" si="4"/>
        <v>0</v>
      </c>
      <c r="AF59" s="162">
        <f t="shared" si="4"/>
        <v>307361</v>
      </c>
      <c r="AG59" s="83">
        <f t="shared" si="4"/>
        <v>7184</v>
      </c>
      <c r="AH59" s="83">
        <f t="shared" si="4"/>
        <v>0</v>
      </c>
      <c r="AI59" s="83">
        <f t="shared" si="4"/>
        <v>4035</v>
      </c>
      <c r="AJ59" s="83">
        <f t="shared" si="4"/>
        <v>680</v>
      </c>
      <c r="AK59" s="87">
        <f t="shared" si="4"/>
        <v>1</v>
      </c>
      <c r="AL59" s="87">
        <f t="shared" si="4"/>
        <v>0</v>
      </c>
      <c r="AM59" s="87"/>
      <c r="AN59" s="83">
        <f>SUM(AN3:AN58)</f>
        <v>0</v>
      </c>
      <c r="AO59" s="83">
        <f>SUM(AO3:AO58)</f>
        <v>0</v>
      </c>
      <c r="AP59" s="83">
        <f>SUM(AP3:AP58)</f>
        <v>0</v>
      </c>
      <c r="AQ59" s="83"/>
      <c r="AR59" s="83">
        <f t="shared" ref="AR59:BK59" si="5">SUM(AR3:AR58)</f>
        <v>0</v>
      </c>
      <c r="AS59" s="83">
        <f t="shared" si="5"/>
        <v>0</v>
      </c>
      <c r="AT59" s="83">
        <f t="shared" si="5"/>
        <v>0</v>
      </c>
      <c r="AU59" s="83">
        <f t="shared" si="5"/>
        <v>0</v>
      </c>
      <c r="AV59" s="83">
        <f t="shared" si="5"/>
        <v>0</v>
      </c>
      <c r="AW59" s="83">
        <f t="shared" si="5"/>
        <v>0</v>
      </c>
      <c r="AX59" s="83">
        <f t="shared" si="5"/>
        <v>0</v>
      </c>
      <c r="AY59" s="83">
        <f t="shared" si="5"/>
        <v>0</v>
      </c>
      <c r="AZ59" s="83">
        <f t="shared" si="5"/>
        <v>0</v>
      </c>
      <c r="BA59" s="83">
        <f t="shared" si="5"/>
        <v>0</v>
      </c>
      <c r="BB59" s="83">
        <f t="shared" si="5"/>
        <v>0</v>
      </c>
      <c r="BC59" s="83">
        <f t="shared" si="5"/>
        <v>0</v>
      </c>
      <c r="BD59" s="83">
        <f t="shared" si="5"/>
        <v>0</v>
      </c>
      <c r="BE59" s="83">
        <f t="shared" si="5"/>
        <v>0</v>
      </c>
      <c r="BF59" s="83">
        <f t="shared" si="5"/>
        <v>0</v>
      </c>
      <c r="BG59" s="83">
        <f t="shared" si="5"/>
        <v>0</v>
      </c>
      <c r="BH59" s="83">
        <f t="shared" si="5"/>
        <v>0</v>
      </c>
      <c r="BI59" s="83">
        <f t="shared" si="5"/>
        <v>0</v>
      </c>
      <c r="BJ59" s="83">
        <f t="shared" si="5"/>
        <v>0</v>
      </c>
      <c r="BK59" s="83">
        <f t="shared" si="5"/>
        <v>0</v>
      </c>
    </row>
    <row r="60" spans="1:63">
      <c r="M60" s="166" t="s">
        <v>517</v>
      </c>
    </row>
    <row r="61" spans="1:63">
      <c r="G61" s="166"/>
      <c r="H61" s="166"/>
      <c r="I61" s="374" t="s">
        <v>109</v>
      </c>
      <c r="J61" s="166"/>
      <c r="K61" s="166"/>
      <c r="L61" s="166"/>
      <c r="M61" s="166"/>
      <c r="N61" s="166" t="s">
        <v>517</v>
      </c>
      <c r="O61" s="140"/>
      <c r="P61" s="140"/>
      <c r="U61" s="211" t="s">
        <v>178</v>
      </c>
      <c r="AB61" s="2"/>
      <c r="AD61" s="140" t="s">
        <v>110</v>
      </c>
      <c r="AK61" s="251" t="s">
        <v>111</v>
      </c>
    </row>
    <row r="62" spans="1:63">
      <c r="F62" s="3"/>
      <c r="G62" s="3"/>
      <c r="H62" s="3"/>
      <c r="I62" s="3"/>
      <c r="J62" s="183" t="s">
        <v>172</v>
      </c>
      <c r="K62" s="142"/>
      <c r="L62" s="142"/>
      <c r="N62" s="166"/>
      <c r="O62" s="3"/>
      <c r="P62" s="3"/>
      <c r="Q62" s="3"/>
      <c r="R62" s="183" t="s">
        <v>179</v>
      </c>
      <c r="U62" s="9"/>
    </row>
    <row r="63" spans="1:63">
      <c r="E63" s="141"/>
      <c r="F63" s="3"/>
      <c r="G63" s="3"/>
      <c r="H63" s="3"/>
      <c r="I63" s="3"/>
      <c r="J63" s="142" t="s">
        <v>173</v>
      </c>
      <c r="K63" s="142"/>
      <c r="L63" s="142"/>
      <c r="N63" s="3"/>
      <c r="O63" s="3"/>
      <c r="P63" s="3"/>
      <c r="Q63" s="3"/>
      <c r="S63" s="142" t="s">
        <v>180</v>
      </c>
      <c r="U63" s="9"/>
    </row>
    <row r="64" spans="1:63">
      <c r="H64" s="3"/>
      <c r="J64" s="142"/>
      <c r="K64" s="183" t="s">
        <v>174</v>
      </c>
      <c r="L64" s="142"/>
      <c r="O64" s="178" t="s">
        <v>516</v>
      </c>
      <c r="P64" s="4"/>
      <c r="U64" s="9"/>
    </row>
    <row r="65" spans="2:22">
      <c r="H65" s="3"/>
      <c r="K65" s="142" t="s">
        <v>175</v>
      </c>
      <c r="L65" s="142"/>
      <c r="P65" s="2" t="s">
        <v>533</v>
      </c>
      <c r="U65" s="9"/>
    </row>
    <row r="66" spans="2:22">
      <c r="H66" s="3"/>
      <c r="L66" s="183" t="s">
        <v>289</v>
      </c>
      <c r="U66" s="9"/>
    </row>
    <row r="67" spans="2:22">
      <c r="L67" s="142" t="s">
        <v>290</v>
      </c>
      <c r="U67" s="9"/>
    </row>
    <row r="68" spans="2:22">
      <c r="L68" s="142"/>
      <c r="U68" s="9"/>
    </row>
    <row r="69" spans="2:22">
      <c r="B69" s="255" t="s">
        <v>613</v>
      </c>
      <c r="F69" s="160">
        <f>F59/2</f>
        <v>59.754999999999974</v>
      </c>
      <c r="G69" s="160"/>
      <c r="H69" s="160"/>
      <c r="I69" s="160"/>
      <c r="J69" s="160"/>
      <c r="K69" s="160"/>
      <c r="L69" s="160"/>
      <c r="M69" s="160"/>
      <c r="N69" s="160"/>
      <c r="O69" s="160"/>
      <c r="P69" s="160"/>
      <c r="T69" s="3" t="s">
        <v>534</v>
      </c>
      <c r="U69" s="388">
        <f>SUM(F69:P69)</f>
        <v>59.754999999999974</v>
      </c>
    </row>
    <row r="70" spans="2:22">
      <c r="B70" s="254" t="s">
        <v>614</v>
      </c>
      <c r="F70" s="73">
        <f>F59/2</f>
        <v>59.754999999999974</v>
      </c>
      <c r="G70" s="73">
        <f>G59</f>
        <v>158.49000000000007</v>
      </c>
      <c r="H70" s="73">
        <f t="shared" ref="H70:P70" si="6">H59</f>
        <v>0</v>
      </c>
      <c r="I70" s="73"/>
      <c r="J70" s="73"/>
      <c r="K70" s="73"/>
      <c r="L70" s="73"/>
      <c r="M70" s="73">
        <f t="shared" si="6"/>
        <v>111.53000000000003</v>
      </c>
      <c r="N70" s="73">
        <f t="shared" si="6"/>
        <v>111.53000000000003</v>
      </c>
      <c r="O70" s="73">
        <f t="shared" si="6"/>
        <v>41.579999999999991</v>
      </c>
      <c r="P70" s="73">
        <f t="shared" si="6"/>
        <v>3.96</v>
      </c>
      <c r="T70" s="3" t="s">
        <v>534</v>
      </c>
      <c r="U70" s="387">
        <f>SUM(F70:P70)</f>
        <v>486.84500000000008</v>
      </c>
    </row>
    <row r="72" spans="2:22">
      <c r="R72" s="2"/>
      <c r="S72" s="2"/>
      <c r="T72" s="2"/>
      <c r="U72" s="2"/>
      <c r="V72" s="163"/>
    </row>
  </sheetData>
  <mergeCells count="15">
    <mergeCell ref="AO1:AX1"/>
    <mergeCell ref="AY1:BF1"/>
    <mergeCell ref="BG1:BK1"/>
    <mergeCell ref="V1:AE1"/>
    <mergeCell ref="BJ2:BK2"/>
    <mergeCell ref="AW2:AX2"/>
    <mergeCell ref="A59:D59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U67"/>
  <sheetViews>
    <sheetView workbookViewId="0">
      <pane ySplit="2" topLeftCell="A30" activePane="bottomLeft" state="frozen"/>
      <selection pane="bottomLeft" activeCell="B66" sqref="B66:B67"/>
    </sheetView>
  </sheetViews>
  <sheetFormatPr defaultRowHeight="11.25"/>
  <cols>
    <col min="1" max="1" width="6.5703125" style="8" bestFit="1" customWidth="1"/>
    <col min="2" max="2" width="73.140625" style="109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6" width="8.85546875" style="2" customWidth="1"/>
    <col min="17" max="17" width="12" style="2" customWidth="1"/>
    <col min="18" max="18" width="9.85546875" style="98" customWidth="1"/>
    <col min="19" max="19" width="7.42578125" style="98" customWidth="1"/>
    <col min="20" max="20" width="11.42578125" style="98" bestFit="1" customWidth="1"/>
    <col min="21" max="21" width="13" style="98" customWidth="1"/>
    <col min="22" max="16384" width="9.140625" style="3"/>
  </cols>
  <sheetData>
    <row r="1" spans="1:21" s="4" customFormat="1" ht="15.75" customHeight="1">
      <c r="A1" s="701" t="s">
        <v>31</v>
      </c>
      <c r="B1" s="702"/>
      <c r="C1" s="702"/>
      <c r="D1" s="703"/>
      <c r="E1" s="704" t="s">
        <v>183</v>
      </c>
      <c r="F1" s="705"/>
      <c r="G1" s="705"/>
      <c r="H1" s="705"/>
      <c r="I1" s="696" t="s">
        <v>177</v>
      </c>
      <c r="J1" s="696"/>
      <c r="K1" s="696"/>
      <c r="L1" s="696"/>
      <c r="M1" s="696"/>
      <c r="N1" s="696"/>
      <c r="O1" s="696"/>
      <c r="P1" s="696"/>
      <c r="Q1" s="696"/>
      <c r="R1" s="697" t="s">
        <v>29</v>
      </c>
      <c r="S1" s="698"/>
      <c r="T1" s="698"/>
      <c r="U1" s="698"/>
    </row>
    <row r="2" spans="1:21" s="4" customFormat="1" ht="23.25" thickBot="1">
      <c r="A2" s="10" t="s">
        <v>19</v>
      </c>
      <c r="B2" s="175" t="s">
        <v>0</v>
      </c>
      <c r="C2" s="63" t="s">
        <v>11</v>
      </c>
      <c r="D2" s="176" t="s">
        <v>12</v>
      </c>
      <c r="E2" s="44" t="s">
        <v>518</v>
      </c>
      <c r="F2" s="706" t="s">
        <v>29</v>
      </c>
      <c r="G2" s="707"/>
      <c r="H2" s="708"/>
      <c r="I2" s="44" t="s">
        <v>96</v>
      </c>
      <c r="J2" s="63" t="s">
        <v>97</v>
      </c>
      <c r="K2" s="63" t="s">
        <v>101</v>
      </c>
      <c r="L2" s="44" t="s">
        <v>256</v>
      </c>
      <c r="M2" s="44" t="s">
        <v>257</v>
      </c>
      <c r="N2" s="44" t="s">
        <v>258</v>
      </c>
      <c r="O2" s="63"/>
      <c r="P2" s="63" t="s">
        <v>186</v>
      </c>
      <c r="Q2" s="63" t="s">
        <v>47</v>
      </c>
      <c r="R2" s="699"/>
      <c r="S2" s="700"/>
      <c r="T2" s="700"/>
      <c r="U2" s="700"/>
    </row>
    <row r="3" spans="1:21" s="222" customFormat="1">
      <c r="A3" s="448">
        <f>'1-συμβολαια'!A3</f>
        <v>4600</v>
      </c>
      <c r="B3" s="443" t="str">
        <f>'1-συμβολαια'!C3</f>
        <v>δωρεά</v>
      </c>
      <c r="C3" s="324">
        <f>'4-πολλυπρ'!D3</f>
        <v>0</v>
      </c>
      <c r="D3" s="324">
        <f>'4-πολλυπρ'!I3</f>
        <v>0</v>
      </c>
      <c r="E3" s="411">
        <v>6.46</v>
      </c>
      <c r="F3" s="444" t="s">
        <v>184</v>
      </c>
      <c r="G3" s="444" t="s">
        <v>185</v>
      </c>
      <c r="H3" s="411"/>
      <c r="I3" s="411">
        <v>5.87</v>
      </c>
      <c r="J3" s="411">
        <v>5.87</v>
      </c>
      <c r="K3" s="411"/>
      <c r="L3" s="411"/>
      <c r="M3" s="411">
        <v>2.93</v>
      </c>
      <c r="N3" s="411"/>
      <c r="O3" s="408"/>
      <c r="P3" s="261"/>
      <c r="Q3" s="411">
        <f t="shared" ref="Q3:Q6" si="0">I3+J3+L3+M3+N3+O3</f>
        <v>14.67</v>
      </c>
      <c r="R3" s="412"/>
      <c r="S3" s="412"/>
      <c r="T3" s="449"/>
      <c r="U3" s="331"/>
    </row>
    <row r="4" spans="1:21" s="222" customFormat="1">
      <c r="A4" s="448">
        <f>'1-συμβολαια'!A4</f>
        <v>0</v>
      </c>
      <c r="B4" s="443" t="str">
        <f>'1-συμβολαια'!C4</f>
        <v>ΧΡΗΣΙΚΤΗΣΙΑ οικοπέδου &amp; οικίας = 1930 πατρός ΔΩΡΕΑ άτυπη</v>
      </c>
      <c r="C4" s="324">
        <f>'4-πολλυπρ'!D4</f>
        <v>0</v>
      </c>
      <c r="D4" s="324">
        <f>'4-πολλυπρ'!I4</f>
        <v>0</v>
      </c>
      <c r="E4" s="411">
        <v>6.46</v>
      </c>
      <c r="F4" s="444" t="s">
        <v>184</v>
      </c>
      <c r="G4" s="444" t="s">
        <v>185</v>
      </c>
      <c r="H4" s="411"/>
      <c r="I4" s="411"/>
      <c r="J4" s="411"/>
      <c r="K4" s="411"/>
      <c r="L4" s="411"/>
      <c r="M4" s="411"/>
      <c r="N4" s="411"/>
      <c r="O4" s="408"/>
      <c r="P4" s="261"/>
      <c r="Q4" s="411">
        <f t="shared" si="0"/>
        <v>0</v>
      </c>
      <c r="R4" s="412"/>
      <c r="S4" s="412"/>
      <c r="T4" s="449"/>
      <c r="U4" s="331"/>
    </row>
    <row r="5" spans="1:21" s="222" customFormat="1">
      <c r="A5" s="442">
        <f>'1-συμβολαια'!A5</f>
        <v>4601</v>
      </c>
      <c r="B5" s="443" t="str">
        <f>'1-συμβολαια'!C5</f>
        <v>αγοραπωλησίας 13.835κ ΕΞΟΦΛΗΣΗ</v>
      </c>
      <c r="C5" s="324">
        <f>'4-πολλυπρ'!D5</f>
        <v>0</v>
      </c>
      <c r="D5" s="324">
        <f>'4-πολλυπρ'!I5</f>
        <v>0</v>
      </c>
      <c r="E5" s="411"/>
      <c r="F5" s="444"/>
      <c r="G5" s="444"/>
      <c r="H5" s="411"/>
      <c r="I5" s="411"/>
      <c r="J5" s="411"/>
      <c r="K5" s="411"/>
      <c r="L5" s="411"/>
      <c r="M5" s="411"/>
      <c r="N5" s="411"/>
      <c r="O5" s="408"/>
      <c r="P5" s="261"/>
      <c r="Q5" s="411">
        <f t="shared" si="0"/>
        <v>0</v>
      </c>
      <c r="R5" s="412"/>
      <c r="S5" s="412"/>
      <c r="T5" s="449"/>
      <c r="U5" s="331"/>
    </row>
    <row r="6" spans="1:21" s="222" customFormat="1">
      <c r="A6" s="448">
        <f>'1-συμβολαια'!A6</f>
        <v>4602</v>
      </c>
      <c r="B6" s="443" t="str">
        <f>'1-συμβολαια'!C6</f>
        <v>κληρονομιάς ΑΠΟΔΟΧΗ</v>
      </c>
      <c r="C6" s="324">
        <f>'4-πολλυπρ'!D6</f>
        <v>0</v>
      </c>
      <c r="D6" s="324">
        <f>'4-πολλυπρ'!I6</f>
        <v>0</v>
      </c>
      <c r="E6" s="411">
        <v>6.46</v>
      </c>
      <c r="F6" s="444" t="s">
        <v>184</v>
      </c>
      <c r="G6" s="444" t="s">
        <v>185</v>
      </c>
      <c r="H6" s="411"/>
      <c r="I6" s="411">
        <v>5.87</v>
      </c>
      <c r="J6" s="411">
        <v>5.87</v>
      </c>
      <c r="K6" s="411"/>
      <c r="L6" s="411"/>
      <c r="M6" s="411">
        <v>2.93</v>
      </c>
      <c r="N6" s="411"/>
      <c r="O6" s="408"/>
      <c r="P6" s="261"/>
      <c r="Q6" s="411">
        <f t="shared" si="0"/>
        <v>14.67</v>
      </c>
      <c r="R6" s="412"/>
      <c r="S6" s="412"/>
      <c r="T6" s="449"/>
      <c r="U6" s="331"/>
    </row>
    <row r="7" spans="1:21" s="222" customFormat="1">
      <c r="A7" s="448">
        <f>'1-συμβολαια'!A7</f>
        <v>0</v>
      </c>
      <c r="B7" s="443" t="str">
        <f>'1-συμβολαια'!C7</f>
        <v>ΧΡΗΣΙΚΤΗΣΙΑ αγροτεμαχίου = 19?? ΑΝΑΔΑΣΜΟΣ</v>
      </c>
      <c r="C7" s="324">
        <f>'4-πολλυπρ'!D7</f>
        <v>0</v>
      </c>
      <c r="D7" s="324">
        <f>'4-πολλυπρ'!I7</f>
        <v>0</v>
      </c>
      <c r="E7" s="411">
        <v>6.46</v>
      </c>
      <c r="F7" s="444" t="s">
        <v>184</v>
      </c>
      <c r="G7" s="444" t="s">
        <v>185</v>
      </c>
      <c r="H7" s="411"/>
      <c r="I7" s="411"/>
      <c r="J7" s="411"/>
      <c r="K7" s="411"/>
      <c r="L7" s="411"/>
      <c r="M7" s="411"/>
      <c r="N7" s="411"/>
      <c r="O7" s="408"/>
      <c r="P7" s="261"/>
      <c r="Q7" s="411">
        <f t="shared" ref="Q7:Q55" si="1">I7+J7+L7+M7+N7+O7</f>
        <v>0</v>
      </c>
      <c r="R7" s="412"/>
      <c r="S7" s="412"/>
      <c r="T7" s="449"/>
      <c r="U7" s="331"/>
    </row>
    <row r="8" spans="1:21" s="222" customFormat="1">
      <c r="A8" s="442">
        <f>'1-συμβολαια'!A8</f>
        <v>4603</v>
      </c>
      <c r="B8" s="443" t="str">
        <f>'1-συμβολαια'!C8</f>
        <v>γονικής 11.618καπολα ΔΙΟΡΘΩΣΗ</v>
      </c>
      <c r="C8" s="324">
        <f>'4-πολλυπρ'!D8</f>
        <v>0</v>
      </c>
      <c r="D8" s="324">
        <f>'4-πολλυπρ'!I8</f>
        <v>0</v>
      </c>
      <c r="E8" s="411">
        <v>6.46</v>
      </c>
      <c r="F8" s="444" t="s">
        <v>184</v>
      </c>
      <c r="G8" s="444" t="s">
        <v>185</v>
      </c>
      <c r="H8" s="411"/>
      <c r="I8" s="411">
        <v>5.87</v>
      </c>
      <c r="J8" s="411">
        <v>5.87</v>
      </c>
      <c r="K8" s="411"/>
      <c r="L8" s="411"/>
      <c r="M8" s="411"/>
      <c r="N8" s="411"/>
      <c r="O8" s="408"/>
      <c r="P8" s="261"/>
      <c r="Q8" s="411">
        <f t="shared" si="1"/>
        <v>11.74</v>
      </c>
      <c r="R8" s="412"/>
      <c r="S8" s="412"/>
      <c r="T8" s="449"/>
      <c r="U8" s="331"/>
    </row>
    <row r="9" spans="1:21" s="222" customFormat="1">
      <c r="A9" s="442">
        <f>'1-συμβολαια'!A9</f>
        <v>4604</v>
      </c>
      <c r="B9" s="443" t="str">
        <f>'1-συμβολαια'!C9</f>
        <v>γονικής 11.619καπολα ΔΙΟΡΘΩΣΗ</v>
      </c>
      <c r="C9" s="324">
        <f>'4-πολλυπρ'!D9</f>
        <v>0</v>
      </c>
      <c r="D9" s="324">
        <f>'4-πολλυπρ'!I9</f>
        <v>0</v>
      </c>
      <c r="E9" s="411">
        <v>6.46</v>
      </c>
      <c r="F9" s="444" t="s">
        <v>184</v>
      </c>
      <c r="G9" s="444" t="s">
        <v>185</v>
      </c>
      <c r="H9" s="411"/>
      <c r="I9" s="411"/>
      <c r="J9" s="411"/>
      <c r="K9" s="411"/>
      <c r="L9" s="411"/>
      <c r="M9" s="411"/>
      <c r="N9" s="411"/>
      <c r="O9" s="408"/>
      <c r="P9" s="261"/>
      <c r="Q9" s="411">
        <f t="shared" si="1"/>
        <v>0</v>
      </c>
      <c r="R9" s="412"/>
      <c r="S9" s="412"/>
      <c r="T9" s="449"/>
      <c r="U9" s="331"/>
    </row>
    <row r="10" spans="1:21" s="222" customFormat="1">
      <c r="A10" s="442">
        <f>'1-συμβολαια'!A10</f>
        <v>4605</v>
      </c>
      <c r="B10" s="443" t="str">
        <f>'1-συμβολαια'!C10</f>
        <v>* γονικής 11.618καπολα επικαρπίας ΕΝΣΩΜΑΤΩΣΗ {= παραίτηση αδερφής δικαιώματος οίκησης</v>
      </c>
      <c r="C10" s="324">
        <f>'4-πολλυπρ'!D10</f>
        <v>0</v>
      </c>
      <c r="D10" s="324">
        <f>'4-πολλυπρ'!I10</f>
        <v>0</v>
      </c>
      <c r="E10" s="411">
        <v>6.46</v>
      </c>
      <c r="F10" s="444" t="s">
        <v>184</v>
      </c>
      <c r="G10" s="444" t="s">
        <v>185</v>
      </c>
      <c r="H10" s="411"/>
      <c r="I10" s="411"/>
      <c r="J10" s="411"/>
      <c r="K10" s="411"/>
      <c r="L10" s="411"/>
      <c r="M10" s="411"/>
      <c r="N10" s="411"/>
      <c r="O10" s="408"/>
      <c r="P10" s="261"/>
      <c r="Q10" s="411">
        <f t="shared" si="1"/>
        <v>0</v>
      </c>
      <c r="R10" s="412"/>
      <c r="S10" s="412"/>
      <c r="T10" s="449" t="s">
        <v>569</v>
      </c>
      <c r="U10" s="331"/>
    </row>
    <row r="11" spans="1:21" s="222" customFormat="1">
      <c r="A11" s="442">
        <f>'1-συμβολαια'!A11</f>
        <v>4606</v>
      </c>
      <c r="B11" s="443" t="str">
        <f>'1-συμβολαια'!C11</f>
        <v>πληρεξούσιο</v>
      </c>
      <c r="C11" s="324">
        <f>'4-πολλυπρ'!D11</f>
        <v>0</v>
      </c>
      <c r="D11" s="324">
        <f>'4-πολλυπρ'!I11</f>
        <v>0</v>
      </c>
      <c r="E11" s="411"/>
      <c r="F11" s="444"/>
      <c r="G11" s="444"/>
      <c r="H11" s="411"/>
      <c r="I11" s="411"/>
      <c r="J11" s="411"/>
      <c r="K11" s="411"/>
      <c r="L11" s="411"/>
      <c r="M11" s="411"/>
      <c r="N11" s="411"/>
      <c r="O11" s="408"/>
      <c r="P11" s="261"/>
      <c r="Q11" s="411">
        <f t="shared" si="1"/>
        <v>0</v>
      </c>
      <c r="R11" s="412"/>
      <c r="S11" s="412"/>
      <c r="T11" s="449"/>
      <c r="U11" s="331"/>
    </row>
    <row r="12" spans="1:21" s="222" customFormat="1">
      <c r="A12" s="442">
        <f>'1-συμβολαια'!A12</f>
        <v>4607</v>
      </c>
      <c r="B12" s="443" t="str">
        <f>'1-συμβολαια'!C12</f>
        <v>αγοραπωλησίας 3.919 ΔΙΟΡΘΩΣΗ</v>
      </c>
      <c r="C12" s="324">
        <f>'4-πολλυπρ'!D12</f>
        <v>0</v>
      </c>
      <c r="D12" s="324">
        <f>'4-πολλυπρ'!I12</f>
        <v>0</v>
      </c>
      <c r="E12" s="411"/>
      <c r="F12" s="444"/>
      <c r="G12" s="444"/>
      <c r="H12" s="411"/>
      <c r="I12" s="411"/>
      <c r="J12" s="411"/>
      <c r="K12" s="411"/>
      <c r="L12" s="411"/>
      <c r="M12" s="411"/>
      <c r="N12" s="411"/>
      <c r="O12" s="408"/>
      <c r="P12" s="261"/>
      <c r="Q12" s="411">
        <f t="shared" si="1"/>
        <v>0</v>
      </c>
      <c r="R12" s="412"/>
      <c r="S12" s="412"/>
      <c r="T12" s="449"/>
      <c r="U12" s="331"/>
    </row>
    <row r="13" spans="1:21" s="5" customFormat="1">
      <c r="A13" s="442">
        <f>'1-συμβολαια'!A13</f>
        <v>4608</v>
      </c>
      <c r="B13" s="443" t="str">
        <f>'1-συμβολαια'!C13</f>
        <v>αγοραπωλησία τίμημα = Δ.Ο.Υ. =</v>
      </c>
      <c r="C13" s="324">
        <f>'4-πολλυπρ'!D13</f>
        <v>0</v>
      </c>
      <c r="D13" s="324">
        <f>'4-πολλυπρ'!I13</f>
        <v>0</v>
      </c>
      <c r="E13" s="411">
        <v>6.46</v>
      </c>
      <c r="F13" s="444" t="s">
        <v>184</v>
      </c>
      <c r="G13" s="444" t="s">
        <v>185</v>
      </c>
      <c r="H13" s="411"/>
      <c r="I13" s="411">
        <v>5.87</v>
      </c>
      <c r="J13" s="411">
        <v>5.87</v>
      </c>
      <c r="K13" s="411"/>
      <c r="L13" s="411"/>
      <c r="M13" s="411"/>
      <c r="N13" s="411"/>
      <c r="O13" s="408"/>
      <c r="P13" s="261"/>
      <c r="Q13" s="411">
        <f t="shared" si="1"/>
        <v>11.74</v>
      </c>
      <c r="R13" s="412"/>
      <c r="S13" s="412"/>
      <c r="T13" s="449"/>
      <c r="U13" s="327"/>
    </row>
    <row r="14" spans="1:21" s="5" customFormat="1">
      <c r="A14" s="442">
        <f>'1-συμβολαια'!A14</f>
        <v>4609</v>
      </c>
      <c r="B14" s="443" t="str">
        <f>'1-συμβολαια'!C14</f>
        <v>αγοραπωλησία τίμημα = 6.057,27 Δ.Ο.Υ. =</v>
      </c>
      <c r="C14" s="324">
        <f>'4-πολλυπρ'!D14</f>
        <v>0</v>
      </c>
      <c r="D14" s="324">
        <f>'4-πολλυπρ'!I14</f>
        <v>0</v>
      </c>
      <c r="E14" s="411">
        <v>6.46</v>
      </c>
      <c r="F14" s="444" t="s">
        <v>184</v>
      </c>
      <c r="G14" s="444" t="s">
        <v>185</v>
      </c>
      <c r="H14" s="411"/>
      <c r="I14" s="411">
        <v>5.87</v>
      </c>
      <c r="J14" s="411">
        <v>5.87</v>
      </c>
      <c r="K14" s="411"/>
      <c r="L14" s="411">
        <v>2.93</v>
      </c>
      <c r="M14" s="411">
        <v>2.93</v>
      </c>
      <c r="N14" s="411">
        <v>2.93</v>
      </c>
      <c r="O14" s="408"/>
      <c r="P14" s="261"/>
      <c r="Q14" s="411">
        <f t="shared" si="1"/>
        <v>20.53</v>
      </c>
      <c r="R14" s="412"/>
      <c r="S14" s="412"/>
      <c r="T14" s="449"/>
      <c r="U14" s="327"/>
    </row>
    <row r="15" spans="1:21" s="5" customFormat="1">
      <c r="A15" s="442">
        <f>'1-συμβολαια'!A15</f>
        <v>4610</v>
      </c>
      <c r="B15" s="443" t="str">
        <f>'1-συμβολαια'!C15</f>
        <v>πληρεξούσιο</v>
      </c>
      <c r="C15" s="324">
        <f>'4-πολλυπρ'!D15</f>
        <v>0</v>
      </c>
      <c r="D15" s="324">
        <f>'4-πολλυπρ'!I15</f>
        <v>0</v>
      </c>
      <c r="E15" s="411"/>
      <c r="F15" s="444"/>
      <c r="G15" s="444"/>
      <c r="H15" s="411"/>
      <c r="I15" s="411"/>
      <c r="J15" s="411"/>
      <c r="K15" s="411"/>
      <c r="L15" s="411"/>
      <c r="M15" s="411"/>
      <c r="N15" s="411"/>
      <c r="O15" s="408"/>
      <c r="P15" s="261"/>
      <c r="Q15" s="411">
        <f t="shared" si="1"/>
        <v>0</v>
      </c>
      <c r="R15" s="412"/>
      <c r="S15" s="412"/>
      <c r="T15" s="449"/>
      <c r="U15" s="327"/>
    </row>
    <row r="16" spans="1:21" s="5" customFormat="1">
      <c r="A16" s="448">
        <f>'1-συμβολαια'!A16</f>
        <v>4611</v>
      </c>
      <c r="B16" s="443" t="str">
        <f>'1-συμβολαια'!C16</f>
        <v>γονική</v>
      </c>
      <c r="C16" s="324">
        <f>'4-πολλυπρ'!D16</f>
        <v>0</v>
      </c>
      <c r="D16" s="324">
        <f>'4-πολλυπρ'!I16</f>
        <v>0</v>
      </c>
      <c r="E16" s="411">
        <v>6.46</v>
      </c>
      <c r="F16" s="444" t="s">
        <v>184</v>
      </c>
      <c r="G16" s="444" t="s">
        <v>185</v>
      </c>
      <c r="H16" s="411"/>
      <c r="I16" s="411">
        <v>5.87</v>
      </c>
      <c r="J16" s="411">
        <v>5.87</v>
      </c>
      <c r="K16" s="411"/>
      <c r="L16" s="411"/>
      <c r="M16" s="411"/>
      <c r="N16" s="411"/>
      <c r="O16" s="408"/>
      <c r="P16" s="261"/>
      <c r="Q16" s="411">
        <f t="shared" si="1"/>
        <v>11.74</v>
      </c>
      <c r="R16" s="412"/>
      <c r="S16" s="412"/>
      <c r="T16" s="449"/>
      <c r="U16" s="327"/>
    </row>
    <row r="17" spans="1:21" s="5" customFormat="1">
      <c r="A17" s="448">
        <f>'1-συμβολαια'!A17</f>
        <v>0</v>
      </c>
      <c r="B17" s="443" t="str">
        <f>'1-συμβολαια'!C17</f>
        <v>ΧΡΗΣΙΚΤΗΣΙΑ οικοπέδου = 1973 κυπαρισσίουΠαναγιώτη ΑΓΟΡΑΠΩΛΗΣΙΑ άτυπη</v>
      </c>
      <c r="C17" s="324">
        <f>'4-πολλυπρ'!D17</f>
        <v>0</v>
      </c>
      <c r="D17" s="324">
        <f>'4-πολλυπρ'!I17</f>
        <v>0</v>
      </c>
      <c r="E17" s="411">
        <v>6.46</v>
      </c>
      <c r="F17" s="444" t="s">
        <v>184</v>
      </c>
      <c r="G17" s="444" t="s">
        <v>185</v>
      </c>
      <c r="H17" s="411"/>
      <c r="I17" s="411"/>
      <c r="J17" s="411"/>
      <c r="K17" s="411"/>
      <c r="L17" s="411"/>
      <c r="M17" s="411"/>
      <c r="N17" s="411"/>
      <c r="O17" s="408"/>
      <c r="P17" s="261"/>
      <c r="Q17" s="411">
        <f t="shared" si="1"/>
        <v>0</v>
      </c>
      <c r="R17" s="412"/>
      <c r="S17" s="412"/>
      <c r="T17" s="449"/>
      <c r="U17" s="327"/>
    </row>
    <row r="18" spans="1:21" s="5" customFormat="1">
      <c r="A18" s="448">
        <f>'1-συμβολαια'!A18</f>
        <v>0</v>
      </c>
      <c r="B18" s="443" t="str">
        <f>'1-συμβολαια'!C18</f>
        <v>οριζόντιος ΣΥΣΤΑΣΗ</v>
      </c>
      <c r="C18" s="324">
        <f>'4-πολλυπρ'!D18</f>
        <v>0</v>
      </c>
      <c r="D18" s="324">
        <f>'4-πολλυπρ'!I18</f>
        <v>0</v>
      </c>
      <c r="E18" s="411">
        <v>6.46</v>
      </c>
      <c r="F18" s="444" t="s">
        <v>184</v>
      </c>
      <c r="G18" s="444" t="s">
        <v>185</v>
      </c>
      <c r="H18" s="411"/>
      <c r="I18" s="411"/>
      <c r="J18" s="411"/>
      <c r="K18" s="411"/>
      <c r="L18" s="411"/>
      <c r="M18" s="411"/>
      <c r="N18" s="411"/>
      <c r="O18" s="408"/>
      <c r="P18" s="261"/>
      <c r="Q18" s="411">
        <f t="shared" si="1"/>
        <v>0</v>
      </c>
      <c r="R18" s="412"/>
      <c r="S18" s="412"/>
      <c r="T18" s="449"/>
      <c r="U18" s="327"/>
    </row>
    <row r="19" spans="1:21" s="5" customFormat="1">
      <c r="A19" s="442">
        <f>'1-συμβολαια'!A19</f>
        <v>4612</v>
      </c>
      <c r="B19" s="443" t="str">
        <f>'1-συμβολαια'!C19</f>
        <v>κληρονομιάς ΑΠΟΔΟΧΗ</v>
      </c>
      <c r="C19" s="324">
        <f>'4-πολλυπρ'!D19</f>
        <v>0</v>
      </c>
      <c r="D19" s="324">
        <f>'4-πολλυπρ'!I19</f>
        <v>0</v>
      </c>
      <c r="E19" s="411">
        <v>6.46</v>
      </c>
      <c r="F19" s="444" t="s">
        <v>184</v>
      </c>
      <c r="G19" s="444" t="s">
        <v>185</v>
      </c>
      <c r="H19" s="411"/>
      <c r="I19" s="411">
        <v>5.87</v>
      </c>
      <c r="J19" s="411">
        <v>5.87</v>
      </c>
      <c r="K19" s="411"/>
      <c r="L19" s="411">
        <f>2.93*2</f>
        <v>5.86</v>
      </c>
      <c r="M19" s="411">
        <f>2.93*4</f>
        <v>11.72</v>
      </c>
      <c r="N19" s="411"/>
      <c r="O19" s="408"/>
      <c r="P19" s="261"/>
      <c r="Q19" s="411">
        <f t="shared" si="1"/>
        <v>29.32</v>
      </c>
      <c r="R19" s="412"/>
      <c r="S19" s="412"/>
      <c r="T19" s="449"/>
      <c r="U19" s="327"/>
    </row>
    <row r="20" spans="1:21" s="5" customFormat="1">
      <c r="A20" s="442">
        <f>'1-συμβολαια'!A20</f>
        <v>4613</v>
      </c>
      <c r="B20" s="443" t="str">
        <f>'1-συμβολαια'!C20</f>
        <v>γονική</v>
      </c>
      <c r="C20" s="324">
        <f>'4-πολλυπρ'!D20</f>
        <v>0</v>
      </c>
      <c r="D20" s="324">
        <f>'4-πολλυπρ'!I20</f>
        <v>0</v>
      </c>
      <c r="E20" s="411">
        <v>6.46</v>
      </c>
      <c r="F20" s="444" t="s">
        <v>184</v>
      </c>
      <c r="G20" s="444" t="s">
        <v>185</v>
      </c>
      <c r="H20" s="411"/>
      <c r="I20" s="411">
        <v>5.87</v>
      </c>
      <c r="J20" s="411">
        <v>5.87</v>
      </c>
      <c r="K20" s="411"/>
      <c r="L20" s="411">
        <f>2.93*2</f>
        <v>5.86</v>
      </c>
      <c r="M20" s="411">
        <f>2.93*4</f>
        <v>11.72</v>
      </c>
      <c r="N20" s="411">
        <v>5.87</v>
      </c>
      <c r="O20" s="408"/>
      <c r="P20" s="261"/>
      <c r="Q20" s="411">
        <f t="shared" si="1"/>
        <v>35.19</v>
      </c>
      <c r="R20" s="412"/>
      <c r="S20" s="412"/>
      <c r="T20" s="449"/>
      <c r="U20" s="327"/>
    </row>
    <row r="21" spans="1:21" s="5" customFormat="1">
      <c r="A21" s="442">
        <f>'1-συμβολαια'!A21</f>
        <v>4614</v>
      </c>
      <c r="B21" s="443" t="str">
        <f>'1-συμβολαια'!C21</f>
        <v>διαθήκη</v>
      </c>
      <c r="C21" s="324">
        <f>'4-πολλυπρ'!D21</f>
        <v>0</v>
      </c>
      <c r="D21" s="324">
        <f>'4-πολλυπρ'!I21</f>
        <v>0</v>
      </c>
      <c r="E21" s="411"/>
      <c r="F21" s="444"/>
      <c r="G21" s="444"/>
      <c r="H21" s="411"/>
      <c r="I21" s="411"/>
      <c r="J21" s="411"/>
      <c r="K21" s="411"/>
      <c r="L21" s="411"/>
      <c r="M21" s="411"/>
      <c r="N21" s="411"/>
      <c r="O21" s="408"/>
      <c r="P21" s="261"/>
      <c r="Q21" s="411"/>
      <c r="R21" s="412"/>
      <c r="S21" s="412"/>
      <c r="T21" s="449"/>
      <c r="U21" s="327"/>
    </row>
    <row r="22" spans="1:21" s="5" customFormat="1">
      <c r="A22" s="448">
        <f>'1-συμβολαια'!A22</f>
        <v>4615</v>
      </c>
      <c r="B22" s="443" t="str">
        <f>'1-συμβολαια'!C22</f>
        <v>δωρεά</v>
      </c>
      <c r="C22" s="324">
        <f>'4-πολλυπρ'!D22</f>
        <v>0</v>
      </c>
      <c r="D22" s="324">
        <f>'4-πολλυπρ'!I22</f>
        <v>0</v>
      </c>
      <c r="E22" s="411">
        <v>6.46</v>
      </c>
      <c r="F22" s="444" t="s">
        <v>184</v>
      </c>
      <c r="G22" s="444" t="s">
        <v>185</v>
      </c>
      <c r="H22" s="411"/>
      <c r="I22" s="411">
        <v>5.87</v>
      </c>
      <c r="J22" s="411">
        <v>5.87</v>
      </c>
      <c r="K22" s="411"/>
      <c r="L22" s="411">
        <f>2*2.93</f>
        <v>5.86</v>
      </c>
      <c r="M22" s="411">
        <f>2*2.93</f>
        <v>5.86</v>
      </c>
      <c r="N22" s="411"/>
      <c r="O22" s="408"/>
      <c r="P22" s="261"/>
      <c r="Q22" s="411">
        <f t="shared" si="1"/>
        <v>23.46</v>
      </c>
      <c r="R22" s="412"/>
      <c r="S22" s="412"/>
      <c r="T22" s="449"/>
      <c r="U22" s="327"/>
    </row>
    <row r="23" spans="1:21" s="5" customFormat="1">
      <c r="A23" s="448">
        <f>'1-συμβολαια'!A23</f>
        <v>0</v>
      </c>
      <c r="B23" s="443" t="str">
        <f>'1-συμβολαια'!C23</f>
        <v>ΧΡΗΣΙΚΤΗΣΙΑ οικοπέδου &amp; οικίας = 1935 πατρός ΔΩΡΕΑ άτυπη</v>
      </c>
      <c r="C23" s="324">
        <f>'4-πολλυπρ'!D23</f>
        <v>0</v>
      </c>
      <c r="D23" s="324">
        <f>'4-πολλυπρ'!I23</f>
        <v>0</v>
      </c>
      <c r="E23" s="411">
        <v>6.46</v>
      </c>
      <c r="F23" s="444" t="s">
        <v>184</v>
      </c>
      <c r="G23" s="444" t="s">
        <v>185</v>
      </c>
      <c r="H23" s="411"/>
      <c r="I23" s="411"/>
      <c r="J23" s="411"/>
      <c r="K23" s="411"/>
      <c r="L23" s="411"/>
      <c r="M23" s="411"/>
      <c r="N23" s="411"/>
      <c r="O23" s="408"/>
      <c r="P23" s="261"/>
      <c r="Q23" s="411">
        <f t="shared" si="1"/>
        <v>0</v>
      </c>
      <c r="R23" s="412"/>
      <c r="S23" s="412"/>
      <c r="T23" s="449"/>
      <c r="U23" s="327"/>
    </row>
    <row r="24" spans="1:21" s="5" customFormat="1">
      <c r="A24" s="542">
        <f>'1-συμβολαια'!A24</f>
        <v>4616</v>
      </c>
      <c r="B24" s="443" t="str">
        <f>'1-συμβολαια'!C24</f>
        <v>δωρεά</v>
      </c>
      <c r="C24" s="324">
        <f>'4-πολλυπρ'!D24</f>
        <v>0</v>
      </c>
      <c r="D24" s="324">
        <f>'4-πολλυπρ'!I24</f>
        <v>0</v>
      </c>
      <c r="E24" s="411">
        <v>6.46</v>
      </c>
      <c r="F24" s="444" t="s">
        <v>184</v>
      </c>
      <c r="G24" s="444" t="s">
        <v>185</v>
      </c>
      <c r="H24" s="411"/>
      <c r="I24" s="411">
        <v>5.87</v>
      </c>
      <c r="J24" s="411">
        <v>5.87</v>
      </c>
      <c r="K24" s="411"/>
      <c r="L24" s="411">
        <v>5.86</v>
      </c>
      <c r="M24" s="411">
        <f>2.93*4</f>
        <v>11.72</v>
      </c>
      <c r="N24" s="411"/>
      <c r="O24" s="408"/>
      <c r="P24" s="261"/>
      <c r="Q24" s="411">
        <f t="shared" si="1"/>
        <v>29.32</v>
      </c>
      <c r="R24" s="412"/>
      <c r="S24" s="412"/>
      <c r="T24" s="449"/>
      <c r="U24" s="327"/>
    </row>
    <row r="25" spans="1:21" s="5" customFormat="1">
      <c r="A25" s="542">
        <f>'1-συμβολαια'!A25</f>
        <v>0</v>
      </c>
      <c r="B25" s="443" t="str">
        <f>'1-συμβολαια'!C25</f>
        <v>ΧΡΗΣΙΚΤΗΣΙΑ αγροτεμαχίου = 1925 πατρός ΔΩΡΕΑ άτυπη</v>
      </c>
      <c r="C25" s="324">
        <f>'4-πολλυπρ'!D25</f>
        <v>0</v>
      </c>
      <c r="D25" s="324">
        <f>'4-πολλυπρ'!I25</f>
        <v>0</v>
      </c>
      <c r="E25" s="411">
        <v>6.46</v>
      </c>
      <c r="F25" s="444" t="s">
        <v>184</v>
      </c>
      <c r="G25" s="444" t="s">
        <v>185</v>
      </c>
      <c r="H25" s="411"/>
      <c r="I25" s="411"/>
      <c r="J25" s="411"/>
      <c r="K25" s="411"/>
      <c r="L25" s="411"/>
      <c r="M25" s="411"/>
      <c r="N25" s="411"/>
      <c r="O25" s="408"/>
      <c r="P25" s="261"/>
      <c r="Q25" s="411">
        <f t="shared" si="1"/>
        <v>0</v>
      </c>
      <c r="R25" s="412"/>
      <c r="S25" s="412"/>
      <c r="T25" s="449"/>
      <c r="U25" s="327"/>
    </row>
    <row r="26" spans="1:21" s="5" customFormat="1">
      <c r="A26" s="542">
        <f>'1-συμβολαια'!A26</f>
        <v>0</v>
      </c>
      <c r="B26" s="443" t="str">
        <f>'1-συμβολαια'!C26</f>
        <v>ΧΡΗΣΙΚΤΗΣΙΑ αγροτεμαχίου (νυν οικόπεδο) = 1975 ΑΝΑΔΑΣΜΟΣ</v>
      </c>
      <c r="C26" s="324">
        <f>'4-πολλυπρ'!D26</f>
        <v>0</v>
      </c>
      <c r="D26" s="324">
        <f>'4-πολλυπρ'!I26</f>
        <v>0</v>
      </c>
      <c r="E26" s="411"/>
      <c r="F26" s="444"/>
      <c r="G26" s="444"/>
      <c r="H26" s="411"/>
      <c r="I26" s="411"/>
      <c r="J26" s="411"/>
      <c r="K26" s="411"/>
      <c r="L26" s="411"/>
      <c r="M26" s="411"/>
      <c r="N26" s="411"/>
      <c r="O26" s="408"/>
      <c r="P26" s="261"/>
      <c r="Q26" s="411">
        <f t="shared" si="1"/>
        <v>0</v>
      </c>
      <c r="R26" s="412"/>
      <c r="S26" s="412"/>
      <c r="T26" s="449"/>
      <c r="U26" s="327"/>
    </row>
    <row r="27" spans="1:21" s="5" customFormat="1">
      <c r="A27" s="448">
        <f>'1-συμβολαια'!A27</f>
        <v>4617</v>
      </c>
      <c r="B27" s="443" t="str">
        <f>'1-συμβολαια'!C27</f>
        <v>προσύμφωνο μεταβιβάσεως ποσοστών οικοπέδου</v>
      </c>
      <c r="C27" s="324">
        <f>'4-πολλυπρ'!D27</f>
        <v>0</v>
      </c>
      <c r="D27" s="324">
        <f>'4-πολλυπρ'!I27</f>
        <v>0</v>
      </c>
      <c r="E27" s="411"/>
      <c r="F27" s="444"/>
      <c r="G27" s="444"/>
      <c r="H27" s="411"/>
      <c r="I27" s="411"/>
      <c r="J27" s="411"/>
      <c r="K27" s="411"/>
      <c r="L27" s="411"/>
      <c r="M27" s="411"/>
      <c r="N27" s="411"/>
      <c r="O27" s="408"/>
      <c r="P27" s="261"/>
      <c r="Q27" s="411">
        <f t="shared" si="1"/>
        <v>0</v>
      </c>
      <c r="R27" s="412"/>
      <c r="S27" s="412"/>
      <c r="T27" s="449"/>
      <c r="U27" s="327"/>
    </row>
    <row r="28" spans="1:21" s="5" customFormat="1">
      <c r="A28" s="448">
        <f>'1-συμβολαια'!A28</f>
        <v>0</v>
      </c>
      <c r="B28" s="443" t="str">
        <f>'1-συμβολαια'!C28</f>
        <v>εργολαβικό</v>
      </c>
      <c r="C28" s="324">
        <f>'4-πολλυπρ'!D28</f>
        <v>0</v>
      </c>
      <c r="D28" s="324">
        <f>'4-πολλυπρ'!I28</f>
        <v>0</v>
      </c>
      <c r="E28" s="411"/>
      <c r="F28" s="444"/>
      <c r="G28" s="444"/>
      <c r="H28" s="411"/>
      <c r="I28" s="411"/>
      <c r="J28" s="411"/>
      <c r="K28" s="411"/>
      <c r="L28" s="411"/>
      <c r="M28" s="411"/>
      <c r="N28" s="411"/>
      <c r="O28" s="408"/>
      <c r="P28" s="261"/>
      <c r="Q28" s="411">
        <f t="shared" si="1"/>
        <v>0</v>
      </c>
      <c r="R28" s="412"/>
      <c r="S28" s="412"/>
      <c r="T28" s="449"/>
      <c r="U28" s="327"/>
    </row>
    <row r="29" spans="1:21" s="5" customFormat="1">
      <c r="A29" s="442">
        <f>'1-συμβολαια'!A29</f>
        <v>4618</v>
      </c>
      <c r="B29" s="443" t="str">
        <f>'1-συμβολαια'!C29</f>
        <v>πληρεξούσιο</v>
      </c>
      <c r="C29" s="324">
        <f>'4-πολλυπρ'!D29</f>
        <v>0</v>
      </c>
      <c r="D29" s="324">
        <f>'4-πολλυπρ'!I29</f>
        <v>0</v>
      </c>
      <c r="E29" s="411"/>
      <c r="F29" s="444"/>
      <c r="G29" s="444"/>
      <c r="H29" s="411"/>
      <c r="I29" s="411"/>
      <c r="J29" s="411"/>
      <c r="K29" s="411"/>
      <c r="L29" s="411"/>
      <c r="M29" s="411"/>
      <c r="N29" s="411"/>
      <c r="O29" s="408"/>
      <c r="P29" s="261"/>
      <c r="Q29" s="411">
        <f t="shared" si="1"/>
        <v>0</v>
      </c>
      <c r="R29" s="412"/>
      <c r="S29" s="412"/>
      <c r="T29" s="449"/>
      <c r="U29" s="327"/>
    </row>
    <row r="30" spans="1:21" s="5" customFormat="1">
      <c r="A30" s="448">
        <f>'1-συμβολαια'!A30</f>
        <v>4619</v>
      </c>
      <c r="B30" s="443" t="str">
        <f>'1-συμβολαια'!C30</f>
        <v>αγοραπωλησίας ΠΡΟΣΥΜΦΩΝΟ τίμημα = αρραβών =</v>
      </c>
      <c r="C30" s="324">
        <f>'4-πολλυπρ'!D30</f>
        <v>0</v>
      </c>
      <c r="D30" s="324">
        <f>'4-πολλυπρ'!I30</f>
        <v>0</v>
      </c>
      <c r="E30" s="411"/>
      <c r="F30" s="444"/>
      <c r="G30" s="444"/>
      <c r="H30" s="411"/>
      <c r="I30" s="411"/>
      <c r="J30" s="411"/>
      <c r="K30" s="411"/>
      <c r="L30" s="411"/>
      <c r="M30" s="411"/>
      <c r="N30" s="411"/>
      <c r="O30" s="408"/>
      <c r="P30" s="261"/>
      <c r="Q30" s="411">
        <f t="shared" si="1"/>
        <v>0</v>
      </c>
      <c r="R30" s="412"/>
      <c r="S30" s="412"/>
      <c r="T30" s="449"/>
      <c r="U30" s="327"/>
    </row>
    <row r="31" spans="1:21" s="5" customFormat="1">
      <c r="A31" s="448">
        <f>'1-συμβολαια'!A31</f>
        <v>0</v>
      </c>
      <c r="B31" s="443" t="str">
        <f>'1-συμβολαια'!C31</f>
        <v>ΧΡΗΣΙΚΤΗΣΙΑ αγροτεμαχίου = 1975 πατρός ΔΩΡΕΑ άτυπη</v>
      </c>
      <c r="C31" s="324">
        <f>'4-πολλυπρ'!D31</f>
        <v>0</v>
      </c>
      <c r="D31" s="324">
        <f>'4-πολλυπρ'!I31</f>
        <v>0</v>
      </c>
      <c r="E31" s="411"/>
      <c r="F31" s="444"/>
      <c r="G31" s="444"/>
      <c r="H31" s="411"/>
      <c r="I31" s="411"/>
      <c r="J31" s="411"/>
      <c r="K31" s="411"/>
      <c r="L31" s="411"/>
      <c r="M31" s="411"/>
      <c r="N31" s="411"/>
      <c r="O31" s="408"/>
      <c r="P31" s="261"/>
      <c r="Q31" s="411">
        <f t="shared" si="1"/>
        <v>0</v>
      </c>
      <c r="R31" s="412"/>
      <c r="S31" s="412"/>
      <c r="T31" s="449"/>
      <c r="U31" s="327"/>
    </row>
    <row r="32" spans="1:21" s="5" customFormat="1">
      <c r="A32" s="557">
        <f>'1-συμβολαια'!A32</f>
        <v>4620</v>
      </c>
      <c r="B32" s="443" t="str">
        <f>'1-συμβολαια'!C32</f>
        <v>γονική</v>
      </c>
      <c r="C32" s="324">
        <f>'4-πολλυπρ'!D32</f>
        <v>0</v>
      </c>
      <c r="D32" s="324">
        <f>'4-πολλυπρ'!I32</f>
        <v>0</v>
      </c>
      <c r="E32" s="411">
        <v>6.46</v>
      </c>
      <c r="F32" s="444" t="s">
        <v>184</v>
      </c>
      <c r="G32" s="444" t="s">
        <v>185</v>
      </c>
      <c r="H32" s="411"/>
      <c r="I32" s="411">
        <v>5.87</v>
      </c>
      <c r="J32" s="411">
        <v>5.87</v>
      </c>
      <c r="K32" s="411"/>
      <c r="L32" s="411">
        <v>5.86</v>
      </c>
      <c r="M32" s="411">
        <f>L32*2</f>
        <v>11.72</v>
      </c>
      <c r="N32" s="411"/>
      <c r="O32" s="408"/>
      <c r="P32" s="261"/>
      <c r="Q32" s="411">
        <f t="shared" si="1"/>
        <v>29.32</v>
      </c>
      <c r="R32" s="412"/>
      <c r="S32" s="412"/>
      <c r="T32" s="449"/>
      <c r="U32" s="327"/>
    </row>
    <row r="33" spans="1:21" s="5" customFormat="1">
      <c r="A33" s="542">
        <f>'1-συμβολαια'!A33</f>
        <v>0</v>
      </c>
      <c r="B33" s="443" t="str">
        <f>'1-συμβολαια'!C33</f>
        <v>κάθετος ΣΥΣΤΑΣΗ</v>
      </c>
      <c r="C33" s="324">
        <f>'4-πολλυπρ'!D33</f>
        <v>0</v>
      </c>
      <c r="D33" s="324">
        <f>'4-πολλυπρ'!I33</f>
        <v>0</v>
      </c>
      <c r="E33" s="411"/>
      <c r="F33" s="444"/>
      <c r="G33" s="444"/>
      <c r="H33" s="411"/>
      <c r="I33" s="411"/>
      <c r="J33" s="411"/>
      <c r="K33" s="411"/>
      <c r="L33" s="411"/>
      <c r="M33" s="411"/>
      <c r="N33" s="411"/>
      <c r="O33" s="408"/>
      <c r="P33" s="261"/>
      <c r="Q33" s="411">
        <f t="shared" si="1"/>
        <v>0</v>
      </c>
      <c r="R33" s="412"/>
      <c r="S33" s="412"/>
      <c r="T33" s="449"/>
      <c r="U33" s="327"/>
    </row>
    <row r="34" spans="1:21" s="5" customFormat="1">
      <c r="A34" s="542">
        <f>'1-συμβολαια'!A34</f>
        <v>0</v>
      </c>
      <c r="B34" s="443" t="str">
        <f>'1-συμβολαια'!C34</f>
        <v>ΧΡΗΣΙΚΤΗΣΙΑ αγροτεμαχίου (νυν οικόπεδο) = 19?? ΑΝΑΔΑΣΜΟΣ</v>
      </c>
      <c r="C34" s="324">
        <f>'4-πολλυπρ'!D34</f>
        <v>0</v>
      </c>
      <c r="D34" s="324">
        <f>'4-πολλυπρ'!I34</f>
        <v>0</v>
      </c>
      <c r="E34" s="411"/>
      <c r="F34" s="444"/>
      <c r="G34" s="444"/>
      <c r="H34" s="411"/>
      <c r="I34" s="411"/>
      <c r="J34" s="411"/>
      <c r="K34" s="411"/>
      <c r="L34" s="411"/>
      <c r="M34" s="411"/>
      <c r="N34" s="411"/>
      <c r="O34" s="408"/>
      <c r="P34" s="261"/>
      <c r="Q34" s="411">
        <f t="shared" si="1"/>
        <v>0</v>
      </c>
      <c r="R34" s="412"/>
      <c r="S34" s="412"/>
      <c r="T34" s="449"/>
      <c r="U34" s="327"/>
    </row>
    <row r="35" spans="1:21" s="5" customFormat="1">
      <c r="A35" s="557">
        <f>'1-συμβολαια'!A35</f>
        <v>4621</v>
      </c>
      <c r="B35" s="443" t="str">
        <f>'1-συμβολαια'!C35</f>
        <v>γονική</v>
      </c>
      <c r="C35" s="324">
        <f>'4-πολλυπρ'!D35</f>
        <v>0</v>
      </c>
      <c r="D35" s="324">
        <f>'4-πολλυπρ'!I35</f>
        <v>0</v>
      </c>
      <c r="E35" s="411">
        <v>6.46</v>
      </c>
      <c r="F35" s="444" t="s">
        <v>184</v>
      </c>
      <c r="G35" s="444" t="s">
        <v>185</v>
      </c>
      <c r="H35" s="411"/>
      <c r="I35" s="411">
        <v>5.87</v>
      </c>
      <c r="J35" s="411">
        <v>5.87</v>
      </c>
      <c r="K35" s="411"/>
      <c r="L35" s="411">
        <v>5.86</v>
      </c>
      <c r="M35" s="411">
        <f>L35*2</f>
        <v>11.72</v>
      </c>
      <c r="N35" s="411"/>
      <c r="O35" s="408"/>
      <c r="P35" s="261"/>
      <c r="Q35" s="411">
        <f t="shared" si="1"/>
        <v>29.32</v>
      </c>
      <c r="R35" s="412"/>
      <c r="S35" s="412"/>
      <c r="T35" s="449"/>
      <c r="U35" s="327"/>
    </row>
    <row r="36" spans="1:21" s="5" customFormat="1">
      <c r="A36" s="448">
        <f>'1-συμβολαια'!A36</f>
        <v>0</v>
      </c>
      <c r="B36" s="443" t="str">
        <f>'1-συμβολαια'!C36</f>
        <v>οριζόντιος ΣΥΣΤΑΣΗ</v>
      </c>
      <c r="C36" s="324">
        <f>'4-πολλυπρ'!D36</f>
        <v>0</v>
      </c>
      <c r="D36" s="324">
        <f>'4-πολλυπρ'!I36</f>
        <v>0</v>
      </c>
      <c r="E36" s="411">
        <v>6.46</v>
      </c>
      <c r="F36" s="444" t="s">
        <v>184</v>
      </c>
      <c r="G36" s="444" t="s">
        <v>185</v>
      </c>
      <c r="H36" s="411"/>
      <c r="I36" s="411"/>
      <c r="J36" s="411"/>
      <c r="K36" s="411"/>
      <c r="L36" s="411"/>
      <c r="M36" s="411"/>
      <c r="N36" s="411"/>
      <c r="O36" s="408"/>
      <c r="P36" s="261"/>
      <c r="Q36" s="411">
        <f t="shared" si="1"/>
        <v>0</v>
      </c>
      <c r="R36" s="412"/>
      <c r="S36" s="412"/>
      <c r="T36" s="449"/>
      <c r="U36" s="327"/>
    </row>
    <row r="37" spans="1:21" s="5" customFormat="1">
      <c r="A37" s="442">
        <f>'1-συμβολαια'!A37</f>
        <v>4622</v>
      </c>
      <c r="B37" s="443" t="str">
        <f>'1-συμβολαια'!C37</f>
        <v>πληρεξούσιο</v>
      </c>
      <c r="C37" s="324">
        <f>'4-πολλυπρ'!D37</f>
        <v>0</v>
      </c>
      <c r="D37" s="324">
        <f>'4-πολλυπρ'!I37</f>
        <v>0</v>
      </c>
      <c r="E37" s="411"/>
      <c r="F37" s="444"/>
      <c r="G37" s="444"/>
      <c r="H37" s="411"/>
      <c r="I37" s="411"/>
      <c r="J37" s="411"/>
      <c r="K37" s="411"/>
      <c r="L37" s="411"/>
      <c r="M37" s="411"/>
      <c r="N37" s="411"/>
      <c r="O37" s="408"/>
      <c r="P37" s="261"/>
      <c r="Q37" s="411">
        <f t="shared" si="1"/>
        <v>0</v>
      </c>
      <c r="R37" s="412"/>
      <c r="S37" s="412"/>
      <c r="T37" s="449"/>
      <c r="U37" s="327"/>
    </row>
    <row r="38" spans="1:21" s="5" customFormat="1">
      <c r="A38" s="442">
        <f>'1-συμβολαια'!A38</f>
        <v>4623</v>
      </c>
      <c r="B38" s="443" t="str">
        <f>'1-συμβολαια'!C38</f>
        <v>πληρεξούσιο</v>
      </c>
      <c r="C38" s="324">
        <f>'4-πολλυπρ'!D38</f>
        <v>0</v>
      </c>
      <c r="D38" s="324">
        <f>'4-πολλυπρ'!I38</f>
        <v>0</v>
      </c>
      <c r="E38" s="411"/>
      <c r="F38" s="444"/>
      <c r="G38" s="444"/>
      <c r="H38" s="411"/>
      <c r="I38" s="411"/>
      <c r="J38" s="411"/>
      <c r="K38" s="411"/>
      <c r="L38" s="411"/>
      <c r="M38" s="411"/>
      <c r="N38" s="411"/>
      <c r="O38" s="408"/>
      <c r="P38" s="261"/>
      <c r="Q38" s="411">
        <f t="shared" si="1"/>
        <v>0</v>
      </c>
      <c r="R38" s="412"/>
      <c r="S38" s="412"/>
      <c r="T38" s="449"/>
      <c r="U38" s="327"/>
    </row>
    <row r="39" spans="1:21" s="5" customFormat="1">
      <c r="A39" s="448">
        <f>'1-συμβολαια'!A39</f>
        <v>4624</v>
      </c>
      <c r="B39" s="443" t="str">
        <f>'1-συμβολαια'!C39</f>
        <v>*γονική ΨΙΛΗΣ ΚΥΡΙΟΤΗΤΑΣ</v>
      </c>
      <c r="C39" s="324">
        <f>'4-πολλυπρ'!D39</f>
        <v>0</v>
      </c>
      <c r="D39" s="324">
        <f>'4-πολλυπρ'!I39</f>
        <v>0</v>
      </c>
      <c r="E39" s="411">
        <v>6.46</v>
      </c>
      <c r="F39" s="444" t="s">
        <v>184</v>
      </c>
      <c r="G39" s="444" t="s">
        <v>185</v>
      </c>
      <c r="H39" s="411"/>
      <c r="I39" s="411">
        <v>5.87</v>
      </c>
      <c r="J39" s="411">
        <v>5.87</v>
      </c>
      <c r="K39" s="411"/>
      <c r="L39" s="411">
        <v>5.86</v>
      </c>
      <c r="M39" s="411"/>
      <c r="N39" s="411"/>
      <c r="O39" s="408"/>
      <c r="P39" s="261"/>
      <c r="Q39" s="411">
        <f t="shared" si="1"/>
        <v>17.600000000000001</v>
      </c>
      <c r="R39" s="412"/>
      <c r="S39" s="412"/>
      <c r="T39" s="449"/>
      <c r="U39" s="327"/>
    </row>
    <row r="40" spans="1:21" s="5" customFormat="1">
      <c r="A40" s="448">
        <f>'1-συμβολαια'!A40</f>
        <v>0</v>
      </c>
      <c r="B40" s="443" t="str">
        <f>'1-συμβολαια'!C40</f>
        <v>ΧΡΗΣΙΚΤΗΣΙΑ οικοπέδου = 1949 πατρός ΔΩΡΕΑ άτυπη</v>
      </c>
      <c r="C40" s="324">
        <f>'4-πολλυπρ'!D40</f>
        <v>0</v>
      </c>
      <c r="D40" s="324">
        <f>'4-πολλυπρ'!I40</f>
        <v>0</v>
      </c>
      <c r="E40" s="411">
        <v>6.46</v>
      </c>
      <c r="F40" s="444" t="s">
        <v>184</v>
      </c>
      <c r="G40" s="444" t="s">
        <v>185</v>
      </c>
      <c r="H40" s="411"/>
      <c r="I40" s="411"/>
      <c r="J40" s="411"/>
      <c r="K40" s="411"/>
      <c r="L40" s="411">
        <v>5.86</v>
      </c>
      <c r="M40" s="411"/>
      <c r="N40" s="411"/>
      <c r="O40" s="408"/>
      <c r="P40" s="261"/>
      <c r="Q40" s="411">
        <f t="shared" si="1"/>
        <v>5.86</v>
      </c>
      <c r="R40" s="412"/>
      <c r="S40" s="412"/>
      <c r="T40" s="449"/>
      <c r="U40" s="327"/>
    </row>
    <row r="41" spans="1:21" s="5" customFormat="1">
      <c r="A41" s="448">
        <f>'1-συμβολαια'!A41</f>
        <v>0</v>
      </c>
      <c r="B41" s="443" t="str">
        <f>'1-συμβολαια'!C41</f>
        <v>ΧΡΗΣΙΚΤΗΣΙΑ αγροτεμαχίων = 1963 αγοραπωλησίας ΒΑΣΕΙ προσυμφώνου ΜΗ εκτελεσθέντος</v>
      </c>
      <c r="C41" s="324">
        <f>'4-πολλυπρ'!D41</f>
        <v>0</v>
      </c>
      <c r="D41" s="324">
        <f>'4-πολλυπρ'!I41</f>
        <v>0</v>
      </c>
      <c r="E41" s="411">
        <v>6.46</v>
      </c>
      <c r="F41" s="444" t="s">
        <v>184</v>
      </c>
      <c r="G41" s="444" t="s">
        <v>185</v>
      </c>
      <c r="H41" s="411"/>
      <c r="I41" s="411"/>
      <c r="J41" s="411"/>
      <c r="K41" s="411"/>
      <c r="L41" s="411">
        <v>5.86</v>
      </c>
      <c r="M41" s="411"/>
      <c r="N41" s="411"/>
      <c r="O41" s="408"/>
      <c r="P41" s="261"/>
      <c r="Q41" s="411">
        <f t="shared" si="1"/>
        <v>5.86</v>
      </c>
      <c r="R41" s="412"/>
      <c r="S41" s="412"/>
      <c r="T41" s="449"/>
      <c r="U41" s="327"/>
    </row>
    <row r="42" spans="1:21" s="5" customFormat="1">
      <c r="A42" s="542">
        <f>'1-συμβολαια'!A42</f>
        <v>4625</v>
      </c>
      <c r="B42" s="443" t="str">
        <f>'1-συμβολαια'!C42</f>
        <v>*γονική ΨΙΛΗΣ ΚΥΡΙΟΤΗΤΑΣ</v>
      </c>
      <c r="C42" s="324">
        <f>'4-πολλυπρ'!D42</f>
        <v>0</v>
      </c>
      <c r="D42" s="324">
        <f>'4-πολλυπρ'!I42</f>
        <v>0</v>
      </c>
      <c r="E42" s="411">
        <v>6.46</v>
      </c>
      <c r="F42" s="444" t="s">
        <v>184</v>
      </c>
      <c r="G42" s="444" t="s">
        <v>185</v>
      </c>
      <c r="H42" s="411"/>
      <c r="I42" s="411">
        <v>5.87</v>
      </c>
      <c r="J42" s="411">
        <v>5.87</v>
      </c>
      <c r="K42" s="411"/>
      <c r="L42" s="411">
        <v>5.86</v>
      </c>
      <c r="M42" s="411"/>
      <c r="N42" s="411"/>
      <c r="O42" s="408"/>
      <c r="P42" s="261"/>
      <c r="Q42" s="411">
        <f t="shared" si="1"/>
        <v>17.600000000000001</v>
      </c>
      <c r="R42" s="412"/>
      <c r="S42" s="412"/>
      <c r="T42" s="449"/>
      <c r="U42" s="327"/>
    </row>
    <row r="43" spans="1:21" s="5" customFormat="1">
      <c r="A43" s="542">
        <f>'1-συμβολαια'!A43</f>
        <v>0</v>
      </c>
      <c r="B43" s="443" t="str">
        <f>'1-συμβολαια'!C43</f>
        <v>ΧΡΗΣΙΚΤΗΣΙΑ αγροτεμαχίου = 19?? πατρός ΔΩΡΕΑ άτυπη</v>
      </c>
      <c r="C43" s="324">
        <f>'4-πολλυπρ'!D43</f>
        <v>0</v>
      </c>
      <c r="D43" s="324">
        <f>'4-πολλυπρ'!I43</f>
        <v>0</v>
      </c>
      <c r="E43" s="411">
        <v>6.46</v>
      </c>
      <c r="F43" s="444" t="s">
        <v>184</v>
      </c>
      <c r="G43" s="444" t="s">
        <v>185</v>
      </c>
      <c r="H43" s="411"/>
      <c r="I43" s="411"/>
      <c r="J43" s="411"/>
      <c r="K43" s="411"/>
      <c r="L43" s="411">
        <v>5.86</v>
      </c>
      <c r="M43" s="411"/>
      <c r="N43" s="411"/>
      <c r="O43" s="408"/>
      <c r="P43" s="261"/>
      <c r="Q43" s="411">
        <f t="shared" si="1"/>
        <v>5.86</v>
      </c>
      <c r="R43" s="412"/>
      <c r="S43" s="412"/>
      <c r="T43" s="449"/>
      <c r="U43" s="327"/>
    </row>
    <row r="44" spans="1:21" s="5" customFormat="1">
      <c r="A44" s="448">
        <f>'1-συμβολαια'!A44</f>
        <v>4626</v>
      </c>
      <c r="B44" s="443" t="str">
        <f>'1-συμβολαια'!C44</f>
        <v>*γονική ΨΙΛΗΣ ΚΥΡΙΟΤΗΤΑΣ</v>
      </c>
      <c r="C44" s="324">
        <f>'4-πολλυπρ'!D44</f>
        <v>0</v>
      </c>
      <c r="D44" s="324">
        <f>'4-πολλυπρ'!I44</f>
        <v>0</v>
      </c>
      <c r="E44" s="411">
        <v>6.46</v>
      </c>
      <c r="F44" s="444" t="s">
        <v>184</v>
      </c>
      <c r="G44" s="444" t="s">
        <v>185</v>
      </c>
      <c r="H44" s="411"/>
      <c r="I44" s="411">
        <v>5.87</v>
      </c>
      <c r="J44" s="411">
        <v>5.87</v>
      </c>
      <c r="K44" s="411"/>
      <c r="L44" s="411">
        <f>4*5.86</f>
        <v>23.44</v>
      </c>
      <c r="M44" s="411"/>
      <c r="N44" s="411"/>
      <c r="O44" s="408"/>
      <c r="P44" s="261"/>
      <c r="Q44" s="411">
        <f t="shared" si="1"/>
        <v>35.18</v>
      </c>
      <c r="R44" s="412"/>
      <c r="S44" s="412"/>
      <c r="T44" s="449"/>
      <c r="U44" s="327"/>
    </row>
    <row r="45" spans="1:21" s="5" customFormat="1">
      <c r="A45" s="448">
        <f>'1-συμβολαια'!A45</f>
        <v>0</v>
      </c>
      <c r="B45" s="443" t="str">
        <f>'1-συμβολαια'!C45</f>
        <v>ΧΡΗΣΙΚΤΗΣΙΑ αγροτεμαχίου = 1979 ΑΝΑΔΑΣΜΟΣ</v>
      </c>
      <c r="C45" s="324">
        <f>'4-πολλυπρ'!D45</f>
        <v>0</v>
      </c>
      <c r="D45" s="324">
        <f>'4-πολλυπρ'!I45</f>
        <v>0</v>
      </c>
      <c r="E45" s="411">
        <v>6.46</v>
      </c>
      <c r="F45" s="444"/>
      <c r="G45" s="444"/>
      <c r="H45" s="411"/>
      <c r="I45" s="411"/>
      <c r="J45" s="411"/>
      <c r="K45" s="411"/>
      <c r="L45" s="411"/>
      <c r="M45" s="411"/>
      <c r="N45" s="411"/>
      <c r="O45" s="408"/>
      <c r="P45" s="261"/>
      <c r="Q45" s="411">
        <f t="shared" si="1"/>
        <v>0</v>
      </c>
      <c r="R45" s="412"/>
      <c r="S45" s="412"/>
      <c r="T45" s="449"/>
      <c r="U45" s="327"/>
    </row>
    <row r="46" spans="1:21" s="5" customFormat="1">
      <c r="A46" s="448">
        <f>'1-συμβολαια'!A46</f>
        <v>0</v>
      </c>
      <c r="B46" s="443" t="str">
        <f>'1-συμβολαια'!C46</f>
        <v>ΧΡΗΣΙΚΤΗΣΙΑ αγροτεμαχίων = 1957 τακοΑναστασιο ΑΓΟΡΑΠΩΛΗΣΙΑ άτυπη</v>
      </c>
      <c r="C46" s="324">
        <f>'4-πολλυπρ'!D46</f>
        <v>0</v>
      </c>
      <c r="D46" s="324">
        <f>'4-πολλυπρ'!I46</f>
        <v>0</v>
      </c>
      <c r="E46" s="411">
        <v>6.46</v>
      </c>
      <c r="F46" s="444" t="s">
        <v>184</v>
      </c>
      <c r="G46" s="444" t="s">
        <v>185</v>
      </c>
      <c r="H46" s="411"/>
      <c r="I46" s="411"/>
      <c r="J46" s="411"/>
      <c r="K46" s="411"/>
      <c r="L46" s="411">
        <v>5.86</v>
      </c>
      <c r="M46" s="411"/>
      <c r="N46" s="411"/>
      <c r="O46" s="408"/>
      <c r="P46" s="261"/>
      <c r="Q46" s="411">
        <f t="shared" si="1"/>
        <v>5.86</v>
      </c>
      <c r="R46" s="412"/>
      <c r="S46" s="412"/>
      <c r="T46" s="449"/>
      <c r="U46" s="327"/>
    </row>
    <row r="47" spans="1:21" s="5" customFormat="1">
      <c r="A47" s="448">
        <f>'1-συμβολαια'!A47</f>
        <v>4627</v>
      </c>
      <c r="B47" s="443" t="str">
        <f>'1-συμβολαια'!C47</f>
        <v>*δωρεά ΑΙΤΙΑ θανάτου</v>
      </c>
      <c r="C47" s="324">
        <f>'4-πολλυπρ'!D47</f>
        <v>0</v>
      </c>
      <c r="D47" s="324">
        <f>'4-πολλυπρ'!I47</f>
        <v>0</v>
      </c>
      <c r="E47" s="411">
        <v>6.46</v>
      </c>
      <c r="F47" s="444" t="s">
        <v>184</v>
      </c>
      <c r="G47" s="444" t="s">
        <v>185</v>
      </c>
      <c r="H47" s="411"/>
      <c r="I47" s="411">
        <v>5.87</v>
      </c>
      <c r="J47" s="411">
        <v>5.87</v>
      </c>
      <c r="K47" s="411"/>
      <c r="L47" s="411">
        <v>5.96</v>
      </c>
      <c r="M47" s="411"/>
      <c r="N47" s="411"/>
      <c r="O47" s="408"/>
      <c r="P47" s="261"/>
      <c r="Q47" s="411">
        <f t="shared" si="1"/>
        <v>17.7</v>
      </c>
      <c r="R47" s="412"/>
      <c r="S47" s="412"/>
      <c r="T47" s="449"/>
      <c r="U47" s="327"/>
    </row>
    <row r="48" spans="1:21" s="5" customFormat="1">
      <c r="A48" s="448">
        <f>'1-συμβολαια'!A48</f>
        <v>0</v>
      </c>
      <c r="B48" s="443" t="str">
        <f>'1-συμβολαια'!C48</f>
        <v>ΧΡΗΣΙΚΤΗΣΙΑ αγροτεμαχίου [νυν οικόπεδο ΜΕ οικοδομή] ] = 1970 ΑΝΑΔΑΣΜΟΣ</v>
      </c>
      <c r="C48" s="324">
        <f>'4-πολλυπρ'!D48</f>
        <v>0</v>
      </c>
      <c r="D48" s="324">
        <f>'4-πολλυπρ'!I48</f>
        <v>0</v>
      </c>
      <c r="E48" s="411"/>
      <c r="F48" s="444"/>
      <c r="G48" s="444"/>
      <c r="H48" s="411"/>
      <c r="I48" s="411"/>
      <c r="J48" s="411"/>
      <c r="K48" s="411"/>
      <c r="L48" s="411"/>
      <c r="M48" s="411"/>
      <c r="N48" s="411"/>
      <c r="O48" s="408"/>
      <c r="P48" s="261"/>
      <c r="Q48" s="411">
        <f t="shared" si="1"/>
        <v>0</v>
      </c>
      <c r="R48" s="412"/>
      <c r="S48" s="412"/>
      <c r="T48" s="449"/>
      <c r="U48" s="327"/>
    </row>
    <row r="49" spans="1:21" s="5" customFormat="1">
      <c r="A49" s="448">
        <f>'1-συμβολαια'!A49</f>
        <v>0</v>
      </c>
      <c r="B49" s="443" t="str">
        <f>'1-συμβολαια'!C49</f>
        <v>*γονικής 1262  ΕΠΙΚΑΡΠΙΑ …  ΔΩΡΕΑ αιτία θανάτου</v>
      </c>
      <c r="C49" s="324">
        <f>'4-πολλυπρ'!D49</f>
        <v>0</v>
      </c>
      <c r="D49" s="324">
        <f>'4-πολλυπρ'!I49</f>
        <v>0</v>
      </c>
      <c r="E49" s="411">
        <v>6.46</v>
      </c>
      <c r="F49" s="444" t="s">
        <v>184</v>
      </c>
      <c r="G49" s="444" t="s">
        <v>185</v>
      </c>
      <c r="H49" s="411"/>
      <c r="I49" s="411"/>
      <c r="J49" s="411"/>
      <c r="K49" s="411"/>
      <c r="L49" s="411">
        <v>5.96</v>
      </c>
      <c r="M49" s="411">
        <f>2*5.96</f>
        <v>11.92</v>
      </c>
      <c r="N49" s="411">
        <f>2*5.96</f>
        <v>11.92</v>
      </c>
      <c r="O49" s="408"/>
      <c r="P49" s="261"/>
      <c r="Q49" s="411">
        <f t="shared" si="1"/>
        <v>29.799999999999997</v>
      </c>
      <c r="R49" s="412"/>
      <c r="S49" s="412"/>
      <c r="T49" s="449"/>
      <c r="U49" s="327"/>
    </row>
    <row r="50" spans="1:21" s="5" customFormat="1">
      <c r="A50" s="442">
        <f>'1-συμβολαια'!A50</f>
        <v>4628</v>
      </c>
      <c r="B50" s="443" t="str">
        <f>'1-συμβολαια'!C50</f>
        <v>πληρεξούσιο</v>
      </c>
      <c r="C50" s="324">
        <f>'4-πολλυπρ'!D50</f>
        <v>0</v>
      </c>
      <c r="D50" s="324">
        <f>'4-πολλυπρ'!I50</f>
        <v>0</v>
      </c>
      <c r="E50" s="411"/>
      <c r="F50" s="444"/>
      <c r="G50" s="444"/>
      <c r="H50" s="411"/>
      <c r="I50" s="411"/>
      <c r="J50" s="411"/>
      <c r="K50" s="411"/>
      <c r="L50" s="411"/>
      <c r="M50" s="411"/>
      <c r="N50" s="411"/>
      <c r="O50" s="408"/>
      <c r="P50" s="408"/>
      <c r="Q50" s="411">
        <f t="shared" si="1"/>
        <v>0</v>
      </c>
      <c r="R50" s="412"/>
      <c r="S50" s="412"/>
      <c r="T50" s="449"/>
      <c r="U50" s="327"/>
    </row>
    <row r="51" spans="1:21" s="5" customFormat="1">
      <c r="A51" s="448">
        <f>'1-συμβολαια'!A51</f>
        <v>4629</v>
      </c>
      <c r="B51" s="443" t="str">
        <f>'1-συμβολαια'!C51</f>
        <v>κληρονομιάς ΑΠΟΔΟΧΗ</v>
      </c>
      <c r="C51" s="324">
        <f>'4-πολλυπρ'!D51</f>
        <v>0</v>
      </c>
      <c r="D51" s="324">
        <f>'4-πολλυπρ'!I51</f>
        <v>0</v>
      </c>
      <c r="E51" s="411">
        <v>6.46</v>
      </c>
      <c r="F51" s="444" t="s">
        <v>184</v>
      </c>
      <c r="G51" s="444" t="s">
        <v>185</v>
      </c>
      <c r="H51" s="411"/>
      <c r="I51" s="411">
        <v>5.87</v>
      </c>
      <c r="J51" s="411">
        <v>5.87</v>
      </c>
      <c r="K51" s="411"/>
      <c r="L51" s="411">
        <v>5.86</v>
      </c>
      <c r="M51" s="411">
        <f>2*5.96</f>
        <v>11.92</v>
      </c>
      <c r="N51" s="411">
        <f>2*5.96</f>
        <v>11.92</v>
      </c>
      <c r="O51" s="408"/>
      <c r="P51" s="408"/>
      <c r="Q51" s="411">
        <f t="shared" si="1"/>
        <v>41.440000000000005</v>
      </c>
      <c r="R51" s="412"/>
      <c r="S51" s="412"/>
      <c r="T51" s="449"/>
      <c r="U51" s="327"/>
    </row>
    <row r="52" spans="1:21" s="5" customFormat="1">
      <c r="A52" s="448">
        <f>'1-συμβολαια'!A52</f>
        <v>0</v>
      </c>
      <c r="B52" s="443" t="str">
        <f>'1-συμβολαια'!C52</f>
        <v>ΧΡΗΣΙΚΤΗΣΙΑ αγροτεμαχίου = 1980 πατρός ΚΛΗΡΟΝΟΜΙΑ άτυπη</v>
      </c>
      <c r="C52" s="324">
        <f>'4-πολλυπρ'!D52</f>
        <v>0</v>
      </c>
      <c r="D52" s="324">
        <f>'4-πολλυπρ'!I52</f>
        <v>0</v>
      </c>
      <c r="E52" s="411">
        <v>6.46</v>
      </c>
      <c r="F52" s="444" t="s">
        <v>184</v>
      </c>
      <c r="G52" s="444" t="s">
        <v>185</v>
      </c>
      <c r="H52" s="411"/>
      <c r="I52" s="411"/>
      <c r="J52" s="411"/>
      <c r="K52" s="411"/>
      <c r="L52" s="411">
        <v>5.86</v>
      </c>
      <c r="M52" s="411"/>
      <c r="N52" s="411"/>
      <c r="O52" s="408"/>
      <c r="P52" s="408"/>
      <c r="Q52" s="411">
        <f t="shared" si="1"/>
        <v>5.86</v>
      </c>
      <c r="R52" s="412"/>
      <c r="S52" s="412"/>
      <c r="T52" s="449"/>
      <c r="U52" s="327"/>
    </row>
    <row r="53" spans="1:21" s="5" customFormat="1">
      <c r="A53" s="448">
        <f>'1-συμβολαια'!A53</f>
        <v>0</v>
      </c>
      <c r="B53" s="443" t="str">
        <f>'1-συμβολαια'!C53</f>
        <v>ΧΡΗΣΙΚΤΗΣΙΑ αγροτεμαχίου = 1980 ΔΙΑΝΟΜΗ άτυπη</v>
      </c>
      <c r="C53" s="324">
        <f>'4-πολλυπρ'!D53</f>
        <v>0</v>
      </c>
      <c r="D53" s="324">
        <f>'4-πολλυπρ'!I53</f>
        <v>0</v>
      </c>
      <c r="E53" s="411">
        <v>6.46</v>
      </c>
      <c r="F53" s="444" t="s">
        <v>184</v>
      </c>
      <c r="G53" s="444" t="s">
        <v>185</v>
      </c>
      <c r="H53" s="411"/>
      <c r="I53" s="411"/>
      <c r="J53" s="411"/>
      <c r="K53" s="411"/>
      <c r="L53" s="411">
        <v>5.86</v>
      </c>
      <c r="M53" s="411"/>
      <c r="N53" s="411"/>
      <c r="O53" s="408"/>
      <c r="P53" s="408"/>
      <c r="Q53" s="411">
        <f t="shared" si="1"/>
        <v>5.86</v>
      </c>
      <c r="R53" s="412"/>
      <c r="S53" s="412"/>
      <c r="T53" s="449"/>
      <c r="U53" s="327"/>
    </row>
    <row r="54" spans="1:21" s="5" customFormat="1">
      <c r="A54" s="542">
        <f>'1-συμβολαια'!A54</f>
        <v>4630</v>
      </c>
      <c r="B54" s="443" t="str">
        <f>'1-συμβολαια'!C54</f>
        <v xml:space="preserve">αγοραπωλησίας ΠΡΟΣΥΜΦΩΝΟ τίμημα = αρραβών = </v>
      </c>
      <c r="C54" s="324">
        <f>'4-πολλυπρ'!D54</f>
        <v>0</v>
      </c>
      <c r="D54" s="324">
        <f>'4-πολλυπρ'!I54</f>
        <v>0</v>
      </c>
      <c r="E54" s="411"/>
      <c r="F54" s="444"/>
      <c r="G54" s="444"/>
      <c r="H54" s="411"/>
      <c r="I54" s="411"/>
      <c r="J54" s="411"/>
      <c r="K54" s="411"/>
      <c r="L54" s="411"/>
      <c r="M54" s="411"/>
      <c r="N54" s="411"/>
      <c r="O54" s="408"/>
      <c r="P54" s="408"/>
      <c r="Q54" s="411">
        <f t="shared" si="1"/>
        <v>0</v>
      </c>
      <c r="R54" s="412"/>
      <c r="S54" s="412"/>
      <c r="T54" s="449"/>
      <c r="U54" s="327"/>
    </row>
    <row r="55" spans="1:21" s="5" customFormat="1">
      <c r="A55" s="542">
        <f>'1-συμβολαια'!A55</f>
        <v>0</v>
      </c>
      <c r="B55" s="443" t="str">
        <f>'1-συμβολαια'!C55</f>
        <v>ΧΡΗΣΙΚΤΗΣΙΑ αγροτεμαχίου = 1970 συζύγου ΔΩΡΕΑ άτυπη</v>
      </c>
      <c r="C55" s="324">
        <f>'4-πολλυπρ'!D55</f>
        <v>0</v>
      </c>
      <c r="D55" s="324">
        <f>'4-πολλυπρ'!I55</f>
        <v>0</v>
      </c>
      <c r="E55" s="411"/>
      <c r="F55" s="444"/>
      <c r="G55" s="444"/>
      <c r="H55" s="411"/>
      <c r="I55" s="411"/>
      <c r="J55" s="411"/>
      <c r="K55" s="411"/>
      <c r="L55" s="411"/>
      <c r="M55" s="411"/>
      <c r="N55" s="411"/>
      <c r="O55" s="408"/>
      <c r="P55" s="408"/>
      <c r="Q55" s="411">
        <f t="shared" si="1"/>
        <v>0</v>
      </c>
      <c r="R55" s="412"/>
      <c r="S55" s="412"/>
      <c r="T55" s="449"/>
      <c r="U55" s="327"/>
    </row>
    <row r="56" spans="1:21" s="5" customFormat="1">
      <c r="A56" s="442">
        <f>'1-συμβολαια'!A56</f>
        <v>4631</v>
      </c>
      <c r="B56" s="443" t="str">
        <f>'1-συμβολαια'!C56</f>
        <v>αγοραπωλησίας 4.191 ΕΞΟΦΛΗΣΗ</v>
      </c>
      <c r="C56" s="324">
        <f>'4-πολλυπρ'!D56</f>
        <v>0</v>
      </c>
      <c r="D56" s="324">
        <f>'4-πολλυπρ'!I56</f>
        <v>0</v>
      </c>
      <c r="E56" s="411"/>
      <c r="F56" s="444"/>
      <c r="G56" s="444"/>
      <c r="H56" s="411"/>
      <c r="I56" s="411"/>
      <c r="J56" s="411"/>
      <c r="K56" s="411"/>
      <c r="L56" s="411"/>
      <c r="M56" s="411"/>
      <c r="N56" s="411"/>
      <c r="O56" s="408"/>
      <c r="P56" s="408"/>
      <c r="Q56" s="411"/>
      <c r="R56" s="412"/>
      <c r="S56" s="412"/>
      <c r="T56" s="449"/>
      <c r="U56" s="327"/>
    </row>
    <row r="57" spans="1:21" s="5" customFormat="1">
      <c r="A57" s="442"/>
      <c r="B57" s="443"/>
      <c r="C57" s="324"/>
      <c r="D57" s="324"/>
      <c r="E57" s="411"/>
      <c r="F57" s="444"/>
      <c r="G57" s="444"/>
      <c r="H57" s="411"/>
      <c r="I57" s="411"/>
      <c r="J57" s="411"/>
      <c r="K57" s="411"/>
      <c r="L57" s="411"/>
      <c r="M57" s="411"/>
      <c r="N57" s="411"/>
      <c r="O57" s="408"/>
      <c r="P57" s="408"/>
      <c r="Q57" s="411"/>
      <c r="R57" s="412"/>
      <c r="S57" s="412"/>
      <c r="T57" s="449"/>
      <c r="U57" s="327"/>
    </row>
    <row r="58" spans="1:21" s="5" customFormat="1">
      <c r="A58" s="442"/>
      <c r="B58" s="443"/>
      <c r="C58" s="324"/>
      <c r="D58" s="324"/>
      <c r="E58" s="411"/>
      <c r="F58" s="444"/>
      <c r="G58" s="444"/>
      <c r="H58" s="411"/>
      <c r="I58" s="411"/>
      <c r="J58" s="411"/>
      <c r="K58" s="411"/>
      <c r="L58" s="411"/>
      <c r="M58" s="411"/>
      <c r="N58" s="411"/>
      <c r="O58" s="408"/>
      <c r="P58" s="408"/>
      <c r="Q58" s="411"/>
      <c r="R58" s="412"/>
      <c r="S58" s="412"/>
      <c r="T58" s="449"/>
      <c r="U58" s="327"/>
    </row>
    <row r="59" spans="1:21">
      <c r="A59" s="672" t="s">
        <v>35</v>
      </c>
      <c r="B59" s="673"/>
      <c r="C59" s="673"/>
      <c r="D59" s="674"/>
      <c r="E59" s="83">
        <f>SUM(E3:E58)</f>
        <v>219.64000000000004</v>
      </c>
      <c r="F59" s="83"/>
      <c r="G59" s="83"/>
      <c r="H59" s="83"/>
      <c r="I59" s="83">
        <f t="shared" ref="I59:R59" si="2">SUM(I3:I58)</f>
        <v>99.79000000000002</v>
      </c>
      <c r="J59" s="83">
        <f t="shared" si="2"/>
        <v>99.79000000000002</v>
      </c>
      <c r="K59" s="83">
        <f t="shared" si="2"/>
        <v>0</v>
      </c>
      <c r="L59" s="83">
        <f t="shared" si="2"/>
        <v>126.18999999999998</v>
      </c>
      <c r="M59" s="83">
        <f t="shared" si="2"/>
        <v>97.09</v>
      </c>
      <c r="N59" s="83">
        <f t="shared" si="2"/>
        <v>32.64</v>
      </c>
      <c r="O59" s="83">
        <f t="shared" si="2"/>
        <v>0</v>
      </c>
      <c r="P59" s="83">
        <f t="shared" si="2"/>
        <v>0</v>
      </c>
      <c r="Q59" s="83">
        <f t="shared" si="2"/>
        <v>455.50000000000011</v>
      </c>
      <c r="R59" s="99">
        <f t="shared" si="2"/>
        <v>0</v>
      </c>
      <c r="S59" s="169"/>
      <c r="T59" s="3"/>
      <c r="U59" s="3"/>
    </row>
    <row r="61" spans="1:21" ht="15.75" customHeight="1">
      <c r="I61" s="166" t="s">
        <v>517</v>
      </c>
      <c r="L61" s="160" t="s">
        <v>519</v>
      </c>
      <c r="S61" s="177"/>
      <c r="T61" s="104"/>
      <c r="U61" s="177"/>
    </row>
    <row r="62" spans="1:21">
      <c r="F62" s="183" t="s">
        <v>181</v>
      </c>
      <c r="G62" s="142"/>
      <c r="H62" s="98"/>
      <c r="L62" s="197" t="s">
        <v>224</v>
      </c>
      <c r="S62" s="2"/>
    </row>
    <row r="63" spans="1:21">
      <c r="F63" s="98"/>
      <c r="G63" s="142" t="s">
        <v>182</v>
      </c>
      <c r="M63" s="196" t="s">
        <v>225</v>
      </c>
      <c r="P63" s="183" t="s">
        <v>140</v>
      </c>
      <c r="R63" s="2"/>
      <c r="S63" s="2"/>
    </row>
    <row r="64" spans="1:21">
      <c r="N64" s="178" t="s">
        <v>226</v>
      </c>
      <c r="R64" s="2"/>
      <c r="S64" s="2"/>
    </row>
    <row r="65" spans="2:19">
      <c r="R65" s="2"/>
      <c r="S65" s="2"/>
    </row>
    <row r="66" spans="2:19">
      <c r="B66" s="255" t="s">
        <v>613</v>
      </c>
      <c r="Q66" s="349" t="s">
        <v>534</v>
      </c>
    </row>
    <row r="67" spans="2:19">
      <c r="B67" s="254" t="s">
        <v>614</v>
      </c>
      <c r="E67" s="73">
        <f>E59</f>
        <v>219.64000000000004</v>
      </c>
      <c r="F67" s="73"/>
      <c r="G67" s="73"/>
      <c r="H67" s="73"/>
      <c r="I67" s="73">
        <f t="shared" ref="I67:P67" si="3">I59</f>
        <v>99.79000000000002</v>
      </c>
      <c r="J67" s="73">
        <f t="shared" si="3"/>
        <v>99.79000000000002</v>
      </c>
      <c r="K67" s="73">
        <f t="shared" si="3"/>
        <v>0</v>
      </c>
      <c r="L67" s="73">
        <f t="shared" si="3"/>
        <v>126.18999999999998</v>
      </c>
      <c r="M67" s="73">
        <f t="shared" si="3"/>
        <v>97.09</v>
      </c>
      <c r="N67" s="73">
        <f t="shared" si="3"/>
        <v>32.64</v>
      </c>
      <c r="O67" s="73">
        <f t="shared" si="3"/>
        <v>0</v>
      </c>
      <c r="P67" s="73">
        <f t="shared" si="3"/>
        <v>0</v>
      </c>
      <c r="Q67" s="349" t="s">
        <v>534</v>
      </c>
      <c r="R67" s="382">
        <f>SUM(E67:P67)</f>
        <v>675.1400000000001</v>
      </c>
    </row>
  </sheetData>
  <mergeCells count="6">
    <mergeCell ref="I1:Q1"/>
    <mergeCell ref="R1:U2"/>
    <mergeCell ref="A1:D1"/>
    <mergeCell ref="A59:D5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P72"/>
  <sheetViews>
    <sheetView topLeftCell="E1" workbookViewId="0">
      <pane ySplit="2" topLeftCell="A30" activePane="bottomLeft" state="frozen"/>
      <selection pane="bottomLeft" activeCell="AE72" sqref="AE72"/>
    </sheetView>
  </sheetViews>
  <sheetFormatPr defaultRowHeight="11.25"/>
  <cols>
    <col min="1" max="1" width="4.42578125" style="3" bestFit="1" customWidth="1"/>
    <col min="2" max="2" width="69.5703125" style="3" bestFit="1" customWidth="1"/>
    <col min="3" max="3" width="10.28515625" style="3" bestFit="1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38" width="9.140625" style="3"/>
    <col min="39" max="39" width="14.42578125" style="3" bestFit="1" customWidth="1"/>
    <col min="40" max="40" width="9.5703125" style="3" bestFit="1" customWidth="1"/>
    <col min="41" max="16384" width="9.140625" style="3"/>
  </cols>
  <sheetData>
    <row r="1" spans="1:42" ht="15.75" customHeight="1">
      <c r="A1" s="723" t="s">
        <v>351</v>
      </c>
      <c r="B1" s="724"/>
      <c r="C1" s="724"/>
      <c r="D1" s="724"/>
      <c r="E1" s="724"/>
      <c r="F1" s="724"/>
      <c r="G1" s="724"/>
      <c r="H1" s="724"/>
      <c r="I1" s="724"/>
      <c r="J1" s="724"/>
      <c r="K1" s="724"/>
      <c r="L1" s="724"/>
      <c r="M1" s="724"/>
      <c r="N1" s="724"/>
      <c r="O1" s="724"/>
      <c r="P1" s="724"/>
      <c r="Q1" s="724"/>
      <c r="R1" s="724"/>
      <c r="S1" s="724"/>
      <c r="T1" s="724"/>
      <c r="U1" s="724"/>
      <c r="V1" s="724"/>
      <c r="W1" s="724"/>
      <c r="X1" s="724"/>
      <c r="Y1" s="724"/>
      <c r="Z1" s="724"/>
      <c r="AA1" s="724"/>
      <c r="AB1" s="724"/>
      <c r="AC1" s="724"/>
      <c r="AD1" s="724"/>
      <c r="AE1" s="725" t="s">
        <v>47</v>
      </c>
      <c r="AF1" s="727" t="s">
        <v>9</v>
      </c>
      <c r="AG1" s="729" t="s">
        <v>33</v>
      </c>
      <c r="AH1" s="712" t="s">
        <v>361</v>
      </c>
      <c r="AI1" s="714" t="s">
        <v>91</v>
      </c>
      <c r="AJ1" s="715"/>
      <c r="AK1" s="715"/>
      <c r="AL1" s="716"/>
      <c r="AM1" s="709" t="s">
        <v>542</v>
      </c>
      <c r="AN1" s="710"/>
      <c r="AO1" s="710"/>
      <c r="AP1" s="711"/>
    </row>
    <row r="2" spans="1:42" ht="12" customHeight="1" thickBot="1">
      <c r="A2" s="226"/>
      <c r="B2" s="227" t="s">
        <v>360</v>
      </c>
      <c r="C2" s="227" t="s">
        <v>92</v>
      </c>
      <c r="D2" s="228" t="s">
        <v>352</v>
      </c>
      <c r="E2" s="207" t="s">
        <v>31</v>
      </c>
      <c r="F2" s="207" t="s">
        <v>353</v>
      </c>
      <c r="G2" s="207" t="s">
        <v>354</v>
      </c>
      <c r="H2" s="207" t="s">
        <v>355</v>
      </c>
      <c r="I2" s="207" t="s">
        <v>356</v>
      </c>
      <c r="J2" s="207" t="s">
        <v>357</v>
      </c>
      <c r="K2" s="683" t="s">
        <v>29</v>
      </c>
      <c r="L2" s="684"/>
      <c r="M2" s="213" t="s">
        <v>358</v>
      </c>
      <c r="N2" s="213" t="s">
        <v>31</v>
      </c>
      <c r="O2" s="213" t="s">
        <v>353</v>
      </c>
      <c r="P2" s="213" t="s">
        <v>354</v>
      </c>
      <c r="Q2" s="213" t="s">
        <v>355</v>
      </c>
      <c r="R2" s="213" t="s">
        <v>356</v>
      </c>
      <c r="S2" s="213" t="s">
        <v>357</v>
      </c>
      <c r="T2" s="685" t="s">
        <v>29</v>
      </c>
      <c r="U2" s="686"/>
      <c r="V2" s="207" t="s">
        <v>359</v>
      </c>
      <c r="W2" s="207" t="s">
        <v>31</v>
      </c>
      <c r="X2" s="207" t="s">
        <v>353</v>
      </c>
      <c r="Y2" s="207" t="s">
        <v>354</v>
      </c>
      <c r="Z2" s="207" t="s">
        <v>355</v>
      </c>
      <c r="AA2" s="207" t="s">
        <v>356</v>
      </c>
      <c r="AB2" s="207" t="s">
        <v>357</v>
      </c>
      <c r="AC2" s="683" t="s">
        <v>29</v>
      </c>
      <c r="AD2" s="684"/>
      <c r="AE2" s="726"/>
      <c r="AF2" s="728"/>
      <c r="AG2" s="730"/>
      <c r="AH2" s="713"/>
      <c r="AI2" s="717"/>
      <c r="AJ2" s="718"/>
      <c r="AK2" s="718"/>
      <c r="AL2" s="719"/>
      <c r="AM2" s="393" t="s">
        <v>543</v>
      </c>
      <c r="AN2" s="393" t="s">
        <v>544</v>
      </c>
      <c r="AO2" s="181" t="s">
        <v>47</v>
      </c>
      <c r="AP2" s="181" t="s">
        <v>62</v>
      </c>
    </row>
    <row r="3" spans="1:42" s="5" customFormat="1">
      <c r="A3" s="452">
        <f>'1-συμβολαια'!A3</f>
        <v>4600</v>
      </c>
      <c r="B3" s="415" t="str">
        <f>'1-συμβολαια'!C3</f>
        <v>δωρεά</v>
      </c>
      <c r="C3" s="413">
        <f>'1-συμβολαια'!D3</f>
        <v>5727.22</v>
      </c>
      <c r="D3" s="413"/>
      <c r="E3" s="415"/>
      <c r="F3" s="415"/>
      <c r="G3" s="415"/>
      <c r="H3" s="415"/>
      <c r="I3" s="415"/>
      <c r="J3" s="415"/>
      <c r="K3" s="415"/>
      <c r="L3" s="415"/>
      <c r="M3" s="413">
        <f>C3*0.65%</f>
        <v>37.226930000000003</v>
      </c>
      <c r="N3" s="415"/>
      <c r="O3" s="415"/>
      <c r="P3" s="415">
        <v>37.22</v>
      </c>
      <c r="Q3" s="415"/>
      <c r="R3" s="415"/>
      <c r="S3" s="415"/>
      <c r="T3" s="415"/>
      <c r="U3" s="415"/>
      <c r="V3" s="413">
        <f>C3*0.125%</f>
        <v>7.1590250000000006</v>
      </c>
      <c r="W3" s="415"/>
      <c r="X3" s="415"/>
      <c r="Y3" s="415">
        <v>7.15</v>
      </c>
      <c r="Z3" s="415"/>
      <c r="AA3" s="415"/>
      <c r="AB3" s="415"/>
      <c r="AC3" s="415"/>
      <c r="AD3" s="415"/>
      <c r="AE3" s="413">
        <f>D3+M3+V3</f>
        <v>44.385955000000003</v>
      </c>
      <c r="AF3" s="413">
        <v>44.39</v>
      </c>
      <c r="AG3" s="413"/>
      <c r="AH3" s="415"/>
      <c r="AI3" s="415"/>
      <c r="AJ3" s="415"/>
      <c r="AK3" s="415"/>
      <c r="AL3" s="415"/>
      <c r="AM3" s="415"/>
      <c r="AN3" s="413"/>
      <c r="AO3" s="450">
        <f t="shared" ref="AO3:AO56" si="0">AM3+AN3</f>
        <v>0</v>
      </c>
      <c r="AP3" s="415"/>
    </row>
    <row r="4" spans="1:42" s="5" customFormat="1">
      <c r="A4" s="453"/>
      <c r="B4" s="90" t="str">
        <f>'1-συμβολαια'!C4</f>
        <v>ΧΡΗΣΙΚΤΗΣΙΑ οικοπέδου &amp; οικίας = 1930 πατρός ΔΩΡΕΑ άτυπη</v>
      </c>
      <c r="C4" s="503">
        <f>'1-συμβολαια'!D4</f>
        <v>3333</v>
      </c>
      <c r="D4" s="451"/>
      <c r="E4" s="90"/>
      <c r="F4" s="90"/>
      <c r="G4" s="90"/>
      <c r="H4" s="90"/>
      <c r="I4" s="90"/>
      <c r="J4" s="90"/>
      <c r="K4" s="90"/>
      <c r="L4" s="90"/>
      <c r="M4" s="451">
        <f t="shared" ref="M4:M56" si="1">C4*0.65%</f>
        <v>21.6645</v>
      </c>
      <c r="N4" s="90"/>
      <c r="O4" s="90"/>
      <c r="P4" s="90"/>
      <c r="Q4" s="90"/>
      <c r="R4" s="90"/>
      <c r="S4" s="90"/>
      <c r="T4" s="90"/>
      <c r="U4" s="90"/>
      <c r="V4" s="451">
        <f t="shared" ref="V4:V56" si="2">C4*0.125%</f>
        <v>4.1662499999999998</v>
      </c>
      <c r="W4" s="90"/>
      <c r="X4" s="90"/>
      <c r="Y4" s="90"/>
      <c r="Z4" s="90"/>
      <c r="AA4" s="90"/>
      <c r="AB4" s="90"/>
      <c r="AC4" s="90"/>
      <c r="AD4" s="90"/>
      <c r="AE4" s="413">
        <f t="shared" ref="AE4:AE56" si="3">D4+M4+V4</f>
        <v>25.830750000000002</v>
      </c>
      <c r="AF4" s="413">
        <f t="shared" ref="AF4:AF56" si="4">E4+N4+W4</f>
        <v>0</v>
      </c>
      <c r="AG4" s="413">
        <f t="shared" ref="AG4:AG56" si="5">AE4-AF4</f>
        <v>25.830750000000002</v>
      </c>
      <c r="AH4" s="90"/>
      <c r="AI4" s="90"/>
      <c r="AJ4" s="90"/>
      <c r="AK4" s="90"/>
      <c r="AL4" s="90"/>
      <c r="AM4" s="415"/>
      <c r="AN4" s="413"/>
      <c r="AO4" s="450">
        <f t="shared" si="0"/>
        <v>0</v>
      </c>
      <c r="AP4" s="90"/>
    </row>
    <row r="5" spans="1:42" s="5" customFormat="1">
      <c r="A5" s="90">
        <f>'1-συμβολαια'!A5</f>
        <v>4601</v>
      </c>
      <c r="B5" s="90" t="str">
        <f>'1-συμβολαια'!C5</f>
        <v>αγοραπωλησίας 13.835κ ΕΞΟΦΛΗΣΗ</v>
      </c>
      <c r="C5" s="451">
        <f>'1-συμβολαια'!D5</f>
        <v>0</v>
      </c>
      <c r="D5" s="451"/>
      <c r="E5" s="90"/>
      <c r="F5" s="90"/>
      <c r="G5" s="90"/>
      <c r="H5" s="90"/>
      <c r="I5" s="90"/>
      <c r="J5" s="90"/>
      <c r="K5" s="90"/>
      <c r="L5" s="90"/>
      <c r="M5" s="451">
        <f t="shared" si="1"/>
        <v>0</v>
      </c>
      <c r="N5" s="90"/>
      <c r="O5" s="90"/>
      <c r="P5" s="90"/>
      <c r="Q5" s="90"/>
      <c r="R5" s="90"/>
      <c r="S5" s="90"/>
      <c r="T5" s="90"/>
      <c r="U5" s="90"/>
      <c r="V5" s="451"/>
      <c r="W5" s="90"/>
      <c r="X5" s="90"/>
      <c r="Y5" s="90"/>
      <c r="Z5" s="90"/>
      <c r="AA5" s="90"/>
      <c r="AB5" s="90"/>
      <c r="AC5" s="90"/>
      <c r="AD5" s="90"/>
      <c r="AE5" s="413">
        <f t="shared" si="3"/>
        <v>0</v>
      </c>
      <c r="AF5" s="413">
        <f t="shared" si="4"/>
        <v>0</v>
      </c>
      <c r="AG5" s="413"/>
      <c r="AH5" s="90"/>
      <c r="AI5" s="90"/>
      <c r="AJ5" s="90"/>
      <c r="AK5" s="90"/>
      <c r="AL5" s="90"/>
      <c r="AM5" s="415"/>
      <c r="AN5" s="413"/>
      <c r="AO5" s="450">
        <f t="shared" si="0"/>
        <v>0</v>
      </c>
      <c r="AP5" s="90"/>
    </row>
    <row r="6" spans="1:42" s="5" customFormat="1">
      <c r="A6" s="453">
        <f>'1-συμβολαια'!A6</f>
        <v>4602</v>
      </c>
      <c r="B6" s="90" t="str">
        <f>'1-συμβολαια'!C6</f>
        <v>κληρονομιάς ΑΠΟΔΟΧΗ</v>
      </c>
      <c r="C6" s="451">
        <f>'1-συμβολαια'!D6</f>
        <v>0</v>
      </c>
      <c r="D6" s="451"/>
      <c r="E6" s="90"/>
      <c r="F6" s="90"/>
      <c r="G6" s="90"/>
      <c r="H6" s="90"/>
      <c r="I6" s="90"/>
      <c r="J6" s="90"/>
      <c r="K6" s="90"/>
      <c r="L6" s="90"/>
      <c r="M6" s="451"/>
      <c r="N6" s="90"/>
      <c r="O6" s="90"/>
      <c r="P6" s="90"/>
      <c r="Q6" s="90"/>
      <c r="R6" s="90"/>
      <c r="S6" s="90"/>
      <c r="T6" s="90"/>
      <c r="U6" s="90"/>
      <c r="V6" s="451"/>
      <c r="W6" s="90"/>
      <c r="X6" s="90"/>
      <c r="Y6" s="90"/>
      <c r="Z6" s="90"/>
      <c r="AA6" s="90"/>
      <c r="AB6" s="90"/>
      <c r="AC6" s="90"/>
      <c r="AD6" s="90"/>
      <c r="AE6" s="413">
        <f t="shared" si="3"/>
        <v>0</v>
      </c>
      <c r="AF6" s="413">
        <f t="shared" si="4"/>
        <v>0</v>
      </c>
      <c r="AG6" s="413"/>
      <c r="AH6" s="90"/>
      <c r="AI6" s="90"/>
      <c r="AJ6" s="90"/>
      <c r="AK6" s="90"/>
      <c r="AL6" s="90"/>
      <c r="AM6" s="415"/>
      <c r="AN6" s="413"/>
      <c r="AO6" s="450">
        <f t="shared" si="0"/>
        <v>0</v>
      </c>
      <c r="AP6" s="90"/>
    </row>
    <row r="7" spans="1:42" s="5" customFormat="1">
      <c r="A7" s="453"/>
      <c r="B7" s="90" t="str">
        <f>'1-συμβολαια'!C7</f>
        <v>ΧΡΗΣΙΚΤΗΣΙΑ αγροτεμαχίου = 19?? ΑΝΑΔΑΣΜΟΣ</v>
      </c>
      <c r="C7" s="503">
        <f>'1-συμβολαια'!D7</f>
        <v>1111</v>
      </c>
      <c r="D7" s="451"/>
      <c r="E7" s="90"/>
      <c r="F7" s="90"/>
      <c r="G7" s="90"/>
      <c r="H7" s="90"/>
      <c r="I7" s="90"/>
      <c r="J7" s="90"/>
      <c r="K7" s="90"/>
      <c r="L7" s="90"/>
      <c r="M7" s="451">
        <f t="shared" si="1"/>
        <v>7.2215000000000007</v>
      </c>
      <c r="N7" s="90"/>
      <c r="O7" s="90"/>
      <c r="P7" s="90"/>
      <c r="Q7" s="90"/>
      <c r="R7" s="90"/>
      <c r="S7" s="90"/>
      <c r="T7" s="90"/>
      <c r="U7" s="90"/>
      <c r="V7" s="451">
        <f t="shared" si="2"/>
        <v>1.3887499999999999</v>
      </c>
      <c r="W7" s="90"/>
      <c r="X7" s="90"/>
      <c r="Y7" s="90"/>
      <c r="Z7" s="90"/>
      <c r="AA7" s="90"/>
      <c r="AB7" s="90"/>
      <c r="AC7" s="90"/>
      <c r="AD7" s="90"/>
      <c r="AE7" s="413">
        <f t="shared" si="3"/>
        <v>8.6102500000000006</v>
      </c>
      <c r="AF7" s="413">
        <f t="shared" si="4"/>
        <v>0</v>
      </c>
      <c r="AG7" s="413">
        <f t="shared" si="5"/>
        <v>8.6102500000000006</v>
      </c>
      <c r="AH7" s="90"/>
      <c r="AI7" s="90"/>
      <c r="AJ7" s="90"/>
      <c r="AK7" s="90"/>
      <c r="AL7" s="90"/>
      <c r="AM7" s="415"/>
      <c r="AN7" s="413"/>
      <c r="AO7" s="450"/>
      <c r="AP7" s="90"/>
    </row>
    <row r="8" spans="1:42" s="5" customFormat="1">
      <c r="A8" s="90">
        <f>'1-συμβολαια'!A8</f>
        <v>4603</v>
      </c>
      <c r="B8" s="90" t="str">
        <f>'1-συμβολαια'!C8</f>
        <v>γονικής 11.618καπολα ΔΙΟΡΘΩΣΗ</v>
      </c>
      <c r="C8" s="451">
        <f>'1-συμβολαια'!D8</f>
        <v>0</v>
      </c>
      <c r="D8" s="451"/>
      <c r="E8" s="90"/>
      <c r="F8" s="90"/>
      <c r="G8" s="90"/>
      <c r="H8" s="90"/>
      <c r="I8" s="90"/>
      <c r="J8" s="90"/>
      <c r="K8" s="90"/>
      <c r="L8" s="90"/>
      <c r="M8" s="451">
        <f t="shared" si="1"/>
        <v>0</v>
      </c>
      <c r="N8" s="90"/>
      <c r="O8" s="90"/>
      <c r="P8" s="90"/>
      <c r="Q8" s="90"/>
      <c r="R8" s="90"/>
      <c r="S8" s="90"/>
      <c r="T8" s="90"/>
      <c r="U8" s="90"/>
      <c r="V8" s="451">
        <f t="shared" si="2"/>
        <v>0</v>
      </c>
      <c r="W8" s="90"/>
      <c r="X8" s="90"/>
      <c r="Y8" s="90"/>
      <c r="Z8" s="90"/>
      <c r="AA8" s="90"/>
      <c r="AB8" s="90"/>
      <c r="AC8" s="90"/>
      <c r="AD8" s="90"/>
      <c r="AE8" s="413">
        <f t="shared" si="3"/>
        <v>0</v>
      </c>
      <c r="AF8" s="413">
        <f t="shared" si="4"/>
        <v>0</v>
      </c>
      <c r="AG8" s="413"/>
      <c r="AH8" s="90"/>
      <c r="AI8" s="90"/>
      <c r="AJ8" s="90"/>
      <c r="AK8" s="90"/>
      <c r="AL8" s="90"/>
      <c r="AM8" s="415"/>
      <c r="AN8" s="413"/>
      <c r="AO8" s="450">
        <f t="shared" si="0"/>
        <v>0</v>
      </c>
      <c r="AP8" s="90"/>
    </row>
    <row r="9" spans="1:42" s="5" customFormat="1">
      <c r="A9" s="90">
        <f>'1-συμβολαια'!A9</f>
        <v>4604</v>
      </c>
      <c r="B9" s="90" t="str">
        <f>'1-συμβολαια'!C9</f>
        <v>γονικής 11.619καπολα ΔΙΟΡΘΩΣΗ</v>
      </c>
      <c r="C9" s="451">
        <f>'1-συμβολαια'!D9</f>
        <v>0</v>
      </c>
      <c r="D9" s="451"/>
      <c r="E9" s="90"/>
      <c r="F9" s="90"/>
      <c r="G9" s="90"/>
      <c r="H9" s="90"/>
      <c r="I9" s="90"/>
      <c r="J9" s="90"/>
      <c r="K9" s="90"/>
      <c r="L9" s="90"/>
      <c r="M9" s="451">
        <f t="shared" si="1"/>
        <v>0</v>
      </c>
      <c r="N9" s="90"/>
      <c r="O9" s="90"/>
      <c r="P9" s="90"/>
      <c r="Q9" s="90"/>
      <c r="R9" s="90"/>
      <c r="S9" s="90"/>
      <c r="T9" s="90"/>
      <c r="U9" s="90"/>
      <c r="V9" s="451">
        <f t="shared" si="2"/>
        <v>0</v>
      </c>
      <c r="W9" s="90"/>
      <c r="X9" s="90"/>
      <c r="Y9" s="90"/>
      <c r="Z9" s="90"/>
      <c r="AA9" s="90"/>
      <c r="AB9" s="90"/>
      <c r="AC9" s="90"/>
      <c r="AD9" s="90"/>
      <c r="AE9" s="413">
        <f t="shared" si="3"/>
        <v>0</v>
      </c>
      <c r="AF9" s="413">
        <f t="shared" si="4"/>
        <v>0</v>
      </c>
      <c r="AG9" s="413"/>
      <c r="AH9" s="90"/>
      <c r="AI9" s="90"/>
      <c r="AJ9" s="90"/>
      <c r="AK9" s="90"/>
      <c r="AL9" s="90"/>
      <c r="AM9" s="415"/>
      <c r="AN9" s="413"/>
      <c r="AO9" s="450">
        <f t="shared" si="0"/>
        <v>0</v>
      </c>
      <c r="AP9" s="90"/>
    </row>
    <row r="10" spans="1:42" s="5" customFormat="1">
      <c r="A10" s="90">
        <f>'1-συμβολαια'!A10</f>
        <v>4605</v>
      </c>
      <c r="B10" s="90" t="str">
        <f>'1-συμβολαια'!C10</f>
        <v>* γονικής 11.618καπολα επικαρπίας ΕΝΣΩΜΑΤΩΣΗ {= παραίτηση αδερφής δικαιώματος οίκησης</v>
      </c>
      <c r="C10" s="503">
        <f>'1-συμβολαια'!D10</f>
        <v>2222</v>
      </c>
      <c r="D10" s="451"/>
      <c r="E10" s="90"/>
      <c r="F10" s="90"/>
      <c r="G10" s="90"/>
      <c r="H10" s="90"/>
      <c r="I10" s="90"/>
      <c r="J10" s="90"/>
      <c r="K10" s="90"/>
      <c r="L10" s="90"/>
      <c r="M10" s="451">
        <f t="shared" si="1"/>
        <v>14.443000000000001</v>
      </c>
      <c r="N10" s="90"/>
      <c r="O10" s="90"/>
      <c r="P10" s="90"/>
      <c r="Q10" s="90"/>
      <c r="R10" s="90"/>
      <c r="S10" s="90"/>
      <c r="T10" s="90"/>
      <c r="U10" s="90"/>
      <c r="V10" s="451">
        <f t="shared" si="2"/>
        <v>2.7774999999999999</v>
      </c>
      <c r="W10" s="90"/>
      <c r="X10" s="90"/>
      <c r="Y10" s="90"/>
      <c r="Z10" s="90"/>
      <c r="AA10" s="90"/>
      <c r="AB10" s="90"/>
      <c r="AC10" s="90"/>
      <c r="AD10" s="90"/>
      <c r="AE10" s="413">
        <f t="shared" si="3"/>
        <v>17.220500000000001</v>
      </c>
      <c r="AF10" s="413">
        <f t="shared" si="4"/>
        <v>0</v>
      </c>
      <c r="AG10" s="413">
        <f t="shared" si="5"/>
        <v>17.220500000000001</v>
      </c>
      <c r="AH10" s="90"/>
      <c r="AI10" s="90"/>
      <c r="AJ10" s="90"/>
      <c r="AK10" s="90"/>
      <c r="AL10" s="90"/>
      <c r="AM10" s="415"/>
      <c r="AN10" s="413"/>
      <c r="AO10" s="450">
        <f t="shared" si="0"/>
        <v>0</v>
      </c>
      <c r="AP10" s="90"/>
    </row>
    <row r="11" spans="1:42" s="5" customFormat="1">
      <c r="A11" s="90">
        <f>'1-συμβολαια'!A11</f>
        <v>4606</v>
      </c>
      <c r="B11" s="90" t="str">
        <f>'1-συμβολαια'!C11</f>
        <v>πληρεξούσιο</v>
      </c>
      <c r="C11" s="451">
        <f>'1-συμβολαια'!D11</f>
        <v>0</v>
      </c>
      <c r="D11" s="451"/>
      <c r="E11" s="90"/>
      <c r="F11" s="90"/>
      <c r="G11" s="90"/>
      <c r="H11" s="90"/>
      <c r="I11" s="90"/>
      <c r="J11" s="90"/>
      <c r="K11" s="90"/>
      <c r="L11" s="90"/>
      <c r="M11" s="451"/>
      <c r="N11" s="90"/>
      <c r="O11" s="90"/>
      <c r="P11" s="90"/>
      <c r="Q11" s="90"/>
      <c r="R11" s="90"/>
      <c r="S11" s="90"/>
      <c r="T11" s="90"/>
      <c r="U11" s="90"/>
      <c r="V11" s="451"/>
      <c r="W11" s="90"/>
      <c r="X11" s="90"/>
      <c r="Y11" s="90"/>
      <c r="Z11" s="90"/>
      <c r="AA11" s="90"/>
      <c r="AB11" s="90"/>
      <c r="AC11" s="90"/>
      <c r="AD11" s="90"/>
      <c r="AE11" s="413">
        <f t="shared" si="3"/>
        <v>0</v>
      </c>
      <c r="AF11" s="413">
        <f t="shared" si="4"/>
        <v>0</v>
      </c>
      <c r="AG11" s="413"/>
      <c r="AH11" s="90"/>
      <c r="AI11" s="90"/>
      <c r="AJ11" s="90"/>
      <c r="AK11" s="90"/>
      <c r="AL11" s="90"/>
      <c r="AM11" s="415"/>
      <c r="AN11" s="413"/>
      <c r="AO11" s="450">
        <f t="shared" si="0"/>
        <v>0</v>
      </c>
      <c r="AP11" s="90"/>
    </row>
    <row r="12" spans="1:42" s="5" customFormat="1">
      <c r="A12" s="90">
        <f>'1-συμβολαια'!A12</f>
        <v>4607</v>
      </c>
      <c r="B12" s="90" t="str">
        <f>'1-συμβολαια'!C12</f>
        <v>αγοραπωλησίας 3.919 ΔΙΟΡΘΩΣΗ</v>
      </c>
      <c r="C12" s="451">
        <f>'1-συμβολαια'!D12</f>
        <v>0</v>
      </c>
      <c r="D12" s="451"/>
      <c r="E12" s="90"/>
      <c r="F12" s="90"/>
      <c r="G12" s="90"/>
      <c r="H12" s="90"/>
      <c r="I12" s="90"/>
      <c r="J12" s="90"/>
      <c r="K12" s="90"/>
      <c r="L12" s="90"/>
      <c r="M12" s="451"/>
      <c r="N12" s="90"/>
      <c r="O12" s="90"/>
      <c r="P12" s="90"/>
      <c r="Q12" s="90"/>
      <c r="R12" s="90"/>
      <c r="S12" s="90"/>
      <c r="T12" s="90"/>
      <c r="U12" s="90"/>
      <c r="V12" s="451"/>
      <c r="W12" s="90"/>
      <c r="X12" s="90"/>
      <c r="Y12" s="90"/>
      <c r="Z12" s="90"/>
      <c r="AA12" s="90"/>
      <c r="AB12" s="90"/>
      <c r="AC12" s="90"/>
      <c r="AD12" s="90"/>
      <c r="AE12" s="413">
        <f t="shared" si="3"/>
        <v>0</v>
      </c>
      <c r="AF12" s="413">
        <f t="shared" si="4"/>
        <v>0</v>
      </c>
      <c r="AG12" s="413"/>
      <c r="AH12" s="90"/>
      <c r="AI12" s="90"/>
      <c r="AJ12" s="90"/>
      <c r="AK12" s="90"/>
      <c r="AL12" s="90"/>
      <c r="AM12" s="415"/>
      <c r="AN12" s="413"/>
      <c r="AO12" s="450">
        <f t="shared" si="0"/>
        <v>0</v>
      </c>
      <c r="AP12" s="90"/>
    </row>
    <row r="13" spans="1:42" s="5" customFormat="1">
      <c r="A13" s="90">
        <f>'1-συμβολαια'!A13</f>
        <v>4608</v>
      </c>
      <c r="B13" s="90" t="str">
        <f>'1-συμβολαια'!C13</f>
        <v>αγοραπωλησία τίμημα = Δ.Ο.Υ. =</v>
      </c>
      <c r="C13" s="451">
        <f>'1-συμβολαια'!D13</f>
        <v>1572.77</v>
      </c>
      <c r="D13" s="451"/>
      <c r="E13" s="90"/>
      <c r="F13" s="90"/>
      <c r="G13" s="90"/>
      <c r="H13" s="90"/>
      <c r="I13" s="90"/>
      <c r="J13" s="90"/>
      <c r="K13" s="90"/>
      <c r="L13" s="90"/>
      <c r="M13" s="451"/>
      <c r="N13" s="90"/>
      <c r="O13" s="90"/>
      <c r="P13" s="90"/>
      <c r="Q13" s="90"/>
      <c r="R13" s="90"/>
      <c r="S13" s="90"/>
      <c r="T13" s="90"/>
      <c r="U13" s="90"/>
      <c r="V13" s="451"/>
      <c r="W13" s="90"/>
      <c r="X13" s="90"/>
      <c r="Y13" s="90"/>
      <c r="Z13" s="90"/>
      <c r="AA13" s="90"/>
      <c r="AB13" s="90"/>
      <c r="AC13" s="90"/>
      <c r="AD13" s="90"/>
      <c r="AE13" s="413">
        <f t="shared" si="3"/>
        <v>0</v>
      </c>
      <c r="AF13" s="413">
        <f t="shared" si="4"/>
        <v>0</v>
      </c>
      <c r="AG13" s="413"/>
      <c r="AH13" s="90"/>
      <c r="AI13" s="90"/>
      <c r="AJ13" s="90"/>
      <c r="AK13" s="90"/>
      <c r="AL13" s="90"/>
      <c r="AM13" s="415"/>
      <c r="AN13" s="413"/>
      <c r="AO13" s="450">
        <f t="shared" si="0"/>
        <v>0</v>
      </c>
      <c r="AP13" s="90"/>
    </row>
    <row r="14" spans="1:42" s="5" customFormat="1">
      <c r="A14" s="90">
        <f>'1-συμβολαια'!A14</f>
        <v>4609</v>
      </c>
      <c r="B14" s="90" t="str">
        <f>'1-συμβολαια'!C14</f>
        <v>αγοραπωλησία τίμημα = 6.057,27 Δ.Ο.Υ. =</v>
      </c>
      <c r="C14" s="451">
        <f>'1-συμβολαια'!D14</f>
        <v>18257.27</v>
      </c>
      <c r="D14" s="451"/>
      <c r="E14" s="90"/>
      <c r="F14" s="90"/>
      <c r="G14" s="90"/>
      <c r="H14" s="90"/>
      <c r="I14" s="90"/>
      <c r="J14" s="90"/>
      <c r="K14" s="90"/>
      <c r="L14" s="90"/>
      <c r="M14" s="451"/>
      <c r="N14" s="90"/>
      <c r="O14" s="90"/>
      <c r="P14" s="90"/>
      <c r="Q14" s="90"/>
      <c r="R14" s="90"/>
      <c r="S14" s="90"/>
      <c r="T14" s="90"/>
      <c r="U14" s="90"/>
      <c r="V14" s="451"/>
      <c r="W14" s="90"/>
      <c r="X14" s="90"/>
      <c r="Y14" s="90"/>
      <c r="Z14" s="90"/>
      <c r="AA14" s="90"/>
      <c r="AB14" s="90"/>
      <c r="AC14" s="90"/>
      <c r="AD14" s="90"/>
      <c r="AE14" s="413">
        <f t="shared" si="3"/>
        <v>0</v>
      </c>
      <c r="AF14" s="413">
        <f t="shared" si="4"/>
        <v>0</v>
      </c>
      <c r="AG14" s="413"/>
      <c r="AH14" s="90"/>
      <c r="AI14" s="90"/>
      <c r="AJ14" s="90"/>
      <c r="AK14" s="90"/>
      <c r="AL14" s="90"/>
      <c r="AM14" s="415"/>
      <c r="AN14" s="413"/>
      <c r="AO14" s="450">
        <f t="shared" si="0"/>
        <v>0</v>
      </c>
      <c r="AP14" s="90"/>
    </row>
    <row r="15" spans="1:42" s="5" customFormat="1">
      <c r="A15" s="90">
        <f>'1-συμβολαια'!A15</f>
        <v>4610</v>
      </c>
      <c r="B15" s="90" t="str">
        <f>'1-συμβολαια'!C15</f>
        <v>πληρεξούσιο</v>
      </c>
      <c r="C15" s="451">
        <f>'1-συμβολαια'!D15</f>
        <v>0</v>
      </c>
      <c r="D15" s="451"/>
      <c r="E15" s="90"/>
      <c r="F15" s="90"/>
      <c r="G15" s="90"/>
      <c r="H15" s="90"/>
      <c r="I15" s="90"/>
      <c r="J15" s="90"/>
      <c r="K15" s="90"/>
      <c r="L15" s="90"/>
      <c r="M15" s="451"/>
      <c r="N15" s="90"/>
      <c r="O15" s="90"/>
      <c r="P15" s="90"/>
      <c r="Q15" s="90"/>
      <c r="R15" s="90"/>
      <c r="S15" s="90"/>
      <c r="T15" s="90"/>
      <c r="U15" s="90"/>
      <c r="V15" s="451"/>
      <c r="W15" s="90"/>
      <c r="X15" s="90"/>
      <c r="Y15" s="90"/>
      <c r="Z15" s="90"/>
      <c r="AA15" s="90"/>
      <c r="AB15" s="90"/>
      <c r="AC15" s="90"/>
      <c r="AD15" s="90"/>
      <c r="AE15" s="413">
        <f t="shared" si="3"/>
        <v>0</v>
      </c>
      <c r="AF15" s="413">
        <f t="shared" si="4"/>
        <v>0</v>
      </c>
      <c r="AG15" s="413"/>
      <c r="AH15" s="90"/>
      <c r="AI15" s="90"/>
      <c r="AJ15" s="90"/>
      <c r="AK15" s="90"/>
      <c r="AL15" s="90"/>
      <c r="AM15" s="415"/>
      <c r="AN15" s="413"/>
      <c r="AO15" s="450">
        <f t="shared" si="0"/>
        <v>0</v>
      </c>
      <c r="AP15" s="90"/>
    </row>
    <row r="16" spans="1:42" s="5" customFormat="1">
      <c r="A16" s="453">
        <f>'1-συμβολαια'!A16</f>
        <v>4611</v>
      </c>
      <c r="B16" s="90" t="str">
        <f>'1-συμβολαια'!C16</f>
        <v>γονική</v>
      </c>
      <c r="C16" s="451">
        <f>'1-συμβολαια'!D16</f>
        <v>33521.660000000003</v>
      </c>
      <c r="D16" s="451"/>
      <c r="E16" s="90"/>
      <c r="F16" s="90"/>
      <c r="G16" s="90"/>
      <c r="H16" s="90"/>
      <c r="I16" s="90"/>
      <c r="J16" s="90"/>
      <c r="K16" s="90"/>
      <c r="L16" s="90"/>
      <c r="M16" s="451">
        <f t="shared" si="1"/>
        <v>217.89079000000004</v>
      </c>
      <c r="N16" s="90">
        <v>217.89</v>
      </c>
      <c r="O16" s="90"/>
      <c r="P16" s="90">
        <v>217.89</v>
      </c>
      <c r="Q16" s="90"/>
      <c r="R16" s="90"/>
      <c r="S16" s="90"/>
      <c r="T16" s="90"/>
      <c r="U16" s="90"/>
      <c r="V16" s="451">
        <f t="shared" si="2"/>
        <v>41.902075000000004</v>
      </c>
      <c r="W16" s="90">
        <v>41.9</v>
      </c>
      <c r="X16" s="90"/>
      <c r="Y16" s="90">
        <v>41.9</v>
      </c>
      <c r="Z16" s="90"/>
      <c r="AA16" s="90"/>
      <c r="AB16" s="90"/>
      <c r="AC16" s="90"/>
      <c r="AD16" s="90"/>
      <c r="AE16" s="413">
        <f t="shared" si="3"/>
        <v>259.79286500000006</v>
      </c>
      <c r="AF16" s="413">
        <f t="shared" si="4"/>
        <v>259.78999999999996</v>
      </c>
      <c r="AG16" s="413"/>
      <c r="AH16" s="90"/>
      <c r="AI16" s="90"/>
      <c r="AJ16" s="90"/>
      <c r="AK16" s="90"/>
      <c r="AL16" s="90"/>
      <c r="AM16" s="415"/>
      <c r="AN16" s="413"/>
      <c r="AO16" s="450">
        <f t="shared" si="0"/>
        <v>0</v>
      </c>
      <c r="AP16" s="90"/>
    </row>
    <row r="17" spans="1:42" s="5" customFormat="1">
      <c r="A17" s="453"/>
      <c r="B17" s="90" t="str">
        <f>'1-συμβολαια'!C17</f>
        <v>ΧΡΗΣΙΚΤΗΣΙΑ οικοπέδου = 1973 κυπαρισσίουΠαναγιώτη ΑΓΟΡΑΠΩΛΗΣΙΑ άτυπη</v>
      </c>
      <c r="C17" s="451">
        <f>'1-συμβολαια'!D17</f>
        <v>2222</v>
      </c>
      <c r="D17" s="451"/>
      <c r="E17" s="90"/>
      <c r="F17" s="90"/>
      <c r="G17" s="90"/>
      <c r="H17" s="90"/>
      <c r="I17" s="90"/>
      <c r="J17" s="90"/>
      <c r="K17" s="90"/>
      <c r="L17" s="90"/>
      <c r="M17" s="451">
        <f t="shared" si="1"/>
        <v>14.443000000000001</v>
      </c>
      <c r="N17" s="90"/>
      <c r="O17" s="90"/>
      <c r="P17" s="90"/>
      <c r="Q17" s="90"/>
      <c r="R17" s="90"/>
      <c r="S17" s="90"/>
      <c r="T17" s="90"/>
      <c r="U17" s="90"/>
      <c r="V17" s="451">
        <f t="shared" si="2"/>
        <v>2.7774999999999999</v>
      </c>
      <c r="W17" s="90"/>
      <c r="X17" s="90"/>
      <c r="Y17" s="90"/>
      <c r="Z17" s="90"/>
      <c r="AA17" s="90"/>
      <c r="AB17" s="90"/>
      <c r="AC17" s="90"/>
      <c r="AD17" s="90"/>
      <c r="AE17" s="413">
        <f t="shared" si="3"/>
        <v>17.220500000000001</v>
      </c>
      <c r="AF17" s="413">
        <f t="shared" si="4"/>
        <v>0</v>
      </c>
      <c r="AG17" s="413">
        <f t="shared" si="5"/>
        <v>17.220500000000001</v>
      </c>
      <c r="AH17" s="90"/>
      <c r="AI17" s="90"/>
      <c r="AJ17" s="90"/>
      <c r="AK17" s="90"/>
      <c r="AL17" s="90"/>
      <c r="AM17" s="415"/>
      <c r="AN17" s="413"/>
      <c r="AO17" s="450">
        <f t="shared" si="0"/>
        <v>0</v>
      </c>
      <c r="AP17" s="90"/>
    </row>
    <row r="18" spans="1:42" s="5" customFormat="1">
      <c r="A18" s="453"/>
      <c r="B18" s="90" t="str">
        <f>'1-συμβολαια'!C18</f>
        <v>οριζόντιος ΣΥΣΤΑΣΗ</v>
      </c>
      <c r="C18" s="451">
        <f>'1-συμβολαια'!D18</f>
        <v>0</v>
      </c>
      <c r="D18" s="451"/>
      <c r="E18" s="90"/>
      <c r="F18" s="90"/>
      <c r="G18" s="90"/>
      <c r="H18" s="90"/>
      <c r="I18" s="90"/>
      <c r="J18" s="90"/>
      <c r="K18" s="90"/>
      <c r="L18" s="90"/>
      <c r="M18" s="451">
        <f t="shared" si="1"/>
        <v>0</v>
      </c>
      <c r="N18" s="90"/>
      <c r="O18" s="90"/>
      <c r="P18" s="90"/>
      <c r="Q18" s="90"/>
      <c r="R18" s="90"/>
      <c r="S18" s="90"/>
      <c r="T18" s="90"/>
      <c r="U18" s="90"/>
      <c r="V18" s="451">
        <f t="shared" si="2"/>
        <v>0</v>
      </c>
      <c r="W18" s="90"/>
      <c r="X18" s="90"/>
      <c r="Y18" s="90"/>
      <c r="Z18" s="90"/>
      <c r="AA18" s="90"/>
      <c r="AB18" s="90"/>
      <c r="AC18" s="90"/>
      <c r="AD18" s="90"/>
      <c r="AE18" s="413">
        <f t="shared" si="3"/>
        <v>0</v>
      </c>
      <c r="AF18" s="413">
        <f t="shared" si="4"/>
        <v>0</v>
      </c>
      <c r="AG18" s="413"/>
      <c r="AH18" s="90"/>
      <c r="AI18" s="90"/>
      <c r="AJ18" s="90"/>
      <c r="AK18" s="90"/>
      <c r="AL18" s="90"/>
      <c r="AM18" s="415"/>
      <c r="AN18" s="413"/>
      <c r="AO18" s="450">
        <f t="shared" si="0"/>
        <v>0</v>
      </c>
      <c r="AP18" s="90"/>
    </row>
    <row r="19" spans="1:42" s="5" customFormat="1">
      <c r="A19" s="90">
        <f>'1-συμβολαια'!A19</f>
        <v>4612</v>
      </c>
      <c r="B19" s="90" t="str">
        <f>'1-συμβολαια'!C19</f>
        <v>κληρονομιάς ΑΠΟΔΟΧΗ</v>
      </c>
      <c r="C19" s="451">
        <f>'1-συμβολαια'!D19</f>
        <v>0</v>
      </c>
      <c r="D19" s="451"/>
      <c r="E19" s="90"/>
      <c r="F19" s="90"/>
      <c r="G19" s="90"/>
      <c r="H19" s="90"/>
      <c r="I19" s="90"/>
      <c r="J19" s="90"/>
      <c r="K19" s="90"/>
      <c r="L19" s="90"/>
      <c r="M19" s="451">
        <f t="shared" si="1"/>
        <v>0</v>
      </c>
      <c r="N19" s="90"/>
      <c r="O19" s="90"/>
      <c r="P19" s="90"/>
      <c r="Q19" s="90"/>
      <c r="R19" s="90"/>
      <c r="S19" s="90"/>
      <c r="T19" s="90"/>
      <c r="U19" s="90"/>
      <c r="V19" s="451">
        <f t="shared" si="2"/>
        <v>0</v>
      </c>
      <c r="W19" s="90"/>
      <c r="X19" s="90"/>
      <c r="Y19" s="90"/>
      <c r="Z19" s="90"/>
      <c r="AA19" s="90"/>
      <c r="AB19" s="90"/>
      <c r="AC19" s="90"/>
      <c r="AD19" s="90"/>
      <c r="AE19" s="413">
        <f t="shared" si="3"/>
        <v>0</v>
      </c>
      <c r="AF19" s="413">
        <f t="shared" si="4"/>
        <v>0</v>
      </c>
      <c r="AG19" s="413"/>
      <c r="AH19" s="90"/>
      <c r="AI19" s="90"/>
      <c r="AJ19" s="90"/>
      <c r="AK19" s="90"/>
      <c r="AL19" s="90"/>
      <c r="AM19" s="415"/>
      <c r="AN19" s="413"/>
      <c r="AO19" s="450">
        <f t="shared" si="0"/>
        <v>0</v>
      </c>
      <c r="AP19" s="90"/>
    </row>
    <row r="20" spans="1:42" s="5" customFormat="1">
      <c r="A20" s="90">
        <f>'1-συμβολαια'!A20</f>
        <v>4613</v>
      </c>
      <c r="B20" s="90" t="str">
        <f>'1-συμβολαια'!C20</f>
        <v>γονική</v>
      </c>
      <c r="C20" s="451">
        <f>'1-συμβολαια'!D20</f>
        <v>6213.36</v>
      </c>
      <c r="D20" s="451"/>
      <c r="E20" s="90"/>
      <c r="F20" s="90"/>
      <c r="G20" s="90"/>
      <c r="H20" s="90"/>
      <c r="I20" s="90"/>
      <c r="J20" s="90"/>
      <c r="K20" s="90"/>
      <c r="L20" s="90"/>
      <c r="M20" s="451">
        <f t="shared" si="1"/>
        <v>40.386839999999999</v>
      </c>
      <c r="N20" s="90">
        <v>40.39</v>
      </c>
      <c r="O20" s="90"/>
      <c r="P20" s="90">
        <v>40.380000000000003</v>
      </c>
      <c r="Q20" s="90"/>
      <c r="R20" s="90"/>
      <c r="S20" s="90"/>
      <c r="T20" s="90"/>
      <c r="U20" s="90"/>
      <c r="V20" s="451">
        <f t="shared" si="2"/>
        <v>7.7667000000000002</v>
      </c>
      <c r="W20" s="90">
        <v>7.77</v>
      </c>
      <c r="X20" s="90"/>
      <c r="Y20" s="90">
        <v>7.76</v>
      </c>
      <c r="Z20" s="90"/>
      <c r="AA20" s="90"/>
      <c r="AB20" s="90"/>
      <c r="AC20" s="90"/>
      <c r="AD20" s="90"/>
      <c r="AE20" s="413">
        <f t="shared" si="3"/>
        <v>48.15354</v>
      </c>
      <c r="AF20" s="413">
        <f t="shared" si="4"/>
        <v>48.16</v>
      </c>
      <c r="AG20" s="413"/>
      <c r="AH20" s="90"/>
      <c r="AI20" s="90"/>
      <c r="AJ20" s="90"/>
      <c r="AK20" s="90"/>
      <c r="AL20" s="90"/>
      <c r="AM20" s="415"/>
      <c r="AN20" s="413"/>
      <c r="AO20" s="450">
        <f t="shared" si="0"/>
        <v>0</v>
      </c>
      <c r="AP20" s="90"/>
    </row>
    <row r="21" spans="1:42" s="5" customFormat="1">
      <c r="A21" s="90">
        <f>'1-συμβολαια'!A21</f>
        <v>4614</v>
      </c>
      <c r="B21" s="90" t="str">
        <f>'1-συμβολαια'!C21</f>
        <v>διαθήκη</v>
      </c>
      <c r="C21" s="451">
        <f>'1-συμβολαια'!D21</f>
        <v>0</v>
      </c>
      <c r="D21" s="451"/>
      <c r="E21" s="90"/>
      <c r="F21" s="90"/>
      <c r="G21" s="90"/>
      <c r="H21" s="90"/>
      <c r="I21" s="90"/>
      <c r="J21" s="90"/>
      <c r="K21" s="90"/>
      <c r="L21" s="90"/>
      <c r="M21" s="451">
        <f t="shared" si="1"/>
        <v>0</v>
      </c>
      <c r="N21" s="90"/>
      <c r="O21" s="90"/>
      <c r="P21" s="90"/>
      <c r="Q21" s="90"/>
      <c r="R21" s="90"/>
      <c r="S21" s="90"/>
      <c r="T21" s="90"/>
      <c r="U21" s="90"/>
      <c r="V21" s="451">
        <f t="shared" si="2"/>
        <v>0</v>
      </c>
      <c r="W21" s="90"/>
      <c r="X21" s="90"/>
      <c r="Y21" s="90"/>
      <c r="Z21" s="90"/>
      <c r="AA21" s="90"/>
      <c r="AB21" s="90"/>
      <c r="AC21" s="90"/>
      <c r="AD21" s="90"/>
      <c r="AE21" s="413">
        <f t="shared" si="3"/>
        <v>0</v>
      </c>
      <c r="AF21" s="413">
        <f t="shared" si="4"/>
        <v>0</v>
      </c>
      <c r="AG21" s="413"/>
      <c r="AH21" s="90"/>
      <c r="AI21" s="90"/>
      <c r="AJ21" s="90"/>
      <c r="AK21" s="90"/>
      <c r="AL21" s="90"/>
      <c r="AM21" s="415"/>
      <c r="AN21" s="413"/>
      <c r="AO21" s="450">
        <f t="shared" si="0"/>
        <v>0</v>
      </c>
      <c r="AP21" s="90"/>
    </row>
    <row r="22" spans="1:42" s="5" customFormat="1">
      <c r="A22" s="453">
        <f>'1-συμβολαια'!A22</f>
        <v>4615</v>
      </c>
      <c r="B22" s="90" t="str">
        <f>'1-συμβολαια'!C22</f>
        <v>δωρεά</v>
      </c>
      <c r="C22" s="451">
        <f>'1-συμβολαια'!D22</f>
        <v>16035.1</v>
      </c>
      <c r="D22" s="451"/>
      <c r="E22" s="90"/>
      <c r="F22" s="90"/>
      <c r="G22" s="90"/>
      <c r="H22" s="90"/>
      <c r="I22" s="90"/>
      <c r="J22" s="90"/>
      <c r="K22" s="90"/>
      <c r="L22" s="90"/>
      <c r="M22" s="451">
        <f t="shared" si="1"/>
        <v>104.22815000000001</v>
      </c>
      <c r="N22" s="90">
        <v>104.23</v>
      </c>
      <c r="O22" s="90"/>
      <c r="P22" s="90">
        <v>104.22</v>
      </c>
      <c r="Q22" s="90"/>
      <c r="R22" s="90"/>
      <c r="S22" s="90"/>
      <c r="T22" s="90"/>
      <c r="U22" s="90"/>
      <c r="V22" s="451">
        <f t="shared" si="2"/>
        <v>20.043875</v>
      </c>
      <c r="W22" s="90">
        <v>20.04</v>
      </c>
      <c r="X22" s="90"/>
      <c r="Y22" s="90">
        <v>20.04</v>
      </c>
      <c r="Z22" s="90"/>
      <c r="AA22" s="90"/>
      <c r="AB22" s="90"/>
      <c r="AC22" s="90"/>
      <c r="AD22" s="90"/>
      <c r="AE22" s="413">
        <f t="shared" si="3"/>
        <v>124.27202500000001</v>
      </c>
      <c r="AF22" s="413">
        <f t="shared" si="4"/>
        <v>124.27000000000001</v>
      </c>
      <c r="AG22" s="413">
        <f t="shared" si="5"/>
        <v>2.0250000000032742E-3</v>
      </c>
      <c r="AH22" s="90"/>
      <c r="AI22" s="90"/>
      <c r="AJ22" s="90"/>
      <c r="AK22" s="90"/>
      <c r="AL22" s="90"/>
      <c r="AM22" s="415"/>
      <c r="AN22" s="413"/>
      <c r="AO22" s="450">
        <f t="shared" si="0"/>
        <v>0</v>
      </c>
      <c r="AP22" s="90"/>
    </row>
    <row r="23" spans="1:42" s="5" customFormat="1">
      <c r="A23" s="453"/>
      <c r="B23" s="90" t="str">
        <f>'1-συμβολαια'!C23</f>
        <v>ΧΡΗΣΙΚΤΗΣΙΑ οικοπέδου &amp; οικίας = 1935 πατρός ΔΩΡΕΑ άτυπη</v>
      </c>
      <c r="C23" s="451">
        <f>'1-συμβολαια'!D23</f>
        <v>6666</v>
      </c>
      <c r="D23" s="451"/>
      <c r="E23" s="90"/>
      <c r="F23" s="90"/>
      <c r="G23" s="90"/>
      <c r="H23" s="90"/>
      <c r="I23" s="90"/>
      <c r="J23" s="90"/>
      <c r="K23" s="90"/>
      <c r="L23" s="90"/>
      <c r="M23" s="451">
        <f t="shared" si="1"/>
        <v>43.329000000000001</v>
      </c>
      <c r="N23" s="90"/>
      <c r="O23" s="90"/>
      <c r="P23" s="90"/>
      <c r="Q23" s="90"/>
      <c r="R23" s="90"/>
      <c r="S23" s="90"/>
      <c r="T23" s="90"/>
      <c r="U23" s="90"/>
      <c r="V23" s="451">
        <f t="shared" si="2"/>
        <v>8.3324999999999996</v>
      </c>
      <c r="W23" s="90"/>
      <c r="X23" s="90"/>
      <c r="Y23" s="90"/>
      <c r="Z23" s="90"/>
      <c r="AA23" s="90"/>
      <c r="AB23" s="90"/>
      <c r="AC23" s="90"/>
      <c r="AD23" s="90"/>
      <c r="AE23" s="413">
        <f t="shared" si="3"/>
        <v>51.661500000000004</v>
      </c>
      <c r="AF23" s="413">
        <f t="shared" si="4"/>
        <v>0</v>
      </c>
      <c r="AG23" s="413">
        <f t="shared" si="5"/>
        <v>51.661500000000004</v>
      </c>
      <c r="AH23" s="90"/>
      <c r="AI23" s="90"/>
      <c r="AJ23" s="90"/>
      <c r="AK23" s="90"/>
      <c r="AL23" s="90"/>
      <c r="AM23" s="415"/>
      <c r="AN23" s="413"/>
      <c r="AO23" s="450">
        <f t="shared" si="0"/>
        <v>0</v>
      </c>
      <c r="AP23" s="90"/>
    </row>
    <row r="24" spans="1:42" s="5" customFormat="1">
      <c r="A24" s="543">
        <f>'1-συμβολαια'!A24</f>
        <v>4616</v>
      </c>
      <c r="B24" s="90" t="str">
        <f>'1-συμβολαια'!C24</f>
        <v>δωρεά</v>
      </c>
      <c r="C24" s="451">
        <f>'1-συμβολαια'!D24</f>
        <v>9933.0499999999993</v>
      </c>
      <c r="D24" s="451"/>
      <c r="E24" s="90"/>
      <c r="F24" s="90"/>
      <c r="G24" s="90"/>
      <c r="H24" s="90"/>
      <c r="I24" s="90"/>
      <c r="J24" s="90"/>
      <c r="K24" s="90"/>
      <c r="L24" s="90"/>
      <c r="M24" s="451">
        <f t="shared" si="1"/>
        <v>64.564824999999999</v>
      </c>
      <c r="N24" s="90">
        <v>64.56</v>
      </c>
      <c r="O24" s="90"/>
      <c r="P24" s="90">
        <v>64.56</v>
      </c>
      <c r="Q24" s="90"/>
      <c r="R24" s="90"/>
      <c r="S24" s="90"/>
      <c r="T24" s="90"/>
      <c r="U24" s="90"/>
      <c r="V24" s="451">
        <f t="shared" si="2"/>
        <v>12.4163125</v>
      </c>
      <c r="W24" s="90">
        <v>12.42</v>
      </c>
      <c r="X24" s="90"/>
      <c r="Y24" s="90">
        <v>12.41</v>
      </c>
      <c r="Z24" s="90"/>
      <c r="AA24" s="90"/>
      <c r="AB24" s="90"/>
      <c r="AC24" s="90"/>
      <c r="AD24" s="90"/>
      <c r="AE24" s="413">
        <f t="shared" si="3"/>
        <v>76.981137500000003</v>
      </c>
      <c r="AF24" s="413">
        <f t="shared" si="4"/>
        <v>76.98</v>
      </c>
      <c r="AG24" s="413"/>
      <c r="AH24" s="90"/>
      <c r="AI24" s="90"/>
      <c r="AJ24" s="90"/>
      <c r="AK24" s="90"/>
      <c r="AL24" s="90"/>
      <c r="AM24" s="415"/>
      <c r="AN24" s="413"/>
      <c r="AO24" s="450">
        <f t="shared" si="0"/>
        <v>0</v>
      </c>
      <c r="AP24" s="90"/>
    </row>
    <row r="25" spans="1:42" s="5" customFormat="1">
      <c r="A25" s="543"/>
      <c r="B25" s="90" t="str">
        <f>'1-συμβολαια'!C25</f>
        <v>ΧΡΗΣΙΚΤΗΣΙΑ αγροτεμαχίου = 1925 πατρός ΔΩΡΕΑ άτυπη</v>
      </c>
      <c r="C25" s="451">
        <f>'1-συμβολαια'!D25</f>
        <v>1111</v>
      </c>
      <c r="D25" s="451"/>
      <c r="E25" s="90"/>
      <c r="F25" s="90"/>
      <c r="G25" s="90"/>
      <c r="H25" s="90"/>
      <c r="I25" s="90"/>
      <c r="J25" s="90"/>
      <c r="K25" s="90"/>
      <c r="L25" s="90"/>
      <c r="M25" s="451">
        <f t="shared" si="1"/>
        <v>7.2215000000000007</v>
      </c>
      <c r="N25" s="90"/>
      <c r="O25" s="90"/>
      <c r="P25" s="90"/>
      <c r="Q25" s="90"/>
      <c r="R25" s="90"/>
      <c r="S25" s="90"/>
      <c r="T25" s="90"/>
      <c r="U25" s="90"/>
      <c r="V25" s="451">
        <f t="shared" si="2"/>
        <v>1.3887499999999999</v>
      </c>
      <c r="W25" s="90"/>
      <c r="X25" s="90"/>
      <c r="Y25" s="90"/>
      <c r="Z25" s="90"/>
      <c r="AA25" s="90"/>
      <c r="AB25" s="90"/>
      <c r="AC25" s="90"/>
      <c r="AD25" s="90"/>
      <c r="AE25" s="413">
        <f t="shared" si="3"/>
        <v>8.6102500000000006</v>
      </c>
      <c r="AF25" s="413">
        <f t="shared" si="4"/>
        <v>0</v>
      </c>
      <c r="AG25" s="413">
        <f t="shared" si="5"/>
        <v>8.6102500000000006</v>
      </c>
      <c r="AH25" s="90"/>
      <c r="AI25" s="90"/>
      <c r="AJ25" s="90"/>
      <c r="AK25" s="90"/>
      <c r="AL25" s="90"/>
      <c r="AM25" s="415"/>
      <c r="AN25" s="413"/>
      <c r="AO25" s="450">
        <f t="shared" si="0"/>
        <v>0</v>
      </c>
      <c r="AP25" s="90"/>
    </row>
    <row r="26" spans="1:42" s="5" customFormat="1">
      <c r="A26" s="543"/>
      <c r="B26" s="90" t="str">
        <f>'1-συμβολαια'!C26</f>
        <v>ΧΡΗΣΙΚΤΗΣΙΑ αγροτεμαχίου (νυν οικόπεδο) = 1975 ΑΝΑΔΑΣΜΟΣ</v>
      </c>
      <c r="C26" s="451">
        <f>'1-συμβολαια'!D26</f>
        <v>3333</v>
      </c>
      <c r="D26" s="451"/>
      <c r="E26" s="90"/>
      <c r="F26" s="90"/>
      <c r="G26" s="90"/>
      <c r="H26" s="90"/>
      <c r="I26" s="90"/>
      <c r="J26" s="90"/>
      <c r="K26" s="90"/>
      <c r="L26" s="90"/>
      <c r="M26" s="451">
        <f t="shared" si="1"/>
        <v>21.6645</v>
      </c>
      <c r="N26" s="90"/>
      <c r="O26" s="90"/>
      <c r="P26" s="90"/>
      <c r="Q26" s="90"/>
      <c r="R26" s="90"/>
      <c r="S26" s="90"/>
      <c r="T26" s="90"/>
      <c r="U26" s="90"/>
      <c r="V26" s="451">
        <f t="shared" si="2"/>
        <v>4.1662499999999998</v>
      </c>
      <c r="W26" s="90"/>
      <c r="X26" s="90"/>
      <c r="Y26" s="90"/>
      <c r="Z26" s="90"/>
      <c r="AA26" s="90"/>
      <c r="AB26" s="90"/>
      <c r="AC26" s="90"/>
      <c r="AD26" s="90"/>
      <c r="AE26" s="413">
        <f t="shared" si="3"/>
        <v>25.830750000000002</v>
      </c>
      <c r="AF26" s="413">
        <f t="shared" si="4"/>
        <v>0</v>
      </c>
      <c r="AG26" s="413">
        <f t="shared" si="5"/>
        <v>25.830750000000002</v>
      </c>
      <c r="AH26" s="90"/>
      <c r="AI26" s="90"/>
      <c r="AJ26" s="90"/>
      <c r="AK26" s="90"/>
      <c r="AL26" s="90"/>
      <c r="AM26" s="415"/>
      <c r="AN26" s="413"/>
      <c r="AO26" s="450">
        <f t="shared" si="0"/>
        <v>0</v>
      </c>
      <c r="AP26" s="90"/>
    </row>
    <row r="27" spans="1:42" s="5" customFormat="1">
      <c r="A27" s="453">
        <f>'1-συμβολαια'!A27</f>
        <v>4617</v>
      </c>
      <c r="B27" s="90" t="str">
        <f>'1-συμβολαια'!C27</f>
        <v>προσύμφωνο μεταβιβάσεως ποσοστών οικοπέδου</v>
      </c>
      <c r="C27" s="451">
        <f>'1-συμβολαια'!D27</f>
        <v>0</v>
      </c>
      <c r="D27" s="451"/>
      <c r="E27" s="90"/>
      <c r="F27" s="90"/>
      <c r="G27" s="90"/>
      <c r="H27" s="90"/>
      <c r="I27" s="90"/>
      <c r="J27" s="90"/>
      <c r="K27" s="90"/>
      <c r="L27" s="90"/>
      <c r="M27" s="451"/>
      <c r="N27" s="90"/>
      <c r="O27" s="90"/>
      <c r="P27" s="90"/>
      <c r="Q27" s="90"/>
      <c r="R27" s="90"/>
      <c r="S27" s="90"/>
      <c r="T27" s="90"/>
      <c r="U27" s="90"/>
      <c r="V27" s="451"/>
      <c r="W27" s="90"/>
      <c r="X27" s="90"/>
      <c r="Y27" s="90"/>
      <c r="Z27" s="90"/>
      <c r="AA27" s="90"/>
      <c r="AB27" s="90"/>
      <c r="AC27" s="90"/>
      <c r="AD27" s="90"/>
      <c r="AE27" s="413">
        <f t="shared" si="3"/>
        <v>0</v>
      </c>
      <c r="AF27" s="413">
        <f t="shared" si="4"/>
        <v>0</v>
      </c>
      <c r="AG27" s="413"/>
      <c r="AH27" s="90"/>
      <c r="AI27" s="90"/>
      <c r="AJ27" s="90"/>
      <c r="AK27" s="90"/>
      <c r="AL27" s="90"/>
      <c r="AM27" s="415"/>
      <c r="AN27" s="413"/>
      <c r="AO27" s="450">
        <f t="shared" si="0"/>
        <v>0</v>
      </c>
      <c r="AP27" s="90"/>
    </row>
    <row r="28" spans="1:42" s="5" customFormat="1">
      <c r="A28" s="453"/>
      <c r="B28" s="90" t="str">
        <f>'1-συμβολαια'!C28</f>
        <v>εργολαβικό</v>
      </c>
      <c r="C28" s="451">
        <f>'1-συμβολαια'!D28</f>
        <v>200</v>
      </c>
      <c r="D28" s="451">
        <f t="shared" ref="D28:D56" si="6">C28*1.3%</f>
        <v>2.6</v>
      </c>
      <c r="E28" s="565"/>
      <c r="F28" s="90"/>
      <c r="G28" s="565"/>
      <c r="H28" s="90"/>
      <c r="I28" s="90"/>
      <c r="J28" s="90"/>
      <c r="K28" s="90"/>
      <c r="L28" s="90"/>
      <c r="M28" s="451"/>
      <c r="N28" s="90"/>
      <c r="O28" s="90"/>
      <c r="P28" s="90"/>
      <c r="Q28" s="90"/>
      <c r="R28" s="90"/>
      <c r="S28" s="90"/>
      <c r="T28" s="90"/>
      <c r="U28" s="90"/>
      <c r="V28" s="451"/>
      <c r="W28" s="90"/>
      <c r="X28" s="90"/>
      <c r="Y28" s="90"/>
      <c r="Z28" s="90"/>
      <c r="AA28" s="90"/>
      <c r="AB28" s="90"/>
      <c r="AC28" s="90"/>
      <c r="AD28" s="90"/>
      <c r="AE28" s="413">
        <f t="shared" si="3"/>
        <v>2.6</v>
      </c>
      <c r="AF28" s="413">
        <f t="shared" si="4"/>
        <v>0</v>
      </c>
      <c r="AG28" s="413">
        <f t="shared" si="5"/>
        <v>2.6</v>
      </c>
      <c r="AH28" s="90"/>
      <c r="AI28" s="90"/>
      <c r="AJ28" s="90"/>
      <c r="AK28" s="90"/>
      <c r="AL28" s="90"/>
      <c r="AM28" s="415"/>
      <c r="AN28" s="413"/>
      <c r="AO28" s="450">
        <f t="shared" si="0"/>
        <v>0</v>
      </c>
      <c r="AP28" s="90"/>
    </row>
    <row r="29" spans="1:42" s="5" customFormat="1">
      <c r="A29" s="90">
        <f>'1-συμβολαια'!A29</f>
        <v>4618</v>
      </c>
      <c r="B29" s="90" t="str">
        <f>'1-συμβολαια'!C29</f>
        <v>πληρεξούσιο</v>
      </c>
      <c r="C29" s="451">
        <f>'1-συμβολαια'!D29</f>
        <v>0</v>
      </c>
      <c r="D29" s="451">
        <f t="shared" si="6"/>
        <v>0</v>
      </c>
      <c r="E29" s="90"/>
      <c r="F29" s="90"/>
      <c r="G29" s="90"/>
      <c r="H29" s="90"/>
      <c r="I29" s="90"/>
      <c r="J29" s="90"/>
      <c r="K29" s="90"/>
      <c r="L29" s="90"/>
      <c r="M29" s="451">
        <f t="shared" si="1"/>
        <v>0</v>
      </c>
      <c r="N29" s="90"/>
      <c r="O29" s="90"/>
      <c r="P29" s="90"/>
      <c r="Q29" s="90"/>
      <c r="R29" s="90"/>
      <c r="S29" s="90"/>
      <c r="T29" s="90"/>
      <c r="U29" s="90"/>
      <c r="V29" s="451">
        <f t="shared" si="2"/>
        <v>0</v>
      </c>
      <c r="W29" s="90"/>
      <c r="X29" s="90"/>
      <c r="Y29" s="90"/>
      <c r="Z29" s="90"/>
      <c r="AA29" s="90"/>
      <c r="AB29" s="90"/>
      <c r="AC29" s="90"/>
      <c r="AD29" s="90"/>
      <c r="AE29" s="413">
        <f t="shared" si="3"/>
        <v>0</v>
      </c>
      <c r="AF29" s="413">
        <f t="shared" si="4"/>
        <v>0</v>
      </c>
      <c r="AG29" s="413">
        <f t="shared" si="5"/>
        <v>0</v>
      </c>
      <c r="AH29" s="90"/>
      <c r="AI29" s="90"/>
      <c r="AJ29" s="90"/>
      <c r="AK29" s="90"/>
      <c r="AL29" s="90"/>
      <c r="AM29" s="415"/>
      <c r="AN29" s="413"/>
      <c r="AO29" s="450">
        <f t="shared" si="0"/>
        <v>0</v>
      </c>
      <c r="AP29" s="90"/>
    </row>
    <row r="30" spans="1:42" s="5" customFormat="1">
      <c r="A30" s="453">
        <f>'1-συμβολαια'!A30</f>
        <v>4619</v>
      </c>
      <c r="B30" s="90" t="str">
        <f>'1-συμβολαια'!C30</f>
        <v>αγοραπωλησίας ΠΡΟΣΥΜΦΩΝΟ τίμημα = αρραβών =</v>
      </c>
      <c r="C30" s="451">
        <f>'1-συμβολαια'!D30</f>
        <v>1800</v>
      </c>
      <c r="D30" s="451"/>
      <c r="E30" s="90"/>
      <c r="F30" s="90"/>
      <c r="G30" s="90"/>
      <c r="H30" s="90"/>
      <c r="I30" s="90"/>
      <c r="J30" s="90"/>
      <c r="K30" s="90"/>
      <c r="L30" s="90"/>
      <c r="M30" s="451"/>
      <c r="N30" s="90"/>
      <c r="O30" s="90"/>
      <c r="P30" s="90"/>
      <c r="Q30" s="90"/>
      <c r="R30" s="90"/>
      <c r="S30" s="90"/>
      <c r="T30" s="90"/>
      <c r="U30" s="90"/>
      <c r="V30" s="451"/>
      <c r="W30" s="90"/>
      <c r="X30" s="90"/>
      <c r="Y30" s="90"/>
      <c r="Z30" s="90"/>
      <c r="AA30" s="90"/>
      <c r="AB30" s="90"/>
      <c r="AC30" s="90"/>
      <c r="AD30" s="90"/>
      <c r="AE30" s="413">
        <f t="shared" si="3"/>
        <v>0</v>
      </c>
      <c r="AF30" s="413">
        <f t="shared" si="4"/>
        <v>0</v>
      </c>
      <c r="AG30" s="413">
        <f t="shared" si="5"/>
        <v>0</v>
      </c>
      <c r="AH30" s="90"/>
      <c r="AI30" s="90"/>
      <c r="AJ30" s="90"/>
      <c r="AK30" s="90"/>
      <c r="AL30" s="90"/>
      <c r="AM30" s="415"/>
      <c r="AN30" s="413"/>
      <c r="AO30" s="450">
        <f t="shared" si="0"/>
        <v>0</v>
      </c>
      <c r="AP30" s="90"/>
    </row>
    <row r="31" spans="1:42" s="5" customFormat="1">
      <c r="A31" s="453"/>
      <c r="B31" s="90" t="str">
        <f>'1-συμβολαια'!C31</f>
        <v>ΧΡΗΣΙΚΤΗΣΙΑ αγροτεμαχίου = 1975 πατρός ΔΩΡΕΑ άτυπη</v>
      </c>
      <c r="C31" s="451">
        <f>'1-συμβολαια'!D31</f>
        <v>1111</v>
      </c>
      <c r="D31" s="451"/>
      <c r="E31" s="90"/>
      <c r="F31" s="90"/>
      <c r="G31" s="90"/>
      <c r="H31" s="90"/>
      <c r="I31" s="90"/>
      <c r="J31" s="90"/>
      <c r="K31" s="90"/>
      <c r="L31" s="90"/>
      <c r="M31" s="451">
        <f t="shared" si="1"/>
        <v>7.2215000000000007</v>
      </c>
      <c r="N31" s="90"/>
      <c r="O31" s="90"/>
      <c r="P31" s="90"/>
      <c r="Q31" s="90"/>
      <c r="R31" s="90"/>
      <c r="S31" s="90"/>
      <c r="T31" s="90"/>
      <c r="U31" s="90"/>
      <c r="V31" s="451">
        <f t="shared" si="2"/>
        <v>1.3887499999999999</v>
      </c>
      <c r="W31" s="90"/>
      <c r="X31" s="90"/>
      <c r="Y31" s="90"/>
      <c r="Z31" s="90"/>
      <c r="AA31" s="90"/>
      <c r="AB31" s="90"/>
      <c r="AC31" s="90"/>
      <c r="AD31" s="90"/>
      <c r="AE31" s="413">
        <f t="shared" si="3"/>
        <v>8.6102500000000006</v>
      </c>
      <c r="AF31" s="413">
        <f t="shared" si="4"/>
        <v>0</v>
      </c>
      <c r="AG31" s="413">
        <f t="shared" si="5"/>
        <v>8.6102500000000006</v>
      </c>
      <c r="AH31" s="90"/>
      <c r="AI31" s="90"/>
      <c r="AJ31" s="90"/>
      <c r="AK31" s="90"/>
      <c r="AL31" s="90"/>
      <c r="AM31" s="415"/>
      <c r="AN31" s="413"/>
      <c r="AO31" s="450">
        <f t="shared" si="0"/>
        <v>0</v>
      </c>
      <c r="AP31" s="90"/>
    </row>
    <row r="32" spans="1:42" s="5" customFormat="1">
      <c r="A32" s="555">
        <f>'1-συμβολαια'!A32</f>
        <v>4620</v>
      </c>
      <c r="B32" s="90" t="str">
        <f>'1-συμβολαια'!C32</f>
        <v>γονική</v>
      </c>
      <c r="C32" s="451">
        <f>'1-συμβολαια'!D32</f>
        <v>6285.73</v>
      </c>
      <c r="D32" s="451"/>
      <c r="E32" s="90"/>
      <c r="F32" s="90"/>
      <c r="G32" s="90"/>
      <c r="H32" s="90"/>
      <c r="I32" s="90"/>
      <c r="J32" s="90"/>
      <c r="K32" s="90"/>
      <c r="L32" s="90"/>
      <c r="M32" s="451">
        <f t="shared" si="1"/>
        <v>40.857244999999999</v>
      </c>
      <c r="N32" s="558">
        <v>40.86</v>
      </c>
      <c r="O32" s="90"/>
      <c r="P32" s="90">
        <v>40.85</v>
      </c>
      <c r="Q32" s="90"/>
      <c r="R32" s="90"/>
      <c r="S32" s="90"/>
      <c r="T32" s="90"/>
      <c r="U32" s="90"/>
      <c r="V32" s="451">
        <f t="shared" si="2"/>
        <v>7.8571624999999994</v>
      </c>
      <c r="W32" s="558">
        <v>7.86</v>
      </c>
      <c r="X32" s="90"/>
      <c r="Y32" s="90">
        <v>7.85</v>
      </c>
      <c r="Z32" s="90"/>
      <c r="AA32" s="90"/>
      <c r="AB32" s="90"/>
      <c r="AC32" s="90"/>
      <c r="AD32" s="90"/>
      <c r="AE32" s="413">
        <f t="shared" si="3"/>
        <v>48.7144075</v>
      </c>
      <c r="AF32" s="413">
        <f t="shared" si="4"/>
        <v>48.72</v>
      </c>
      <c r="AG32" s="413"/>
      <c r="AH32" s="90"/>
      <c r="AI32" s="90"/>
      <c r="AJ32" s="90"/>
      <c r="AK32" s="90"/>
      <c r="AL32" s="90"/>
      <c r="AM32" s="415"/>
      <c r="AN32" s="413"/>
      <c r="AO32" s="450">
        <f t="shared" si="0"/>
        <v>0</v>
      </c>
      <c r="AP32" s="90"/>
    </row>
    <row r="33" spans="1:42" s="5" customFormat="1">
      <c r="A33" s="543"/>
      <c r="B33" s="90" t="str">
        <f>'1-συμβολαια'!C33</f>
        <v>κάθετος ΣΥΣΤΑΣΗ</v>
      </c>
      <c r="C33" s="451">
        <f>'1-συμβολαια'!D33</f>
        <v>0</v>
      </c>
      <c r="D33" s="451"/>
      <c r="E33" s="90"/>
      <c r="F33" s="90"/>
      <c r="G33" s="90"/>
      <c r="H33" s="90"/>
      <c r="I33" s="90"/>
      <c r="J33" s="90"/>
      <c r="K33" s="90"/>
      <c r="L33" s="90"/>
      <c r="M33" s="451"/>
      <c r="N33" s="90"/>
      <c r="O33" s="90"/>
      <c r="P33" s="90"/>
      <c r="Q33" s="90"/>
      <c r="R33" s="90"/>
      <c r="S33" s="90"/>
      <c r="T33" s="90"/>
      <c r="U33" s="90"/>
      <c r="V33" s="451">
        <f t="shared" si="2"/>
        <v>0</v>
      </c>
      <c r="W33" s="90"/>
      <c r="X33" s="90"/>
      <c r="Y33" s="90"/>
      <c r="Z33" s="90"/>
      <c r="AA33" s="90"/>
      <c r="AB33" s="90"/>
      <c r="AC33" s="90"/>
      <c r="AD33" s="90"/>
      <c r="AE33" s="413">
        <f t="shared" si="3"/>
        <v>0</v>
      </c>
      <c r="AF33" s="413">
        <f t="shared" si="4"/>
        <v>0</v>
      </c>
      <c r="AG33" s="413"/>
      <c r="AH33" s="90"/>
      <c r="AI33" s="90"/>
      <c r="AJ33" s="90"/>
      <c r="AK33" s="90"/>
      <c r="AL33" s="90"/>
      <c r="AM33" s="415"/>
      <c r="AN33" s="413"/>
      <c r="AO33" s="450">
        <f t="shared" si="0"/>
        <v>0</v>
      </c>
      <c r="AP33" s="90"/>
    </row>
    <row r="34" spans="1:42" s="5" customFormat="1">
      <c r="A34" s="543"/>
      <c r="B34" s="90" t="str">
        <f>'1-συμβολαια'!C34</f>
        <v>ΧΡΗΣΙΚΤΗΣΙΑ αγροτεμαχίου (νυν οικόπεδο) = 19?? ΑΝΑΔΑΣΜΟΣ</v>
      </c>
      <c r="C34" s="451">
        <f>'1-συμβολαια'!D34</f>
        <v>3333</v>
      </c>
      <c r="D34" s="451"/>
      <c r="E34" s="90"/>
      <c r="F34" s="90"/>
      <c r="G34" s="90"/>
      <c r="H34" s="90"/>
      <c r="I34" s="90"/>
      <c r="J34" s="90"/>
      <c r="K34" s="90"/>
      <c r="L34" s="90"/>
      <c r="M34" s="451">
        <f t="shared" si="1"/>
        <v>21.6645</v>
      </c>
      <c r="N34" s="90"/>
      <c r="O34" s="90"/>
      <c r="P34" s="90"/>
      <c r="Q34" s="90"/>
      <c r="R34" s="90"/>
      <c r="S34" s="90"/>
      <c r="T34" s="90"/>
      <c r="U34" s="90"/>
      <c r="V34" s="451">
        <f t="shared" si="2"/>
        <v>4.1662499999999998</v>
      </c>
      <c r="W34" s="90"/>
      <c r="X34" s="90"/>
      <c r="Y34" s="90"/>
      <c r="Z34" s="90"/>
      <c r="AA34" s="90"/>
      <c r="AB34" s="90"/>
      <c r="AC34" s="90"/>
      <c r="AD34" s="90"/>
      <c r="AE34" s="413">
        <f t="shared" si="3"/>
        <v>25.830750000000002</v>
      </c>
      <c r="AF34" s="413">
        <f t="shared" si="4"/>
        <v>0</v>
      </c>
      <c r="AG34" s="413">
        <f t="shared" si="5"/>
        <v>25.830750000000002</v>
      </c>
      <c r="AH34" s="90"/>
      <c r="AI34" s="90"/>
      <c r="AJ34" s="90"/>
      <c r="AK34" s="90"/>
      <c r="AL34" s="90"/>
      <c r="AM34" s="415"/>
      <c r="AN34" s="413"/>
      <c r="AO34" s="450">
        <f t="shared" si="0"/>
        <v>0</v>
      </c>
      <c r="AP34" s="90"/>
    </row>
    <row r="35" spans="1:42" s="5" customFormat="1">
      <c r="A35" s="555">
        <f>'1-συμβολαια'!A35</f>
        <v>4621</v>
      </c>
      <c r="B35" s="90" t="str">
        <f>'1-συμβολαια'!C35</f>
        <v>γονική</v>
      </c>
      <c r="C35" s="451">
        <f>'1-συμβολαια'!D35</f>
        <v>30928.65</v>
      </c>
      <c r="D35" s="451"/>
      <c r="E35" s="90"/>
      <c r="F35" s="90"/>
      <c r="G35" s="90"/>
      <c r="H35" s="90"/>
      <c r="I35" s="90"/>
      <c r="J35" s="90"/>
      <c r="K35" s="90"/>
      <c r="L35" s="90"/>
      <c r="M35" s="451">
        <f t="shared" si="1"/>
        <v>201.03622500000003</v>
      </c>
      <c r="N35" s="558">
        <v>201.04</v>
      </c>
      <c r="O35" s="90"/>
      <c r="P35" s="90">
        <v>201.03</v>
      </c>
      <c r="Q35" s="90"/>
      <c r="R35" s="90"/>
      <c r="S35" s="90"/>
      <c r="T35" s="90"/>
      <c r="U35" s="90"/>
      <c r="V35" s="451">
        <f t="shared" si="2"/>
        <v>38.660812500000006</v>
      </c>
      <c r="W35" s="558">
        <v>38.68</v>
      </c>
      <c r="X35" s="90"/>
      <c r="Y35" s="90">
        <v>38.659999999999997</v>
      </c>
      <c r="Z35" s="90"/>
      <c r="AA35" s="90"/>
      <c r="AB35" s="90"/>
      <c r="AC35" s="90"/>
      <c r="AD35" s="90"/>
      <c r="AE35" s="413">
        <f t="shared" si="3"/>
        <v>239.69703750000002</v>
      </c>
      <c r="AF35" s="413">
        <f t="shared" si="4"/>
        <v>239.72</v>
      </c>
      <c r="AG35" s="413">
        <f t="shared" si="5"/>
        <v>-2.2962499999977126E-2</v>
      </c>
      <c r="AH35" s="90"/>
      <c r="AI35" s="90"/>
      <c r="AJ35" s="90"/>
      <c r="AK35" s="90"/>
      <c r="AL35" s="90"/>
      <c r="AM35" s="415"/>
      <c r="AN35" s="413"/>
      <c r="AO35" s="450">
        <f t="shared" si="0"/>
        <v>0</v>
      </c>
      <c r="AP35" s="90"/>
    </row>
    <row r="36" spans="1:42" s="5" customFormat="1">
      <c r="A36" s="453"/>
      <c r="B36" s="90" t="str">
        <f>'1-συμβολαια'!C36</f>
        <v>οριζόντιος ΣΥΣΤΑΣΗ</v>
      </c>
      <c r="C36" s="451">
        <f>'1-συμβολαια'!D36</f>
        <v>0</v>
      </c>
      <c r="D36" s="451"/>
      <c r="E36" s="90"/>
      <c r="F36" s="90"/>
      <c r="G36" s="90"/>
      <c r="H36" s="90"/>
      <c r="I36" s="90"/>
      <c r="J36" s="90"/>
      <c r="K36" s="90"/>
      <c r="L36" s="90"/>
      <c r="M36" s="451">
        <f t="shared" si="1"/>
        <v>0</v>
      </c>
      <c r="N36" s="90"/>
      <c r="O36" s="90"/>
      <c r="P36" s="90"/>
      <c r="Q36" s="90"/>
      <c r="R36" s="90"/>
      <c r="S36" s="90"/>
      <c r="T36" s="90"/>
      <c r="U36" s="90"/>
      <c r="V36" s="451">
        <f t="shared" si="2"/>
        <v>0</v>
      </c>
      <c r="W36" s="90"/>
      <c r="X36" s="90"/>
      <c r="Y36" s="90"/>
      <c r="Z36" s="90"/>
      <c r="AA36" s="90"/>
      <c r="AB36" s="90"/>
      <c r="AC36" s="90"/>
      <c r="AD36" s="90"/>
      <c r="AE36" s="413">
        <f t="shared" si="3"/>
        <v>0</v>
      </c>
      <c r="AF36" s="413">
        <f t="shared" si="4"/>
        <v>0</v>
      </c>
      <c r="AG36" s="413">
        <f t="shared" si="5"/>
        <v>0</v>
      </c>
      <c r="AH36" s="90"/>
      <c r="AI36" s="90"/>
      <c r="AJ36" s="90"/>
      <c r="AK36" s="90"/>
      <c r="AL36" s="90"/>
      <c r="AM36" s="415"/>
      <c r="AN36" s="413"/>
      <c r="AO36" s="450">
        <f t="shared" si="0"/>
        <v>0</v>
      </c>
      <c r="AP36" s="90"/>
    </row>
    <row r="37" spans="1:42" s="5" customFormat="1">
      <c r="A37" s="90">
        <f>'1-συμβολαια'!A37</f>
        <v>4622</v>
      </c>
      <c r="B37" s="90" t="str">
        <f>'1-συμβολαια'!C37</f>
        <v>πληρεξούσιο</v>
      </c>
      <c r="C37" s="451">
        <f>'1-συμβολαια'!D37</f>
        <v>0</v>
      </c>
      <c r="D37" s="451"/>
      <c r="E37" s="90"/>
      <c r="F37" s="90"/>
      <c r="G37" s="90"/>
      <c r="H37" s="90"/>
      <c r="I37" s="90"/>
      <c r="J37" s="90"/>
      <c r="K37" s="90"/>
      <c r="L37" s="90"/>
      <c r="M37" s="451">
        <f t="shared" si="1"/>
        <v>0</v>
      </c>
      <c r="N37" s="90"/>
      <c r="O37" s="90"/>
      <c r="P37" s="90"/>
      <c r="Q37" s="90"/>
      <c r="R37" s="90"/>
      <c r="S37" s="90"/>
      <c r="T37" s="90"/>
      <c r="U37" s="90"/>
      <c r="V37" s="451">
        <f t="shared" si="2"/>
        <v>0</v>
      </c>
      <c r="W37" s="90"/>
      <c r="X37" s="90"/>
      <c r="Y37" s="90"/>
      <c r="Z37" s="90"/>
      <c r="AA37" s="90"/>
      <c r="AB37" s="90"/>
      <c r="AC37" s="90"/>
      <c r="AD37" s="90"/>
      <c r="AE37" s="413">
        <f t="shared" si="3"/>
        <v>0</v>
      </c>
      <c r="AF37" s="413">
        <f t="shared" si="4"/>
        <v>0</v>
      </c>
      <c r="AG37" s="413">
        <f t="shared" si="5"/>
        <v>0</v>
      </c>
      <c r="AH37" s="90"/>
      <c r="AI37" s="90"/>
      <c r="AJ37" s="90"/>
      <c r="AK37" s="90"/>
      <c r="AL37" s="90"/>
      <c r="AM37" s="415"/>
      <c r="AN37" s="413"/>
      <c r="AO37" s="450">
        <f t="shared" si="0"/>
        <v>0</v>
      </c>
      <c r="AP37" s="90"/>
    </row>
    <row r="38" spans="1:42" s="5" customFormat="1">
      <c r="A38" s="90">
        <f>'1-συμβολαια'!A38</f>
        <v>4623</v>
      </c>
      <c r="B38" s="90" t="str">
        <f>'1-συμβολαια'!C38</f>
        <v>πληρεξούσιο</v>
      </c>
      <c r="C38" s="451">
        <f>'1-συμβολαια'!D38</f>
        <v>0</v>
      </c>
      <c r="D38" s="451"/>
      <c r="E38" s="90"/>
      <c r="F38" s="90"/>
      <c r="G38" s="90"/>
      <c r="H38" s="90"/>
      <c r="I38" s="90"/>
      <c r="J38" s="90"/>
      <c r="K38" s="90"/>
      <c r="L38" s="90"/>
      <c r="M38" s="451">
        <f t="shared" si="1"/>
        <v>0</v>
      </c>
      <c r="N38" s="90"/>
      <c r="O38" s="90"/>
      <c r="P38" s="90"/>
      <c r="Q38" s="90"/>
      <c r="R38" s="90"/>
      <c r="S38" s="90"/>
      <c r="T38" s="90"/>
      <c r="U38" s="90"/>
      <c r="V38" s="451">
        <f t="shared" si="2"/>
        <v>0</v>
      </c>
      <c r="W38" s="90"/>
      <c r="X38" s="90"/>
      <c r="Y38" s="90"/>
      <c r="Z38" s="90"/>
      <c r="AA38" s="90"/>
      <c r="AB38" s="90"/>
      <c r="AC38" s="90"/>
      <c r="AD38" s="90"/>
      <c r="AE38" s="413">
        <f t="shared" si="3"/>
        <v>0</v>
      </c>
      <c r="AF38" s="413">
        <f t="shared" si="4"/>
        <v>0</v>
      </c>
      <c r="AG38" s="413">
        <f t="shared" si="5"/>
        <v>0</v>
      </c>
      <c r="AH38" s="90"/>
      <c r="AI38" s="90"/>
      <c r="AJ38" s="90"/>
      <c r="AK38" s="90"/>
      <c r="AL38" s="90"/>
      <c r="AM38" s="415"/>
      <c r="AN38" s="413"/>
      <c r="AO38" s="450">
        <f t="shared" si="0"/>
        <v>0</v>
      </c>
      <c r="AP38" s="90"/>
    </row>
    <row r="39" spans="1:42" s="5" customFormat="1">
      <c r="A39" s="453">
        <f>'1-συμβολαια'!A39</f>
        <v>4624</v>
      </c>
      <c r="B39" s="90" t="str">
        <f>'1-συμβολαια'!C39</f>
        <v>*γονική ΨΙΛΗΣ ΚΥΡΙΟΤΗΤΑΣ</v>
      </c>
      <c r="C39" s="451">
        <f>'1-συμβολαια'!D39</f>
        <v>11558.2</v>
      </c>
      <c r="D39" s="451"/>
      <c r="E39" s="90"/>
      <c r="F39" s="90"/>
      <c r="G39" s="90"/>
      <c r="H39" s="90"/>
      <c r="I39" s="90"/>
      <c r="J39" s="90"/>
      <c r="K39" s="90"/>
      <c r="L39" s="90"/>
      <c r="M39" s="451">
        <f t="shared" si="1"/>
        <v>75.12830000000001</v>
      </c>
      <c r="N39" s="90">
        <v>75.13</v>
      </c>
      <c r="O39" s="90"/>
      <c r="P39" s="565"/>
      <c r="Q39" s="90"/>
      <c r="R39" s="90"/>
      <c r="S39" s="90"/>
      <c r="T39" s="90"/>
      <c r="U39" s="90"/>
      <c r="V39" s="451">
        <f t="shared" si="2"/>
        <v>14.447750000000001</v>
      </c>
      <c r="W39" s="90">
        <v>14.45</v>
      </c>
      <c r="X39" s="90"/>
      <c r="Y39" s="565"/>
      <c r="Z39" s="90"/>
      <c r="AA39" s="90"/>
      <c r="AB39" s="90"/>
      <c r="AC39" s="90"/>
      <c r="AD39" s="90"/>
      <c r="AE39" s="413">
        <f t="shared" si="3"/>
        <v>89.576050000000009</v>
      </c>
      <c r="AF39" s="413">
        <f t="shared" si="4"/>
        <v>89.58</v>
      </c>
      <c r="AG39" s="413">
        <f t="shared" si="5"/>
        <v>-3.9499999999890179E-3</v>
      </c>
      <c r="AH39" s="90"/>
      <c r="AI39" s="90"/>
      <c r="AJ39" s="90"/>
      <c r="AK39" s="90"/>
      <c r="AL39" s="90"/>
      <c r="AM39" s="415"/>
      <c r="AN39" s="413"/>
      <c r="AO39" s="450">
        <f t="shared" si="0"/>
        <v>0</v>
      </c>
      <c r="AP39" s="90"/>
    </row>
    <row r="40" spans="1:42" s="5" customFormat="1">
      <c r="A40" s="453"/>
      <c r="B40" s="90" t="str">
        <f>'1-συμβολαια'!C40</f>
        <v>ΧΡΗΣΙΚΤΗΣΙΑ οικοπέδου = 1949 πατρός ΔΩΡΕΑ άτυπη</v>
      </c>
      <c r="C40" s="451">
        <f>'1-συμβολαια'!D40</f>
        <v>4444</v>
      </c>
      <c r="D40" s="451"/>
      <c r="E40" s="90"/>
      <c r="F40" s="90"/>
      <c r="G40" s="90"/>
      <c r="H40" s="90"/>
      <c r="I40" s="90"/>
      <c r="J40" s="90"/>
      <c r="K40" s="90"/>
      <c r="L40" s="90"/>
      <c r="M40" s="451">
        <f t="shared" si="1"/>
        <v>28.886000000000003</v>
      </c>
      <c r="N40" s="90"/>
      <c r="O40" s="90"/>
      <c r="P40" s="90"/>
      <c r="Q40" s="90"/>
      <c r="R40" s="90"/>
      <c r="S40" s="90"/>
      <c r="T40" s="90"/>
      <c r="U40" s="90"/>
      <c r="V40" s="451">
        <f t="shared" si="2"/>
        <v>5.5549999999999997</v>
      </c>
      <c r="W40" s="90"/>
      <c r="X40" s="90"/>
      <c r="Y40" s="90"/>
      <c r="Z40" s="90"/>
      <c r="AA40" s="90"/>
      <c r="AB40" s="90"/>
      <c r="AC40" s="90"/>
      <c r="AD40" s="90"/>
      <c r="AE40" s="413">
        <f t="shared" si="3"/>
        <v>34.441000000000003</v>
      </c>
      <c r="AF40" s="413">
        <f t="shared" si="4"/>
        <v>0</v>
      </c>
      <c r="AG40" s="413">
        <f t="shared" si="5"/>
        <v>34.441000000000003</v>
      </c>
      <c r="AH40" s="90"/>
      <c r="AI40" s="90"/>
      <c r="AJ40" s="90"/>
      <c r="AK40" s="90"/>
      <c r="AL40" s="90"/>
      <c r="AM40" s="415"/>
      <c r="AN40" s="413"/>
      <c r="AO40" s="450">
        <f t="shared" si="0"/>
        <v>0</v>
      </c>
      <c r="AP40" s="90"/>
    </row>
    <row r="41" spans="1:42" s="5" customFormat="1">
      <c r="A41" s="453"/>
      <c r="B41" s="90" t="str">
        <f>'1-συμβολαια'!C41</f>
        <v>ΧΡΗΣΙΚΤΗΣΙΑ αγροτεμαχίων = 1963 αγοραπωλησίας ΒΑΣΕΙ προσυμφώνου ΜΗ εκτελεσθέντος</v>
      </c>
      <c r="C41" s="451">
        <f>'1-συμβολαια'!D41</f>
        <v>1111</v>
      </c>
      <c r="D41" s="451"/>
      <c r="E41" s="90"/>
      <c r="F41" s="90"/>
      <c r="G41" s="90"/>
      <c r="H41" s="90"/>
      <c r="I41" s="90"/>
      <c r="J41" s="90"/>
      <c r="K41" s="90"/>
      <c r="L41" s="90"/>
      <c r="M41" s="451">
        <f t="shared" si="1"/>
        <v>7.2215000000000007</v>
      </c>
      <c r="N41" s="90"/>
      <c r="O41" s="90"/>
      <c r="P41" s="90"/>
      <c r="Q41" s="90"/>
      <c r="R41" s="90"/>
      <c r="S41" s="90"/>
      <c r="T41" s="90"/>
      <c r="U41" s="90"/>
      <c r="V41" s="451">
        <f t="shared" si="2"/>
        <v>1.3887499999999999</v>
      </c>
      <c r="W41" s="90"/>
      <c r="X41" s="90"/>
      <c r="Y41" s="90"/>
      <c r="Z41" s="90"/>
      <c r="AA41" s="90"/>
      <c r="AB41" s="90"/>
      <c r="AC41" s="90"/>
      <c r="AD41" s="90"/>
      <c r="AE41" s="413">
        <f t="shared" si="3"/>
        <v>8.6102500000000006</v>
      </c>
      <c r="AF41" s="413">
        <f t="shared" si="4"/>
        <v>0</v>
      </c>
      <c r="AG41" s="413">
        <f t="shared" si="5"/>
        <v>8.6102500000000006</v>
      </c>
      <c r="AH41" s="90"/>
      <c r="AI41" s="90"/>
      <c r="AJ41" s="90"/>
      <c r="AK41" s="90"/>
      <c r="AL41" s="90"/>
      <c r="AM41" s="415"/>
      <c r="AN41" s="413"/>
      <c r="AO41" s="450">
        <f t="shared" si="0"/>
        <v>0</v>
      </c>
      <c r="AP41" s="90"/>
    </row>
    <row r="42" spans="1:42" s="5" customFormat="1">
      <c r="A42" s="543">
        <f>'1-συμβολαια'!A42</f>
        <v>4625</v>
      </c>
      <c r="B42" s="90" t="str">
        <f>'1-συμβολαια'!C42</f>
        <v>*γονική ΨΙΛΗΣ ΚΥΡΙΟΤΗΤΑΣ</v>
      </c>
      <c r="C42" s="451">
        <f>'1-συμβολαια'!D42</f>
        <v>3061.77</v>
      </c>
      <c r="D42" s="451"/>
      <c r="E42" s="90"/>
      <c r="F42" s="90"/>
      <c r="G42" s="90"/>
      <c r="H42" s="90"/>
      <c r="I42" s="90"/>
      <c r="J42" s="90"/>
      <c r="K42" s="90"/>
      <c r="L42" s="90"/>
      <c r="M42" s="451">
        <f t="shared" si="1"/>
        <v>19.901505</v>
      </c>
      <c r="N42" s="90">
        <v>19.899999999999999</v>
      </c>
      <c r="O42" s="90"/>
      <c r="P42" s="90">
        <v>19.899999999999999</v>
      </c>
      <c r="Q42" s="90"/>
      <c r="R42" s="90"/>
      <c r="S42" s="90"/>
      <c r="T42" s="90"/>
      <c r="U42" s="90"/>
      <c r="V42" s="451">
        <f t="shared" si="2"/>
        <v>3.8272124999999999</v>
      </c>
      <c r="W42" s="90">
        <v>3.83</v>
      </c>
      <c r="X42" s="90"/>
      <c r="Y42" s="90">
        <v>3.83</v>
      </c>
      <c r="Z42" s="90"/>
      <c r="AA42" s="90"/>
      <c r="AB42" s="90"/>
      <c r="AC42" s="90"/>
      <c r="AD42" s="90"/>
      <c r="AE42" s="413">
        <f t="shared" si="3"/>
        <v>23.728717500000002</v>
      </c>
      <c r="AF42" s="413">
        <f t="shared" si="4"/>
        <v>23.729999999999997</v>
      </c>
      <c r="AG42" s="413">
        <f t="shared" si="5"/>
        <v>-1.2824999999949682E-3</v>
      </c>
      <c r="AH42" s="90"/>
      <c r="AI42" s="90"/>
      <c r="AJ42" s="90"/>
      <c r="AK42" s="90"/>
      <c r="AL42" s="90"/>
      <c r="AM42" s="415"/>
      <c r="AN42" s="413"/>
      <c r="AO42" s="450">
        <f t="shared" si="0"/>
        <v>0</v>
      </c>
      <c r="AP42" s="90"/>
    </row>
    <row r="43" spans="1:42" s="5" customFormat="1">
      <c r="A43" s="543"/>
      <c r="B43" s="90" t="str">
        <f>'1-συμβολαια'!C43</f>
        <v>ΧΡΗΣΙΚΤΗΣΙΑ αγροτεμαχίου = 19?? πατρός ΔΩΡΕΑ άτυπη</v>
      </c>
      <c r="C43" s="451">
        <f>'1-συμβολαια'!D43</f>
        <v>1111</v>
      </c>
      <c r="D43" s="451"/>
      <c r="E43" s="90"/>
      <c r="F43" s="90"/>
      <c r="G43" s="90"/>
      <c r="H43" s="90"/>
      <c r="I43" s="90"/>
      <c r="J43" s="90"/>
      <c r="K43" s="90"/>
      <c r="L43" s="90"/>
      <c r="M43" s="451">
        <f t="shared" si="1"/>
        <v>7.2215000000000007</v>
      </c>
      <c r="N43" s="90"/>
      <c r="O43" s="90"/>
      <c r="P43" s="90"/>
      <c r="Q43" s="90"/>
      <c r="R43" s="90"/>
      <c r="S43" s="90"/>
      <c r="T43" s="90"/>
      <c r="U43" s="90"/>
      <c r="V43" s="451">
        <f t="shared" si="2"/>
        <v>1.3887499999999999</v>
      </c>
      <c r="W43" s="90"/>
      <c r="X43" s="90"/>
      <c r="Y43" s="90"/>
      <c r="Z43" s="90"/>
      <c r="AA43" s="90"/>
      <c r="AB43" s="90"/>
      <c r="AC43" s="90"/>
      <c r="AD43" s="90"/>
      <c r="AE43" s="413">
        <f t="shared" si="3"/>
        <v>8.6102500000000006</v>
      </c>
      <c r="AF43" s="413">
        <f t="shared" si="4"/>
        <v>0</v>
      </c>
      <c r="AG43" s="413">
        <f t="shared" si="5"/>
        <v>8.6102500000000006</v>
      </c>
      <c r="AH43" s="90"/>
      <c r="AI43" s="90"/>
      <c r="AJ43" s="90"/>
      <c r="AK43" s="90"/>
      <c r="AL43" s="90"/>
      <c r="AM43" s="415"/>
      <c r="AN43" s="413"/>
      <c r="AO43" s="450">
        <f t="shared" si="0"/>
        <v>0</v>
      </c>
      <c r="AP43" s="90"/>
    </row>
    <row r="44" spans="1:42" s="5" customFormat="1">
      <c r="A44" s="453">
        <f>'1-συμβολαια'!A44</f>
        <v>4626</v>
      </c>
      <c r="B44" s="90" t="str">
        <f>'1-συμβολαια'!C44</f>
        <v>*γονική ΨΙΛΗΣ ΚΥΡΙΟΤΗΤΑΣ</v>
      </c>
      <c r="C44" s="451">
        <f>'1-συμβολαια'!D44</f>
        <v>5079.72</v>
      </c>
      <c r="D44" s="451"/>
      <c r="E44" s="90"/>
      <c r="F44" s="90"/>
      <c r="G44" s="90"/>
      <c r="H44" s="90"/>
      <c r="I44" s="90"/>
      <c r="J44" s="90"/>
      <c r="K44" s="90"/>
      <c r="L44" s="90"/>
      <c r="M44" s="451">
        <f t="shared" si="1"/>
        <v>33.018180000000008</v>
      </c>
      <c r="N44" s="90">
        <v>33.020000000000003</v>
      </c>
      <c r="O44" s="90"/>
      <c r="P44" s="90">
        <v>33.020000000000003</v>
      </c>
      <c r="Q44" s="90"/>
      <c r="R44" s="90"/>
      <c r="S44" s="90"/>
      <c r="T44" s="90"/>
      <c r="U44" s="90"/>
      <c r="V44" s="451">
        <f t="shared" si="2"/>
        <v>6.3496500000000005</v>
      </c>
      <c r="W44" s="90">
        <v>6.35</v>
      </c>
      <c r="X44" s="90"/>
      <c r="Y44" s="90">
        <v>6.35</v>
      </c>
      <c r="Z44" s="90"/>
      <c r="AA44" s="90"/>
      <c r="AB44" s="90"/>
      <c r="AC44" s="90"/>
      <c r="AD44" s="90"/>
      <c r="AE44" s="413">
        <f t="shared" si="3"/>
        <v>39.367830000000012</v>
      </c>
      <c r="AF44" s="413">
        <f t="shared" si="4"/>
        <v>39.370000000000005</v>
      </c>
      <c r="AG44" s="413">
        <f t="shared" si="5"/>
        <v>-2.1699999999924557E-3</v>
      </c>
      <c r="AH44" s="90"/>
      <c r="AI44" s="90"/>
      <c r="AJ44" s="90"/>
      <c r="AK44" s="90"/>
      <c r="AL44" s="90"/>
      <c r="AM44" s="415"/>
      <c r="AN44" s="413"/>
      <c r="AO44" s="450">
        <f t="shared" si="0"/>
        <v>0</v>
      </c>
      <c r="AP44" s="90"/>
    </row>
    <row r="45" spans="1:42" s="5" customFormat="1">
      <c r="A45" s="453"/>
      <c r="B45" s="90" t="str">
        <f>'1-συμβολαια'!C45</f>
        <v>ΧΡΗΣΙΚΤΗΣΙΑ αγροτεμαχίου = 1979 ΑΝΑΔΑΣΜΟΣ</v>
      </c>
      <c r="C45" s="451">
        <f>'1-συμβολαια'!D45</f>
        <v>1111</v>
      </c>
      <c r="D45" s="451"/>
      <c r="E45" s="90"/>
      <c r="F45" s="90"/>
      <c r="G45" s="90"/>
      <c r="H45" s="90"/>
      <c r="I45" s="90"/>
      <c r="J45" s="90"/>
      <c r="K45" s="90"/>
      <c r="L45" s="90"/>
      <c r="M45" s="451">
        <f t="shared" si="1"/>
        <v>7.2215000000000007</v>
      </c>
      <c r="N45" s="90"/>
      <c r="O45" s="90"/>
      <c r="P45" s="90"/>
      <c r="Q45" s="90"/>
      <c r="R45" s="90"/>
      <c r="S45" s="90"/>
      <c r="T45" s="90"/>
      <c r="U45" s="90"/>
      <c r="V45" s="451">
        <f t="shared" si="2"/>
        <v>1.3887499999999999</v>
      </c>
      <c r="W45" s="90"/>
      <c r="X45" s="90"/>
      <c r="Y45" s="90"/>
      <c r="Z45" s="90"/>
      <c r="AA45" s="90"/>
      <c r="AB45" s="90"/>
      <c r="AC45" s="90"/>
      <c r="AD45" s="90"/>
      <c r="AE45" s="413">
        <f t="shared" si="3"/>
        <v>8.6102500000000006</v>
      </c>
      <c r="AF45" s="413">
        <f t="shared" si="4"/>
        <v>0</v>
      </c>
      <c r="AG45" s="413">
        <f t="shared" si="5"/>
        <v>8.6102500000000006</v>
      </c>
      <c r="AH45" s="90"/>
      <c r="AI45" s="90"/>
      <c r="AJ45" s="90"/>
      <c r="AK45" s="90"/>
      <c r="AL45" s="90"/>
      <c r="AM45" s="415"/>
      <c r="AN45" s="413"/>
      <c r="AO45" s="450">
        <f t="shared" si="0"/>
        <v>0</v>
      </c>
      <c r="AP45" s="90"/>
    </row>
    <row r="46" spans="1:42" s="5" customFormat="1">
      <c r="A46" s="453"/>
      <c r="B46" s="90" t="str">
        <f>'1-συμβολαια'!C46</f>
        <v>ΧΡΗΣΙΚΤΗΣΙΑ αγροτεμαχίων = 1957 τακοΑναστασιο ΑΓΟΡΑΠΩΛΗΣΙΑ άτυπη</v>
      </c>
      <c r="C46" s="451">
        <f>'1-συμβολαια'!D46</f>
        <v>1111</v>
      </c>
      <c r="D46" s="451"/>
      <c r="E46" s="90"/>
      <c r="F46" s="90"/>
      <c r="G46" s="90"/>
      <c r="H46" s="90"/>
      <c r="I46" s="90"/>
      <c r="J46" s="90"/>
      <c r="K46" s="90"/>
      <c r="L46" s="90"/>
      <c r="M46" s="451">
        <f t="shared" si="1"/>
        <v>7.2215000000000007</v>
      </c>
      <c r="N46" s="90"/>
      <c r="O46" s="90"/>
      <c r="P46" s="90"/>
      <c r="Q46" s="90"/>
      <c r="R46" s="90"/>
      <c r="S46" s="90"/>
      <c r="T46" s="90"/>
      <c r="U46" s="90"/>
      <c r="V46" s="451">
        <f t="shared" si="2"/>
        <v>1.3887499999999999</v>
      </c>
      <c r="W46" s="90"/>
      <c r="X46" s="90"/>
      <c r="Y46" s="90"/>
      <c r="Z46" s="90"/>
      <c r="AA46" s="90"/>
      <c r="AB46" s="90"/>
      <c r="AC46" s="90"/>
      <c r="AD46" s="90"/>
      <c r="AE46" s="413">
        <f t="shared" si="3"/>
        <v>8.6102500000000006</v>
      </c>
      <c r="AF46" s="413">
        <f t="shared" si="4"/>
        <v>0</v>
      </c>
      <c r="AG46" s="413">
        <f t="shared" si="5"/>
        <v>8.6102500000000006</v>
      </c>
      <c r="AH46" s="90"/>
      <c r="AI46" s="90"/>
      <c r="AJ46" s="90"/>
      <c r="AK46" s="90"/>
      <c r="AL46" s="90"/>
      <c r="AM46" s="415"/>
      <c r="AN46" s="413"/>
      <c r="AO46" s="450">
        <f t="shared" si="0"/>
        <v>0</v>
      </c>
      <c r="AP46" s="90"/>
    </row>
    <row r="47" spans="1:42" s="5" customFormat="1">
      <c r="A47" s="543">
        <f>'1-συμβολαια'!A47</f>
        <v>4627</v>
      </c>
      <c r="B47" s="90" t="str">
        <f>'1-συμβολαια'!C47</f>
        <v>*δωρεά ΑΙΤΙΑ θανάτου</v>
      </c>
      <c r="C47" s="451">
        <f>'1-συμβολαια'!D47</f>
        <v>0</v>
      </c>
      <c r="D47" s="451"/>
      <c r="E47" s="90"/>
      <c r="F47" s="90"/>
      <c r="G47" s="90"/>
      <c r="H47" s="90"/>
      <c r="I47" s="90"/>
      <c r="J47" s="90"/>
      <c r="K47" s="90"/>
      <c r="L47" s="90"/>
      <c r="M47" s="451">
        <f t="shared" si="1"/>
        <v>0</v>
      </c>
      <c r="N47" s="90"/>
      <c r="O47" s="90"/>
      <c r="P47" s="90"/>
      <c r="Q47" s="90"/>
      <c r="R47" s="90"/>
      <c r="S47" s="90"/>
      <c r="T47" s="90"/>
      <c r="U47" s="90"/>
      <c r="V47" s="451">
        <f t="shared" si="2"/>
        <v>0</v>
      </c>
      <c r="W47" s="90"/>
      <c r="X47" s="90"/>
      <c r="Y47" s="90"/>
      <c r="Z47" s="90"/>
      <c r="AA47" s="90"/>
      <c r="AB47" s="90"/>
      <c r="AC47" s="90"/>
      <c r="AD47" s="90"/>
      <c r="AE47" s="413">
        <f t="shared" si="3"/>
        <v>0</v>
      </c>
      <c r="AF47" s="413">
        <f t="shared" si="4"/>
        <v>0</v>
      </c>
      <c r="AG47" s="413">
        <f t="shared" si="5"/>
        <v>0</v>
      </c>
      <c r="AH47" s="90"/>
      <c r="AI47" s="90"/>
      <c r="AJ47" s="90"/>
      <c r="AK47" s="90"/>
      <c r="AL47" s="90"/>
      <c r="AM47" s="415"/>
      <c r="AN47" s="413"/>
      <c r="AO47" s="450">
        <f t="shared" si="0"/>
        <v>0</v>
      </c>
      <c r="AP47" s="90"/>
    </row>
    <row r="48" spans="1:42" s="5" customFormat="1">
      <c r="A48" s="543"/>
      <c r="B48" s="90" t="str">
        <f>'1-συμβολαια'!C48</f>
        <v>ΧΡΗΣΙΚΤΗΣΙΑ αγροτεμαχίου [νυν οικόπεδο ΜΕ οικοδομή] ] = 1970 ΑΝΑΔΑΣΜΟΣ</v>
      </c>
      <c r="C48" s="451">
        <f>'1-συμβολαια'!D48</f>
        <v>1111</v>
      </c>
      <c r="D48" s="451"/>
      <c r="E48" s="90"/>
      <c r="F48" s="90"/>
      <c r="G48" s="90"/>
      <c r="H48" s="90"/>
      <c r="I48" s="90"/>
      <c r="J48" s="90"/>
      <c r="K48" s="90"/>
      <c r="L48" s="90"/>
      <c r="M48" s="451">
        <f t="shared" si="1"/>
        <v>7.2215000000000007</v>
      </c>
      <c r="N48" s="90"/>
      <c r="O48" s="90"/>
      <c r="P48" s="90"/>
      <c r="Q48" s="90"/>
      <c r="R48" s="90"/>
      <c r="S48" s="90"/>
      <c r="T48" s="90"/>
      <c r="U48" s="90"/>
      <c r="V48" s="451">
        <f t="shared" si="2"/>
        <v>1.3887499999999999</v>
      </c>
      <c r="W48" s="90"/>
      <c r="X48" s="90"/>
      <c r="Y48" s="90"/>
      <c r="Z48" s="90"/>
      <c r="AA48" s="90"/>
      <c r="AB48" s="90"/>
      <c r="AC48" s="90"/>
      <c r="AD48" s="90"/>
      <c r="AE48" s="413">
        <f t="shared" si="3"/>
        <v>8.6102500000000006</v>
      </c>
      <c r="AF48" s="413">
        <f t="shared" si="4"/>
        <v>0</v>
      </c>
      <c r="AG48" s="413">
        <f t="shared" si="5"/>
        <v>8.6102500000000006</v>
      </c>
      <c r="AH48" s="90"/>
      <c r="AI48" s="90"/>
      <c r="AJ48" s="90"/>
      <c r="AK48" s="90"/>
      <c r="AL48" s="90"/>
      <c r="AM48" s="415"/>
      <c r="AN48" s="413"/>
      <c r="AO48" s="450">
        <f t="shared" si="0"/>
        <v>0</v>
      </c>
      <c r="AP48" s="90"/>
    </row>
    <row r="49" spans="1:42" s="5" customFormat="1">
      <c r="A49" s="543"/>
      <c r="B49" s="90" t="str">
        <f>'1-συμβολαια'!C49</f>
        <v>*γονικής 1262  ΕΠΙΚΑΡΠΙΑ …  ΔΩΡΕΑ αιτία θανάτου</v>
      </c>
      <c r="C49" s="451">
        <f>'1-συμβολαια'!D49</f>
        <v>8888</v>
      </c>
      <c r="D49" s="451"/>
      <c r="E49" s="90"/>
      <c r="F49" s="90"/>
      <c r="G49" s="90"/>
      <c r="H49" s="90"/>
      <c r="I49" s="90"/>
      <c r="J49" s="90"/>
      <c r="K49" s="90"/>
      <c r="L49" s="90"/>
      <c r="M49" s="451">
        <f t="shared" si="1"/>
        <v>57.772000000000006</v>
      </c>
      <c r="N49" s="90"/>
      <c r="O49" s="90"/>
      <c r="P49" s="90"/>
      <c r="Q49" s="90"/>
      <c r="R49" s="90"/>
      <c r="S49" s="90"/>
      <c r="T49" s="90"/>
      <c r="U49" s="90"/>
      <c r="V49" s="451">
        <f t="shared" si="2"/>
        <v>11.11</v>
      </c>
      <c r="W49" s="90"/>
      <c r="X49" s="90"/>
      <c r="Y49" s="90"/>
      <c r="Z49" s="90"/>
      <c r="AA49" s="90"/>
      <c r="AB49" s="90"/>
      <c r="AC49" s="90"/>
      <c r="AD49" s="90"/>
      <c r="AE49" s="413">
        <f t="shared" si="3"/>
        <v>68.882000000000005</v>
      </c>
      <c r="AF49" s="413">
        <f t="shared" si="4"/>
        <v>0</v>
      </c>
      <c r="AG49" s="413">
        <f t="shared" si="5"/>
        <v>68.882000000000005</v>
      </c>
      <c r="AH49" s="90"/>
      <c r="AI49" s="90"/>
      <c r="AJ49" s="90"/>
      <c r="AK49" s="90"/>
      <c r="AL49" s="90"/>
      <c r="AM49" s="415"/>
      <c r="AN49" s="413"/>
      <c r="AO49" s="450">
        <f t="shared" si="0"/>
        <v>0</v>
      </c>
      <c r="AP49" s="90"/>
    </row>
    <row r="50" spans="1:42" s="5" customFormat="1">
      <c r="A50" s="90">
        <f>'1-συμβολαια'!A50</f>
        <v>4628</v>
      </c>
      <c r="B50" s="90" t="str">
        <f>'1-συμβολαια'!C50</f>
        <v>πληρεξούσιο</v>
      </c>
      <c r="C50" s="451">
        <f>'1-συμβολαια'!D50</f>
        <v>0</v>
      </c>
      <c r="D50" s="451"/>
      <c r="E50" s="90"/>
      <c r="F50" s="90"/>
      <c r="G50" s="90"/>
      <c r="H50" s="90"/>
      <c r="I50" s="90"/>
      <c r="J50" s="90"/>
      <c r="K50" s="90"/>
      <c r="L50" s="90"/>
      <c r="M50" s="451">
        <f t="shared" si="1"/>
        <v>0</v>
      </c>
      <c r="N50" s="90"/>
      <c r="O50" s="90"/>
      <c r="P50" s="90"/>
      <c r="Q50" s="90"/>
      <c r="R50" s="90"/>
      <c r="S50" s="90"/>
      <c r="T50" s="90"/>
      <c r="U50" s="90"/>
      <c r="V50" s="451">
        <f t="shared" si="2"/>
        <v>0</v>
      </c>
      <c r="W50" s="90"/>
      <c r="X50" s="90"/>
      <c r="Y50" s="90"/>
      <c r="Z50" s="90"/>
      <c r="AA50" s="90"/>
      <c r="AB50" s="90"/>
      <c r="AC50" s="90"/>
      <c r="AD50" s="90"/>
      <c r="AE50" s="413">
        <f t="shared" si="3"/>
        <v>0</v>
      </c>
      <c r="AF50" s="413">
        <f t="shared" si="4"/>
        <v>0</v>
      </c>
      <c r="AG50" s="413">
        <f t="shared" si="5"/>
        <v>0</v>
      </c>
      <c r="AH50" s="90"/>
      <c r="AI50" s="90"/>
      <c r="AJ50" s="90"/>
      <c r="AK50" s="90"/>
      <c r="AL50" s="90"/>
      <c r="AM50" s="415"/>
      <c r="AN50" s="413"/>
      <c r="AO50" s="450">
        <f t="shared" si="0"/>
        <v>0</v>
      </c>
      <c r="AP50" s="90"/>
    </row>
    <row r="51" spans="1:42" s="5" customFormat="1">
      <c r="A51" s="453">
        <f>'1-συμβολαια'!A51</f>
        <v>4629</v>
      </c>
      <c r="B51" s="90" t="str">
        <f>'1-συμβολαια'!C51</f>
        <v>κληρονομιάς ΑΠΟΔΟΧΗ</v>
      </c>
      <c r="C51" s="451">
        <f>'1-συμβολαια'!D51</f>
        <v>0</v>
      </c>
      <c r="D51" s="451"/>
      <c r="E51" s="90"/>
      <c r="F51" s="90"/>
      <c r="G51" s="90"/>
      <c r="H51" s="90"/>
      <c r="I51" s="90"/>
      <c r="J51" s="90"/>
      <c r="K51" s="90"/>
      <c r="L51" s="90"/>
      <c r="M51" s="451">
        <f t="shared" si="1"/>
        <v>0</v>
      </c>
      <c r="N51" s="90"/>
      <c r="O51" s="90"/>
      <c r="P51" s="90"/>
      <c r="Q51" s="90"/>
      <c r="R51" s="90"/>
      <c r="S51" s="90"/>
      <c r="T51" s="90"/>
      <c r="U51" s="90"/>
      <c r="V51" s="451">
        <f t="shared" si="2"/>
        <v>0</v>
      </c>
      <c r="W51" s="90"/>
      <c r="X51" s="90"/>
      <c r="Y51" s="90"/>
      <c r="Z51" s="90"/>
      <c r="AA51" s="90"/>
      <c r="AB51" s="90"/>
      <c r="AC51" s="90"/>
      <c r="AD51" s="90"/>
      <c r="AE51" s="413">
        <f t="shared" si="3"/>
        <v>0</v>
      </c>
      <c r="AF51" s="413">
        <f t="shared" si="4"/>
        <v>0</v>
      </c>
      <c r="AG51" s="413">
        <f t="shared" si="5"/>
        <v>0</v>
      </c>
      <c r="AH51" s="90"/>
      <c r="AI51" s="90"/>
      <c r="AJ51" s="90"/>
      <c r="AK51" s="90"/>
      <c r="AL51" s="90"/>
      <c r="AM51" s="415"/>
      <c r="AN51" s="413"/>
      <c r="AO51" s="450">
        <f t="shared" si="0"/>
        <v>0</v>
      </c>
      <c r="AP51" s="90"/>
    </row>
    <row r="52" spans="1:42" s="5" customFormat="1">
      <c r="A52" s="453"/>
      <c r="B52" s="90" t="str">
        <f>'1-συμβολαια'!C52</f>
        <v>ΧΡΗΣΙΚΤΗΣΙΑ αγροτεμαχίου = 1980 πατρός ΚΛΗΡΟΝΟΜΙΑ άτυπη</v>
      </c>
      <c r="C52" s="451">
        <f>'1-συμβολαια'!D52</f>
        <v>1111</v>
      </c>
      <c r="D52" s="451"/>
      <c r="E52" s="90"/>
      <c r="F52" s="90"/>
      <c r="G52" s="90"/>
      <c r="H52" s="90"/>
      <c r="I52" s="90"/>
      <c r="J52" s="90"/>
      <c r="K52" s="90"/>
      <c r="L52" s="90"/>
      <c r="M52" s="451">
        <f t="shared" si="1"/>
        <v>7.2215000000000007</v>
      </c>
      <c r="N52" s="90"/>
      <c r="O52" s="90"/>
      <c r="P52" s="90"/>
      <c r="Q52" s="90"/>
      <c r="R52" s="90"/>
      <c r="S52" s="90"/>
      <c r="T52" s="90"/>
      <c r="U52" s="90"/>
      <c r="V52" s="451">
        <f t="shared" si="2"/>
        <v>1.3887499999999999</v>
      </c>
      <c r="W52" s="90"/>
      <c r="X52" s="90"/>
      <c r="Y52" s="90"/>
      <c r="Z52" s="90"/>
      <c r="AA52" s="90"/>
      <c r="AB52" s="90"/>
      <c r="AC52" s="90"/>
      <c r="AD52" s="90"/>
      <c r="AE52" s="413">
        <f t="shared" si="3"/>
        <v>8.6102500000000006</v>
      </c>
      <c r="AF52" s="413">
        <f t="shared" si="4"/>
        <v>0</v>
      </c>
      <c r="AG52" s="413">
        <f t="shared" si="5"/>
        <v>8.6102500000000006</v>
      </c>
      <c r="AH52" s="90"/>
      <c r="AI52" s="90"/>
      <c r="AJ52" s="90"/>
      <c r="AK52" s="90"/>
      <c r="AL52" s="90"/>
      <c r="AM52" s="415"/>
      <c r="AN52" s="413"/>
      <c r="AO52" s="450">
        <f t="shared" si="0"/>
        <v>0</v>
      </c>
      <c r="AP52" s="90"/>
    </row>
    <row r="53" spans="1:42" s="5" customFormat="1">
      <c r="A53" s="453"/>
      <c r="B53" s="90" t="str">
        <f>'1-συμβολαια'!C53</f>
        <v>ΧΡΗΣΙΚΤΗΣΙΑ αγροτεμαχίου = 1980 ΔΙΑΝΟΜΗ άτυπη</v>
      </c>
      <c r="C53" s="451">
        <f>'1-συμβολαια'!D53</f>
        <v>11</v>
      </c>
      <c r="D53" s="451"/>
      <c r="E53" s="90"/>
      <c r="F53" s="90"/>
      <c r="G53" s="90"/>
      <c r="H53" s="90"/>
      <c r="I53" s="90"/>
      <c r="J53" s="90"/>
      <c r="K53" s="90"/>
      <c r="L53" s="90"/>
      <c r="M53" s="451">
        <f t="shared" si="1"/>
        <v>7.1500000000000008E-2</v>
      </c>
      <c r="N53" s="90"/>
      <c r="O53" s="90"/>
      <c r="P53" s="90"/>
      <c r="Q53" s="90"/>
      <c r="R53" s="90"/>
      <c r="S53" s="90"/>
      <c r="T53" s="90"/>
      <c r="U53" s="90"/>
      <c r="V53" s="451">
        <f t="shared" si="2"/>
        <v>1.375E-2</v>
      </c>
      <c r="W53" s="90"/>
      <c r="X53" s="90"/>
      <c r="Y53" s="90"/>
      <c r="Z53" s="90"/>
      <c r="AA53" s="90"/>
      <c r="AB53" s="90"/>
      <c r="AC53" s="90"/>
      <c r="AD53" s="90"/>
      <c r="AE53" s="413">
        <f t="shared" si="3"/>
        <v>8.5250000000000006E-2</v>
      </c>
      <c r="AF53" s="413">
        <f t="shared" si="4"/>
        <v>0</v>
      </c>
      <c r="AG53" s="413">
        <f t="shared" si="5"/>
        <v>8.5250000000000006E-2</v>
      </c>
      <c r="AH53" s="90"/>
      <c r="AI53" s="90"/>
      <c r="AJ53" s="90"/>
      <c r="AK53" s="90"/>
      <c r="AL53" s="90"/>
      <c r="AM53" s="415"/>
      <c r="AN53" s="413"/>
      <c r="AO53" s="450">
        <f t="shared" si="0"/>
        <v>0</v>
      </c>
      <c r="AP53" s="90"/>
    </row>
    <row r="54" spans="1:42" s="5" customFormat="1">
      <c r="A54" s="543">
        <f>'1-συμβολαια'!A54</f>
        <v>4630</v>
      </c>
      <c r="B54" s="90" t="str">
        <f>'1-συμβολαια'!C54</f>
        <v xml:space="preserve">αγοραπωλησίας ΠΡΟΣΥΜΦΩΝΟ τίμημα = αρραβών = </v>
      </c>
      <c r="C54" s="451">
        <f>'1-συμβολαια'!D54</f>
        <v>8804.1</v>
      </c>
      <c r="D54" s="451"/>
      <c r="E54" s="90"/>
      <c r="F54" s="90"/>
      <c r="G54" s="90"/>
      <c r="H54" s="90"/>
      <c r="I54" s="90"/>
      <c r="J54" s="90"/>
      <c r="K54" s="90"/>
      <c r="L54" s="90"/>
      <c r="M54" s="451"/>
      <c r="N54" s="90"/>
      <c r="O54" s="90"/>
      <c r="P54" s="90"/>
      <c r="Q54" s="90"/>
      <c r="R54" s="90"/>
      <c r="S54" s="90"/>
      <c r="T54" s="90"/>
      <c r="U54" s="90"/>
      <c r="V54" s="451"/>
      <c r="W54" s="90"/>
      <c r="X54" s="90"/>
      <c r="Y54" s="90"/>
      <c r="Z54" s="90"/>
      <c r="AA54" s="90"/>
      <c r="AB54" s="90"/>
      <c r="AC54" s="90"/>
      <c r="AD54" s="90"/>
      <c r="AE54" s="413">
        <f t="shared" si="3"/>
        <v>0</v>
      </c>
      <c r="AF54" s="413">
        <f t="shared" si="4"/>
        <v>0</v>
      </c>
      <c r="AG54" s="413">
        <f t="shared" si="5"/>
        <v>0</v>
      </c>
      <c r="AH54" s="90"/>
      <c r="AI54" s="90"/>
      <c r="AJ54" s="90"/>
      <c r="AK54" s="90"/>
      <c r="AL54" s="90"/>
      <c r="AM54" s="415"/>
      <c r="AN54" s="413"/>
      <c r="AO54" s="450">
        <f t="shared" si="0"/>
        <v>0</v>
      </c>
      <c r="AP54" s="90"/>
    </row>
    <row r="55" spans="1:42" s="5" customFormat="1">
      <c r="A55" s="543"/>
      <c r="B55" s="90" t="str">
        <f>'1-συμβολαια'!C55</f>
        <v>ΧΡΗΣΙΚΤΗΣΙΑ αγροτεμαχίου = 1970 συζύγου ΔΩΡΕΑ άτυπη</v>
      </c>
      <c r="C55" s="451">
        <f>'1-συμβολαια'!D55</f>
        <v>5555</v>
      </c>
      <c r="D55" s="451"/>
      <c r="E55" s="90"/>
      <c r="F55" s="90"/>
      <c r="G55" s="90"/>
      <c r="H55" s="90"/>
      <c r="I55" s="90"/>
      <c r="J55" s="90"/>
      <c r="K55" s="90"/>
      <c r="L55" s="90"/>
      <c r="M55" s="451">
        <f t="shared" ref="M55" si="7">C55*0.65%</f>
        <v>36.107500000000002</v>
      </c>
      <c r="N55" s="90"/>
      <c r="O55" s="90"/>
      <c r="P55" s="90"/>
      <c r="Q55" s="90"/>
      <c r="R55" s="90"/>
      <c r="S55" s="90"/>
      <c r="T55" s="90"/>
      <c r="U55" s="90"/>
      <c r="V55" s="451">
        <f t="shared" ref="V55" si="8">C55*0.125%</f>
        <v>6.9437500000000005</v>
      </c>
      <c r="W55" s="90"/>
      <c r="X55" s="90"/>
      <c r="Y55" s="90"/>
      <c r="Z55" s="90"/>
      <c r="AA55" s="90"/>
      <c r="AB55" s="90"/>
      <c r="AC55" s="90"/>
      <c r="AD55" s="90"/>
      <c r="AE55" s="413">
        <f t="shared" si="3"/>
        <v>43.051250000000003</v>
      </c>
      <c r="AF55" s="413">
        <f t="shared" si="4"/>
        <v>0</v>
      </c>
      <c r="AG55" s="413">
        <f t="shared" si="5"/>
        <v>43.051250000000003</v>
      </c>
      <c r="AH55" s="90"/>
      <c r="AI55" s="90"/>
      <c r="AJ55" s="90"/>
      <c r="AK55" s="90"/>
      <c r="AL55" s="90"/>
      <c r="AM55" s="415"/>
      <c r="AN55" s="413"/>
      <c r="AO55" s="450">
        <f t="shared" si="0"/>
        <v>0</v>
      </c>
      <c r="AP55" s="90"/>
    </row>
    <row r="56" spans="1:42" s="5" customFormat="1">
      <c r="A56" s="90">
        <f>'1-συμβολαια'!A56</f>
        <v>4631</v>
      </c>
      <c r="B56" s="90" t="str">
        <f>'1-συμβολαια'!C56</f>
        <v>αγοραπωλησίας 4.191 ΕΞΟΦΛΗΣΗ</v>
      </c>
      <c r="C56" s="451">
        <f>'1-συμβολαια'!D56</f>
        <v>0</v>
      </c>
      <c r="D56" s="451">
        <f t="shared" si="6"/>
        <v>0</v>
      </c>
      <c r="E56" s="90"/>
      <c r="F56" s="90"/>
      <c r="G56" s="90"/>
      <c r="H56" s="90"/>
      <c r="I56" s="90"/>
      <c r="J56" s="90"/>
      <c r="K56" s="90"/>
      <c r="L56" s="90"/>
      <c r="M56" s="451">
        <f t="shared" si="1"/>
        <v>0</v>
      </c>
      <c r="N56" s="90"/>
      <c r="O56" s="90"/>
      <c r="P56" s="90"/>
      <c r="Q56" s="90"/>
      <c r="R56" s="90"/>
      <c r="S56" s="90"/>
      <c r="T56" s="90"/>
      <c r="U56" s="90"/>
      <c r="V56" s="451">
        <f t="shared" si="2"/>
        <v>0</v>
      </c>
      <c r="W56" s="90"/>
      <c r="X56" s="90"/>
      <c r="Y56" s="90"/>
      <c r="Z56" s="90"/>
      <c r="AA56" s="90"/>
      <c r="AB56" s="90"/>
      <c r="AC56" s="90"/>
      <c r="AD56" s="90"/>
      <c r="AE56" s="413">
        <f t="shared" si="3"/>
        <v>0</v>
      </c>
      <c r="AF56" s="413">
        <f t="shared" si="4"/>
        <v>0</v>
      </c>
      <c r="AG56" s="413">
        <f t="shared" si="5"/>
        <v>0</v>
      </c>
      <c r="AH56" s="90"/>
      <c r="AI56" s="90"/>
      <c r="AJ56" s="90"/>
      <c r="AK56" s="90"/>
      <c r="AL56" s="90"/>
      <c r="AM56" s="415"/>
      <c r="AN56" s="413"/>
      <c r="AO56" s="450">
        <f t="shared" si="0"/>
        <v>0</v>
      </c>
      <c r="AP56" s="90"/>
    </row>
    <row r="57" spans="1:42" s="5" customFormat="1">
      <c r="A57" s="90"/>
      <c r="B57" s="90"/>
      <c r="C57" s="451"/>
      <c r="D57" s="451"/>
      <c r="E57" s="90"/>
      <c r="F57" s="90"/>
      <c r="G57" s="90"/>
      <c r="H57" s="90"/>
      <c r="I57" s="90"/>
      <c r="J57" s="90"/>
      <c r="K57" s="90"/>
      <c r="L57" s="90"/>
      <c r="M57" s="451"/>
      <c r="N57" s="90"/>
      <c r="O57" s="90"/>
      <c r="P57" s="90"/>
      <c r="Q57" s="90"/>
      <c r="R57" s="90"/>
      <c r="S57" s="90"/>
      <c r="T57" s="90"/>
      <c r="U57" s="90"/>
      <c r="V57" s="451"/>
      <c r="W57" s="90"/>
      <c r="X57" s="90"/>
      <c r="Y57" s="90"/>
      <c r="Z57" s="90"/>
      <c r="AA57" s="90"/>
      <c r="AB57" s="90"/>
      <c r="AC57" s="90"/>
      <c r="AD57" s="90"/>
      <c r="AE57" s="413"/>
      <c r="AF57" s="413"/>
      <c r="AG57" s="413"/>
      <c r="AH57" s="90"/>
      <c r="AI57" s="90"/>
      <c r="AJ57" s="90"/>
      <c r="AK57" s="90"/>
      <c r="AL57" s="90"/>
      <c r="AM57" s="415"/>
      <c r="AN57" s="413"/>
      <c r="AO57" s="450"/>
      <c r="AP57" s="90"/>
    </row>
    <row r="58" spans="1:42" s="5" customFormat="1">
      <c r="A58" s="90"/>
      <c r="B58" s="90"/>
      <c r="C58" s="451"/>
      <c r="D58" s="451"/>
      <c r="E58" s="90"/>
      <c r="F58" s="90"/>
      <c r="G58" s="90"/>
      <c r="H58" s="90"/>
      <c r="I58" s="90"/>
      <c r="J58" s="90"/>
      <c r="K58" s="90"/>
      <c r="L58" s="90"/>
      <c r="M58" s="451"/>
      <c r="N58" s="90"/>
      <c r="O58" s="90"/>
      <c r="P58" s="90"/>
      <c r="Q58" s="90"/>
      <c r="R58" s="90"/>
      <c r="S58" s="90"/>
      <c r="T58" s="90"/>
      <c r="U58" s="90"/>
      <c r="V58" s="451"/>
      <c r="W58" s="90"/>
      <c r="X58" s="90"/>
      <c r="Y58" s="90"/>
      <c r="Z58" s="90"/>
      <c r="AA58" s="90"/>
      <c r="AB58" s="90"/>
      <c r="AC58" s="90"/>
      <c r="AD58" s="90"/>
      <c r="AE58" s="413"/>
      <c r="AF58" s="413"/>
      <c r="AG58" s="413"/>
      <c r="AH58" s="90"/>
      <c r="AI58" s="90"/>
      <c r="AJ58" s="90"/>
      <c r="AK58" s="90"/>
      <c r="AL58" s="90"/>
      <c r="AM58" s="415"/>
      <c r="AN58" s="413"/>
      <c r="AO58" s="450"/>
      <c r="AP58" s="90"/>
    </row>
    <row r="59" spans="1:42">
      <c r="A59" s="720" t="str">
        <f>'1-συμβολαια'!A59</f>
        <v>σύνολο</v>
      </c>
      <c r="B59" s="721"/>
      <c r="C59" s="722"/>
      <c r="D59" s="369">
        <f>SUM(D3:D58)</f>
        <v>2.6</v>
      </c>
      <c r="E59" s="225"/>
      <c r="F59" s="225"/>
      <c r="G59" s="225"/>
      <c r="H59" s="225"/>
      <c r="I59" s="225"/>
      <c r="J59" s="225"/>
      <c r="K59" s="225"/>
      <c r="L59" s="225"/>
      <c r="M59" s="369">
        <f>SUM(M3:M58)</f>
        <v>1159.2779900000005</v>
      </c>
      <c r="N59" s="369">
        <f>SUM(N3:N58)</f>
        <v>797.02</v>
      </c>
      <c r="O59" s="225"/>
      <c r="P59" s="225"/>
      <c r="Q59" s="225"/>
      <c r="R59" s="225"/>
      <c r="S59" s="225"/>
      <c r="T59" s="225"/>
      <c r="U59" s="225"/>
      <c r="V59" s="369">
        <f>SUM(V3:V58)</f>
        <v>222.93807499999994</v>
      </c>
      <c r="W59" s="369">
        <f>SUM(W3:W58)</f>
        <v>153.30000000000001</v>
      </c>
      <c r="X59" s="225"/>
      <c r="Y59" s="225"/>
      <c r="Z59" s="225"/>
      <c r="AA59" s="225"/>
      <c r="AB59" s="225"/>
      <c r="AC59" s="225"/>
      <c r="AD59" s="225"/>
      <c r="AE59" s="369">
        <f>SUM(AE3:AE58)</f>
        <v>1384.8160649999998</v>
      </c>
      <c r="AF59" s="369">
        <f>SUM(AF3:AF58)</f>
        <v>994.71</v>
      </c>
      <c r="AG59" s="369">
        <f>SUM(AG3:AG58)</f>
        <v>390.11816000000005</v>
      </c>
      <c r="AH59" s="225">
        <f>SUM(AH3:AH58)</f>
        <v>0</v>
      </c>
      <c r="AI59" s="225"/>
      <c r="AJ59" s="225"/>
      <c r="AK59" s="225"/>
      <c r="AL59" s="225"/>
      <c r="AM59" s="225">
        <f>SUM(AM3:AM58)</f>
        <v>0</v>
      </c>
      <c r="AN59" s="225">
        <f>SUM(AN3:AN58)</f>
        <v>0</v>
      </c>
      <c r="AO59" s="225">
        <f>SUM(AO3:AO58)</f>
        <v>0</v>
      </c>
      <c r="AP59" s="225">
        <f>SUM(AP3:AP58)</f>
        <v>0</v>
      </c>
    </row>
    <row r="61" spans="1:42">
      <c r="E61" s="2"/>
      <c r="F61" s="2"/>
      <c r="G61" s="2"/>
      <c r="H61" s="190" t="s">
        <v>362</v>
      </c>
      <c r="I61" s="2"/>
      <c r="J61" s="2"/>
      <c r="K61" s="2"/>
      <c r="L61" s="2"/>
      <c r="M61" s="2"/>
      <c r="N61" s="2"/>
      <c r="O61" s="2"/>
      <c r="P61" s="2"/>
      <c r="Q61" s="190" t="s">
        <v>362</v>
      </c>
      <c r="R61" s="2"/>
      <c r="S61" s="2"/>
      <c r="T61" s="2"/>
      <c r="U61" s="2"/>
      <c r="V61" s="2"/>
      <c r="W61" s="2"/>
      <c r="X61" s="2"/>
      <c r="Y61" s="2"/>
      <c r="Z61" s="190" t="s">
        <v>362</v>
      </c>
      <c r="AA61" s="2"/>
      <c r="AB61" s="2"/>
      <c r="AC61" s="2"/>
      <c r="AD61" s="2"/>
      <c r="AE61" s="2"/>
    </row>
    <row r="62" spans="1:42">
      <c r="E62" s="2"/>
      <c r="F62" s="229" t="s">
        <v>363</v>
      </c>
      <c r="G62" s="229"/>
      <c r="H62" s="229"/>
      <c r="I62" s="229"/>
      <c r="J62" s="229"/>
      <c r="K62" s="229"/>
      <c r="L62" s="229"/>
      <c r="M62" s="229"/>
      <c r="N62" s="229"/>
      <c r="O62" s="229" t="s">
        <v>363</v>
      </c>
      <c r="P62" s="2"/>
      <c r="Q62" s="2"/>
      <c r="R62" s="2"/>
      <c r="S62" s="2"/>
      <c r="T62" s="2"/>
      <c r="U62" s="2"/>
      <c r="V62" s="2"/>
      <c r="W62" s="2"/>
      <c r="X62" s="229" t="s">
        <v>363</v>
      </c>
      <c r="Y62" s="2"/>
      <c r="Z62" s="2"/>
      <c r="AA62" s="2"/>
      <c r="AB62" s="2"/>
      <c r="AC62" s="2"/>
      <c r="AD62" s="2"/>
      <c r="AE62" s="2"/>
    </row>
    <row r="63" spans="1:42">
      <c r="E63" s="2"/>
      <c r="F63" s="2"/>
      <c r="G63" s="2"/>
      <c r="H63" s="2"/>
      <c r="I63" s="4"/>
      <c r="J63" s="194" t="s">
        <v>364</v>
      </c>
      <c r="K63" s="190"/>
      <c r="L63" s="2"/>
      <c r="M63" s="2"/>
      <c r="N63" s="2"/>
      <c r="O63" s="2"/>
      <c r="P63" s="2"/>
      <c r="Q63" s="4"/>
      <c r="R63" s="194" t="s">
        <v>365</v>
      </c>
      <c r="S63" s="194"/>
      <c r="T63" s="194"/>
      <c r="U63" s="194"/>
      <c r="V63" s="4"/>
      <c r="W63" s="4"/>
      <c r="X63" s="4"/>
      <c r="Y63" s="4"/>
      <c r="Z63" s="4"/>
      <c r="AA63" s="194" t="s">
        <v>365</v>
      </c>
      <c r="AB63" s="194"/>
      <c r="AC63" s="194"/>
      <c r="AD63" s="190"/>
      <c r="AE63" s="2"/>
    </row>
    <row r="64" spans="1:42">
      <c r="E64" s="2"/>
      <c r="F64" s="2"/>
      <c r="G64" s="2"/>
      <c r="H64" s="2"/>
      <c r="I64" s="194" t="s">
        <v>365</v>
      </c>
      <c r="J64" s="4"/>
      <c r="K64" s="2"/>
      <c r="L64" s="2"/>
      <c r="M64" s="2"/>
      <c r="N64" s="2"/>
      <c r="O64" s="2"/>
      <c r="P64" s="2"/>
      <c r="Q64" s="4"/>
      <c r="R64" s="4"/>
      <c r="S64" s="194" t="s">
        <v>364</v>
      </c>
      <c r="T64" s="194"/>
      <c r="U64" s="4"/>
      <c r="V64" s="4"/>
      <c r="W64" s="4"/>
      <c r="X64" s="4"/>
      <c r="Y64" s="4"/>
      <c r="Z64" s="4"/>
      <c r="AA64" s="4"/>
      <c r="AB64" s="194" t="s">
        <v>364</v>
      </c>
      <c r="AC64" s="194"/>
      <c r="AD64" s="2"/>
      <c r="AE64" s="2"/>
    </row>
    <row r="65" spans="3:31">
      <c r="E65" s="2"/>
      <c r="F65" s="2"/>
      <c r="G65" s="2"/>
      <c r="H65" s="2"/>
      <c r="I65" s="4"/>
      <c r="J65" s="4"/>
      <c r="K65" s="2"/>
      <c r="L65" s="2"/>
      <c r="M65" s="2"/>
      <c r="N65" s="2"/>
      <c r="O65" s="2"/>
      <c r="P65" s="2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2"/>
      <c r="AE65" s="2"/>
    </row>
    <row r="66" spans="3:31">
      <c r="E66" s="230" t="s">
        <v>366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31" t="s">
        <v>367</v>
      </c>
      <c r="R66" s="2"/>
      <c r="S66" s="2"/>
      <c r="T66" s="2"/>
      <c r="U66" s="2"/>
      <c r="V66" s="2"/>
      <c r="W66" s="2"/>
      <c r="X66" s="2"/>
      <c r="Y66" s="2"/>
      <c r="Z66" s="232" t="s">
        <v>368</v>
      </c>
      <c r="AA66" s="2"/>
      <c r="AB66" s="2"/>
      <c r="AC66" s="2"/>
      <c r="AD66" s="2"/>
      <c r="AE66" s="2"/>
    </row>
    <row r="67" spans="3:31">
      <c r="E67" s="233" t="s">
        <v>369</v>
      </c>
      <c r="F67" s="2"/>
      <c r="G67" s="2"/>
      <c r="H67" s="2"/>
      <c r="I67" s="2"/>
      <c r="J67" s="2"/>
      <c r="K67" s="2"/>
      <c r="L67" s="2"/>
      <c r="M67" s="8"/>
      <c r="N67" s="2"/>
      <c r="O67" s="190"/>
      <c r="P67" s="190"/>
      <c r="Q67" s="190"/>
      <c r="R67" s="190"/>
      <c r="S67" s="234" t="s">
        <v>370</v>
      </c>
      <c r="T67" s="190"/>
      <c r="U67" s="190"/>
      <c r="V67" s="190"/>
      <c r="W67" s="2"/>
      <c r="X67" s="2"/>
      <c r="Y67" s="2"/>
      <c r="Z67" s="2"/>
      <c r="AA67" s="235" t="s">
        <v>371</v>
      </c>
      <c r="AB67" s="2"/>
      <c r="AC67" s="2"/>
      <c r="AD67" s="2"/>
      <c r="AE67" s="2"/>
    </row>
    <row r="68" spans="3:31">
      <c r="E68" s="2"/>
      <c r="F68" s="233" t="s">
        <v>372</v>
      </c>
      <c r="G68" s="2"/>
      <c r="H68" s="2"/>
      <c r="I68" s="2"/>
      <c r="J68" s="2"/>
      <c r="K68" s="2"/>
      <c r="L68" s="2"/>
      <c r="M68" s="8"/>
      <c r="N68" s="2"/>
      <c r="O68" s="2"/>
      <c r="P68" s="2"/>
      <c r="Q68" s="2"/>
      <c r="R68" s="2"/>
      <c r="S68" s="236" t="s">
        <v>373</v>
      </c>
      <c r="T68" s="2"/>
      <c r="U68" s="2"/>
      <c r="V68" s="2"/>
      <c r="W68" s="2"/>
      <c r="X68" s="2"/>
      <c r="Y68" s="2"/>
      <c r="Z68" s="2"/>
      <c r="AA68" s="2"/>
      <c r="AB68" s="236" t="s">
        <v>373</v>
      </c>
      <c r="AC68" s="2"/>
      <c r="AD68" s="2"/>
      <c r="AE68" s="2"/>
    </row>
    <row r="69" spans="3:31">
      <c r="E69" s="2"/>
      <c r="F69" s="2"/>
      <c r="G69" s="2"/>
      <c r="H69" s="2"/>
      <c r="I69" s="2"/>
      <c r="J69" s="2"/>
      <c r="K69" s="2"/>
      <c r="L69" s="2"/>
      <c r="M69" s="8"/>
      <c r="N69" s="2"/>
      <c r="O69" s="2"/>
      <c r="P69" s="190"/>
      <c r="Q69" s="190"/>
      <c r="R69" s="190"/>
      <c r="S69" s="190"/>
      <c r="T69" s="190"/>
      <c r="U69" s="190"/>
      <c r="V69" s="190"/>
      <c r="W69" s="190"/>
      <c r="X69" s="190"/>
      <c r="Y69" s="2"/>
      <c r="Z69" s="2"/>
      <c r="AA69" s="2"/>
      <c r="AB69" s="234" t="s">
        <v>370</v>
      </c>
      <c r="AC69" s="2"/>
      <c r="AD69" s="2"/>
      <c r="AE69" s="2"/>
    </row>
    <row r="70" spans="3:31">
      <c r="E70" s="2"/>
      <c r="F70" s="2"/>
      <c r="G70" s="2"/>
      <c r="H70" s="2"/>
      <c r="I70" s="2"/>
      <c r="J70" s="2"/>
      <c r="K70" s="2"/>
      <c r="L70" s="2"/>
      <c r="M70" s="8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3:31">
      <c r="C71" s="255" t="s">
        <v>613</v>
      </c>
    </row>
    <row r="72" spans="3:31">
      <c r="C72" s="254" t="s">
        <v>614</v>
      </c>
      <c r="D72" s="386">
        <f>D59-E59</f>
        <v>2.6</v>
      </c>
      <c r="M72" s="386">
        <f>M59-N59</f>
        <v>362.25799000000052</v>
      </c>
      <c r="V72" s="386">
        <f>V59-W59</f>
        <v>69.63807499999993</v>
      </c>
      <c r="AE72" s="386">
        <f>D72+M72+V72</f>
        <v>434.4960650000005</v>
      </c>
    </row>
  </sheetData>
  <mergeCells count="11">
    <mergeCell ref="A59:C59"/>
    <mergeCell ref="A1:AD1"/>
    <mergeCell ref="AE1:AE2"/>
    <mergeCell ref="AF1:AF2"/>
    <mergeCell ref="AG1:AG2"/>
    <mergeCell ref="AM1:AP1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21</vt:i4>
      </vt:variant>
    </vt:vector>
  </HeadingPairs>
  <TitlesOfParts>
    <vt:vector size="21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14β-βιβλΕσΕκτ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2025-02-10T10:38:05Z</dcterms:modified>
</cp:coreProperties>
</file>